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drawings/drawing3.xml" ContentType="application/vnd.openxmlformats-officedocument.drawing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drawings/drawing4.xml" ContentType="application/vnd.openxmlformats-officedocument.drawing+xml"/>
  <Override PartName="/xl/charts/chart138.xml" ContentType="application/vnd.openxmlformats-officedocument.drawingml.chart+xml"/>
  <Override PartName="/xl/drawings/drawing5.xml" ContentType="application/vnd.openxmlformats-officedocument.drawing+xml"/>
  <Override PartName="/xl/charts/chart139.xml" ContentType="application/vnd.openxmlformats-officedocument.drawingml.chart+xml"/>
  <Override PartName="/xl/drawings/drawing6.xml" ContentType="application/vnd.openxmlformats-officedocument.drawing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drawings/drawing7.xml" ContentType="application/vnd.openxmlformats-officedocument.drawing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27795" windowHeight="13110" activeTab="13"/>
  </bookViews>
  <sheets>
    <sheet name="868" sheetId="1" r:id="rId1"/>
    <sheet name="868v2" sheetId="4" r:id="rId2"/>
    <sheet name="12r915" sheetId="9" r:id="rId3"/>
    <sheet name="12r868" sheetId="8" r:id="rId4"/>
    <sheet name="p915" sheetId="7" r:id="rId5"/>
    <sheet name="p868" sheetId="6" r:id="rId6"/>
    <sheet name="915" sheetId="2" r:id="rId7"/>
    <sheet name="433" sheetId="3" r:id="rId8"/>
    <sheet name="868 conv_dev" sheetId="5" r:id="rId9"/>
    <sheet name="rxCurr" sheetId="10" r:id="rId10"/>
    <sheet name="Durations" sheetId="11" r:id="rId11"/>
    <sheet name="Workspace Stuff" sheetId="12" r:id="rId12"/>
    <sheet name="Sheet2" sheetId="14" r:id="rId13"/>
    <sheet name="Sheet3" sheetId="15" r:id="rId14"/>
  </sheets>
  <definedNames>
    <definedName name="_xlnm._FilterDatabase" localSheetId="11" hidden="1">'Workspace Stuff'!$D$1:$K$65</definedName>
  </definedNames>
  <calcPr calcId="145621"/>
</workbook>
</file>

<file path=xl/calcChain.xml><?xml version="1.0" encoding="utf-8"?>
<calcChain xmlns="http://schemas.openxmlformats.org/spreadsheetml/2006/main">
  <c r="H32" i="15" l="1"/>
  <c r="H30" i="15"/>
  <c r="H33" i="14"/>
  <c r="V24" i="14"/>
  <c r="V17" i="14"/>
  <c r="V10" i="14"/>
  <c r="T24" i="14"/>
  <c r="T17" i="14"/>
  <c r="T10" i="14"/>
  <c r="I24" i="14"/>
  <c r="I17" i="14"/>
  <c r="I10" i="14"/>
  <c r="D33" i="14"/>
  <c r="L33" i="14"/>
  <c r="C33" i="14"/>
  <c r="B33" i="14"/>
  <c r="C28" i="15"/>
  <c r="T28" i="15"/>
  <c r="P28" i="15"/>
  <c r="L28" i="15"/>
  <c r="H28" i="15"/>
  <c r="D24" i="15"/>
  <c r="T4" i="15"/>
  <c r="T11" i="15"/>
  <c r="T18" i="15"/>
  <c r="H18" i="15"/>
  <c r="I18" i="15" s="1"/>
  <c r="H11" i="15"/>
  <c r="H4" i="15"/>
  <c r="I4" i="15"/>
  <c r="B28" i="15"/>
  <c r="I11" i="15"/>
  <c r="D18" i="15"/>
  <c r="C18" i="15"/>
  <c r="B18" i="15"/>
  <c r="L11" i="15"/>
  <c r="D11" i="15"/>
  <c r="C11" i="15"/>
  <c r="B11" i="15"/>
  <c r="L4" i="15"/>
  <c r="P4" i="15" s="1"/>
  <c r="R4" i="15" s="1"/>
  <c r="D4" i="15"/>
  <c r="C4" i="15"/>
  <c r="B4" i="15"/>
  <c r="M30" i="14"/>
  <c r="J30" i="14"/>
  <c r="G30" i="14"/>
  <c r="D30" i="14"/>
  <c r="R24" i="14"/>
  <c r="R17" i="14"/>
  <c r="R10" i="14"/>
  <c r="P24" i="14"/>
  <c r="P17" i="14"/>
  <c r="P10" i="14"/>
  <c r="N24" i="14"/>
  <c r="N17" i="14"/>
  <c r="N10" i="14"/>
  <c r="L24" i="14"/>
  <c r="L17" i="14"/>
  <c r="L10" i="14"/>
  <c r="D24" i="14"/>
  <c r="D17" i="14"/>
  <c r="D10" i="14"/>
  <c r="C10" i="14"/>
  <c r="C17" i="14"/>
  <c r="C24" i="14"/>
  <c r="B24" i="14"/>
  <c r="B17" i="14"/>
  <c r="B10" i="14"/>
  <c r="E70" i="11"/>
  <c r="G70" i="11"/>
  <c r="L58" i="11"/>
  <c r="J58" i="11"/>
  <c r="G58" i="11" s="1"/>
  <c r="E58" i="11"/>
  <c r="E60" i="11"/>
  <c r="G60" i="11" s="1"/>
  <c r="E56" i="11"/>
  <c r="G56" i="11"/>
  <c r="J50" i="11"/>
  <c r="E50" i="11"/>
  <c r="G50" i="11"/>
  <c r="E52" i="11"/>
  <c r="G52" i="11"/>
  <c r="E48" i="11"/>
  <c r="L80" i="11"/>
  <c r="J80" i="11"/>
  <c r="E80" i="11"/>
  <c r="E82" i="11"/>
  <c r="E78" i="11"/>
  <c r="J72" i="11"/>
  <c r="E72" i="11"/>
  <c r="G72" i="11" s="1"/>
  <c r="E74" i="11"/>
  <c r="G74" i="11"/>
  <c r="L36" i="11"/>
  <c r="J36" i="11"/>
  <c r="E36" i="11"/>
  <c r="G36" i="11"/>
  <c r="E38" i="11"/>
  <c r="E34" i="11"/>
  <c r="J28" i="11"/>
  <c r="E28" i="11"/>
  <c r="E30" i="11"/>
  <c r="E26" i="11"/>
  <c r="G26" i="11"/>
  <c r="L191" i="11"/>
  <c r="J191" i="11"/>
  <c r="E191" i="11"/>
  <c r="L169" i="11"/>
  <c r="J169" i="11"/>
  <c r="E169" i="11"/>
  <c r="G169" i="11"/>
  <c r="L125" i="11"/>
  <c r="J125" i="11"/>
  <c r="E125" i="11"/>
  <c r="G125" i="11"/>
  <c r="L147" i="11"/>
  <c r="G147" i="11" s="1"/>
  <c r="J147" i="11"/>
  <c r="E147" i="11"/>
  <c r="L103" i="11"/>
  <c r="J103" i="11"/>
  <c r="G103" i="11" s="1"/>
  <c r="E103" i="11"/>
  <c r="E193" i="11"/>
  <c r="E171" i="11"/>
  <c r="E149" i="11"/>
  <c r="G149" i="11"/>
  <c r="E127" i="11"/>
  <c r="G38" i="11"/>
  <c r="G34" i="11"/>
  <c r="G48" i="11"/>
  <c r="G82" i="11"/>
  <c r="G80" i="11"/>
  <c r="G78" i="11"/>
  <c r="G127" i="11"/>
  <c r="G123" i="11"/>
  <c r="G145" i="11"/>
  <c r="G171" i="11"/>
  <c r="G167" i="11"/>
  <c r="G193" i="11"/>
  <c r="G191" i="11"/>
  <c r="G189" i="11"/>
  <c r="E105" i="11"/>
  <c r="E16" i="11"/>
  <c r="L14" i="11"/>
  <c r="J14" i="11"/>
  <c r="G20" i="11"/>
  <c r="E20" i="11"/>
  <c r="E189" i="11"/>
  <c r="E167" i="11"/>
  <c r="E101" i="11"/>
  <c r="E123" i="11"/>
  <c r="E145" i="11"/>
  <c r="E185" i="11"/>
  <c r="E163" i="11"/>
  <c r="G163" i="11" s="1"/>
  <c r="E119" i="11"/>
  <c r="G119" i="11" s="1"/>
  <c r="E97" i="11"/>
  <c r="G97" i="11" s="1"/>
  <c r="E93" i="11"/>
  <c r="G93" i="11" s="1"/>
  <c r="E115" i="11"/>
  <c r="E181" i="11"/>
  <c r="E159" i="11"/>
  <c r="G159" i="11" s="1"/>
  <c r="L183" i="11"/>
  <c r="J183" i="11"/>
  <c r="E183" i="11"/>
  <c r="G183" i="11" s="1"/>
  <c r="L161" i="11"/>
  <c r="J161" i="11"/>
  <c r="E161" i="11"/>
  <c r="G185" i="11"/>
  <c r="G181" i="11"/>
  <c r="G161" i="11"/>
  <c r="L95" i="11"/>
  <c r="J95" i="11"/>
  <c r="E95" i="11"/>
  <c r="G105" i="11"/>
  <c r="G101" i="11"/>
  <c r="G95" i="11"/>
  <c r="L117" i="11"/>
  <c r="J117" i="11"/>
  <c r="G115" i="11"/>
  <c r="E117" i="11"/>
  <c r="L139" i="11"/>
  <c r="J139" i="11"/>
  <c r="E139" i="11"/>
  <c r="G139" i="11" s="1"/>
  <c r="G141" i="11"/>
  <c r="E141" i="11"/>
  <c r="G137" i="11"/>
  <c r="E137" i="11"/>
  <c r="E14" i="11"/>
  <c r="G16" i="11"/>
  <c r="E8" i="11"/>
  <c r="L6" i="11"/>
  <c r="G6" i="11" s="1"/>
  <c r="J6" i="11"/>
  <c r="G30" i="11"/>
  <c r="G28" i="11"/>
  <c r="G14" i="11"/>
  <c r="G12" i="11"/>
  <c r="G8" i="11"/>
  <c r="E6" i="11"/>
  <c r="G4" i="11"/>
  <c r="E12" i="11"/>
  <c r="E4" i="11"/>
  <c r="T33" i="14" l="1"/>
  <c r="P33" i="14"/>
  <c r="P11" i="15"/>
  <c r="R11" i="15" s="1"/>
  <c r="L18" i="15"/>
  <c r="N4" i="15"/>
  <c r="N11" i="15"/>
  <c r="G117" i="11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C37" i="7"/>
  <c r="X35" i="7"/>
  <c r="X34" i="7"/>
  <c r="X33" i="7"/>
  <c r="X18" i="7"/>
  <c r="P18" i="15" l="1"/>
  <c r="R18" i="15" s="1"/>
  <c r="N18" i="15"/>
  <c r="BQ451" i="4"/>
  <c r="BQ452" i="4"/>
  <c r="BQ453" i="4"/>
  <c r="BQ454" i="4"/>
  <c r="BQ450" i="4"/>
  <c r="BQ437" i="4"/>
  <c r="BQ438" i="4"/>
  <c r="BQ439" i="4"/>
  <c r="BQ440" i="4"/>
  <c r="BQ441" i="4"/>
  <c r="BQ442" i="4"/>
  <c r="BQ443" i="4"/>
  <c r="BQ444" i="4"/>
  <c r="BQ445" i="4"/>
  <c r="BQ446" i="4"/>
  <c r="BQ447" i="4"/>
  <c r="BQ448" i="4"/>
  <c r="BQ449" i="4"/>
  <c r="BQ436" i="4"/>
  <c r="BQ427" i="4"/>
  <c r="BQ428" i="4"/>
  <c r="BQ429" i="4"/>
  <c r="BQ430" i="4"/>
  <c r="BQ426" i="4"/>
  <c r="BQ413" i="4"/>
  <c r="BQ414" i="4"/>
  <c r="BQ415" i="4"/>
  <c r="BQ416" i="4"/>
  <c r="BQ417" i="4"/>
  <c r="BQ418" i="4"/>
  <c r="BQ419" i="4"/>
  <c r="BQ420" i="4"/>
  <c r="BQ421" i="4"/>
  <c r="BQ422" i="4"/>
  <c r="BQ423" i="4"/>
  <c r="BQ424" i="4"/>
  <c r="BQ425" i="4"/>
  <c r="BQ412" i="4"/>
  <c r="BQ403" i="4"/>
  <c r="BQ404" i="4"/>
  <c r="BQ405" i="4"/>
  <c r="BQ406" i="4"/>
  <c r="BQ402" i="4"/>
  <c r="BQ389" i="4"/>
  <c r="BQ390" i="4"/>
  <c r="BQ391" i="4"/>
  <c r="BQ392" i="4"/>
  <c r="BQ393" i="4"/>
  <c r="BQ394" i="4"/>
  <c r="BQ395" i="4"/>
  <c r="BQ396" i="4"/>
  <c r="BQ397" i="4"/>
  <c r="BQ398" i="4"/>
  <c r="BQ399" i="4"/>
  <c r="BQ400" i="4"/>
  <c r="BQ401" i="4"/>
  <c r="BQ388" i="4"/>
  <c r="BJ379" i="4"/>
  <c r="BJ380" i="4"/>
  <c r="BJ381" i="4"/>
  <c r="BJ382" i="4"/>
  <c r="BJ378" i="4"/>
  <c r="BJ365" i="4"/>
  <c r="BJ366" i="4"/>
  <c r="BJ367" i="4"/>
  <c r="BJ368" i="4"/>
  <c r="BJ369" i="4"/>
  <c r="BJ370" i="4"/>
  <c r="BJ371" i="4"/>
  <c r="BJ372" i="4"/>
  <c r="BJ373" i="4"/>
  <c r="BJ374" i="4"/>
  <c r="BJ375" i="4"/>
  <c r="BJ376" i="4"/>
  <c r="BJ377" i="4"/>
  <c r="BJ364" i="4"/>
  <c r="BJ355" i="4"/>
  <c r="BJ356" i="4"/>
  <c r="BJ357" i="4"/>
  <c r="BJ358" i="4"/>
  <c r="BJ354" i="4"/>
  <c r="BJ341" i="4"/>
  <c r="BJ342" i="4"/>
  <c r="BJ343" i="4"/>
  <c r="BJ344" i="4"/>
  <c r="BJ345" i="4"/>
  <c r="BJ346" i="4"/>
  <c r="BJ347" i="4"/>
  <c r="BJ348" i="4"/>
  <c r="BJ349" i="4"/>
  <c r="BJ350" i="4"/>
  <c r="BJ351" i="4"/>
  <c r="BJ352" i="4"/>
  <c r="BJ353" i="4"/>
  <c r="BJ340" i="4"/>
  <c r="BJ331" i="4"/>
  <c r="BJ332" i="4"/>
  <c r="BJ333" i="4"/>
  <c r="BJ334" i="4"/>
  <c r="BJ330" i="4"/>
  <c r="BJ317" i="4"/>
  <c r="BJ318" i="4"/>
  <c r="BJ319" i="4"/>
  <c r="BJ320" i="4"/>
  <c r="BJ321" i="4"/>
  <c r="BJ322" i="4"/>
  <c r="BJ323" i="4"/>
  <c r="BJ324" i="4"/>
  <c r="BJ325" i="4"/>
  <c r="BJ326" i="4"/>
  <c r="BJ327" i="4"/>
  <c r="BJ328" i="4"/>
  <c r="BJ329" i="4"/>
  <c r="BJ316" i="4"/>
  <c r="BJ307" i="4"/>
  <c r="BJ308" i="4"/>
  <c r="BJ309" i="4"/>
  <c r="BJ310" i="4"/>
  <c r="BJ306" i="4"/>
  <c r="BJ293" i="4"/>
  <c r="BJ294" i="4"/>
  <c r="BJ295" i="4"/>
  <c r="BJ296" i="4"/>
  <c r="BJ297" i="4"/>
  <c r="BJ298" i="4"/>
  <c r="BJ299" i="4"/>
  <c r="BJ300" i="4"/>
  <c r="BJ301" i="4"/>
  <c r="BJ302" i="4"/>
  <c r="BJ303" i="4"/>
  <c r="BJ304" i="4"/>
  <c r="BJ305" i="4"/>
  <c r="BJ292" i="4"/>
  <c r="BJ283" i="4"/>
  <c r="BJ284" i="4"/>
  <c r="BJ285" i="4"/>
  <c r="BJ286" i="4"/>
  <c r="BJ282" i="4"/>
  <c r="BJ269" i="4"/>
  <c r="BJ270" i="4"/>
  <c r="BJ271" i="4"/>
  <c r="BJ272" i="4"/>
  <c r="BJ273" i="4"/>
  <c r="BJ274" i="4"/>
  <c r="BJ275" i="4"/>
  <c r="BJ276" i="4"/>
  <c r="BJ277" i="4"/>
  <c r="BJ278" i="4"/>
  <c r="BJ279" i="4"/>
  <c r="BJ280" i="4"/>
  <c r="BJ281" i="4"/>
  <c r="BJ268" i="4"/>
  <c r="BJ259" i="4"/>
  <c r="BJ260" i="4"/>
  <c r="BJ261" i="4"/>
  <c r="BJ262" i="4"/>
  <c r="BJ258" i="4"/>
  <c r="BJ245" i="4"/>
  <c r="BJ246" i="4"/>
  <c r="BJ247" i="4"/>
  <c r="BJ248" i="4"/>
  <c r="BJ249" i="4"/>
  <c r="BJ250" i="4"/>
  <c r="BJ251" i="4"/>
  <c r="BJ252" i="4"/>
  <c r="BJ253" i="4"/>
  <c r="BJ254" i="4"/>
  <c r="BJ255" i="4"/>
  <c r="BJ256" i="4"/>
  <c r="BJ257" i="4"/>
  <c r="BJ244" i="4"/>
  <c r="BJ235" i="4"/>
  <c r="BJ236" i="4"/>
  <c r="BJ237" i="4"/>
  <c r="BJ238" i="4"/>
  <c r="BJ234" i="4"/>
  <c r="BJ221" i="4"/>
  <c r="BJ222" i="4"/>
  <c r="BJ223" i="4"/>
  <c r="BJ224" i="4"/>
  <c r="BJ225" i="4"/>
  <c r="BJ226" i="4"/>
  <c r="BJ227" i="4"/>
  <c r="BJ228" i="4"/>
  <c r="BJ229" i="4"/>
  <c r="BJ230" i="4"/>
  <c r="BJ231" i="4"/>
  <c r="BJ232" i="4"/>
  <c r="BJ233" i="4"/>
  <c r="BJ220" i="4"/>
  <c r="BJ211" i="4"/>
  <c r="BJ212" i="4"/>
  <c r="BJ213" i="4"/>
  <c r="BJ214" i="4"/>
  <c r="BJ210" i="4"/>
  <c r="BJ197" i="4"/>
  <c r="BJ198" i="4"/>
  <c r="BJ199" i="4"/>
  <c r="BJ200" i="4"/>
  <c r="BJ201" i="4"/>
  <c r="BJ202" i="4"/>
  <c r="BJ203" i="4"/>
  <c r="BJ204" i="4"/>
  <c r="BJ205" i="4"/>
  <c r="BJ206" i="4"/>
  <c r="BJ207" i="4"/>
  <c r="BJ208" i="4"/>
  <c r="BJ209" i="4"/>
  <c r="BJ196" i="4"/>
  <c r="BJ187" i="4"/>
  <c r="BJ188" i="4"/>
  <c r="BJ189" i="4"/>
  <c r="BJ190" i="4"/>
  <c r="BJ186" i="4"/>
  <c r="BJ173" i="4"/>
  <c r="BJ174" i="4"/>
  <c r="BJ175" i="4"/>
  <c r="BJ176" i="4"/>
  <c r="BJ177" i="4"/>
  <c r="BJ178" i="4"/>
  <c r="BJ179" i="4"/>
  <c r="BJ180" i="4"/>
  <c r="BJ181" i="4"/>
  <c r="BJ182" i="4"/>
  <c r="BJ183" i="4"/>
  <c r="BJ184" i="4"/>
  <c r="BJ185" i="4"/>
  <c r="BJ172" i="4"/>
  <c r="BJ163" i="4"/>
  <c r="BJ164" i="4"/>
  <c r="BJ165" i="4"/>
  <c r="BJ166" i="4"/>
  <c r="BJ162" i="4"/>
  <c r="BJ149" i="4"/>
  <c r="BJ150" i="4"/>
  <c r="BJ151" i="4"/>
  <c r="BJ152" i="4"/>
  <c r="BJ153" i="4"/>
  <c r="BJ154" i="4"/>
  <c r="BJ155" i="4"/>
  <c r="BJ156" i="4"/>
  <c r="BJ157" i="4"/>
  <c r="BJ158" i="4"/>
  <c r="BJ159" i="4"/>
  <c r="BJ160" i="4"/>
  <c r="BJ161" i="4"/>
  <c r="BJ148" i="4"/>
  <c r="BJ139" i="4"/>
  <c r="BJ140" i="4"/>
  <c r="BJ141" i="4"/>
  <c r="BJ142" i="4"/>
  <c r="BJ138" i="4"/>
  <c r="BJ125" i="4"/>
  <c r="BJ126" i="4"/>
  <c r="BJ127" i="4"/>
  <c r="BJ128" i="4"/>
  <c r="BJ129" i="4"/>
  <c r="BJ130" i="4"/>
  <c r="BJ131" i="4"/>
  <c r="BJ132" i="4"/>
  <c r="BJ133" i="4"/>
  <c r="BJ134" i="4"/>
  <c r="BJ135" i="4"/>
  <c r="BJ136" i="4"/>
  <c r="BJ137" i="4"/>
  <c r="BJ124" i="4"/>
  <c r="BJ114" i="4"/>
  <c r="BJ115" i="4"/>
  <c r="BJ116" i="4"/>
  <c r="BJ117" i="4"/>
  <c r="BJ113" i="4"/>
  <c r="BJ100" i="4"/>
  <c r="BJ101" i="4"/>
  <c r="BJ102" i="4"/>
  <c r="BJ103" i="4"/>
  <c r="BJ104" i="4"/>
  <c r="BJ105" i="4"/>
  <c r="BJ106" i="4"/>
  <c r="BJ107" i="4"/>
  <c r="BJ108" i="4"/>
  <c r="BJ109" i="4"/>
  <c r="BJ110" i="4"/>
  <c r="BJ111" i="4"/>
  <c r="BJ112" i="4"/>
  <c r="BJ99" i="4"/>
  <c r="BJ91" i="4"/>
  <c r="BJ92" i="4"/>
  <c r="BJ93" i="4"/>
  <c r="BJ94" i="4"/>
  <c r="BJ90" i="4"/>
  <c r="BJ77" i="4"/>
  <c r="BJ78" i="4"/>
  <c r="BJ79" i="4"/>
  <c r="BJ80" i="4"/>
  <c r="BJ81" i="4"/>
  <c r="BJ82" i="4"/>
  <c r="BJ83" i="4"/>
  <c r="BJ84" i="4"/>
  <c r="BJ85" i="4"/>
  <c r="BJ86" i="4"/>
  <c r="BJ87" i="4"/>
  <c r="BJ88" i="4"/>
  <c r="BJ89" i="4"/>
  <c r="BJ76" i="4"/>
  <c r="BJ67" i="4"/>
  <c r="BJ68" i="4"/>
  <c r="BJ69" i="4"/>
  <c r="BJ70" i="4"/>
  <c r="BJ66" i="4"/>
  <c r="BJ53" i="4"/>
  <c r="BJ54" i="4"/>
  <c r="BJ55" i="4"/>
  <c r="BJ56" i="4"/>
  <c r="BJ57" i="4"/>
  <c r="BJ58" i="4"/>
  <c r="BJ59" i="4"/>
  <c r="BJ60" i="4"/>
  <c r="BJ61" i="4"/>
  <c r="BJ62" i="4"/>
  <c r="BJ63" i="4"/>
  <c r="BJ64" i="4"/>
  <c r="BJ65" i="4"/>
  <c r="BJ52" i="4"/>
  <c r="BJ43" i="4"/>
  <c r="BJ44" i="4"/>
  <c r="BJ45" i="4"/>
  <c r="BJ46" i="4"/>
  <c r="BJ42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28" i="4"/>
  <c r="BJ19" i="4"/>
  <c r="BJ20" i="4"/>
  <c r="BJ21" i="4"/>
  <c r="BJ22" i="4"/>
  <c r="BJ18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4" i="4"/>
  <c r="BC451" i="4"/>
  <c r="BC452" i="4"/>
  <c r="BC453" i="4"/>
  <c r="BC454" i="4"/>
  <c r="BC450" i="4"/>
  <c r="BC437" i="4"/>
  <c r="BC438" i="4"/>
  <c r="BC439" i="4"/>
  <c r="BC440" i="4"/>
  <c r="BC441" i="4"/>
  <c r="BC442" i="4"/>
  <c r="BC443" i="4"/>
  <c r="BC444" i="4"/>
  <c r="BC445" i="4"/>
  <c r="BC446" i="4"/>
  <c r="BC447" i="4"/>
  <c r="BC448" i="4"/>
  <c r="BC449" i="4"/>
  <c r="BC436" i="4"/>
  <c r="BC427" i="4"/>
  <c r="BC428" i="4"/>
  <c r="BC429" i="4"/>
  <c r="BC430" i="4"/>
  <c r="BC426" i="4"/>
  <c r="BC413" i="4"/>
  <c r="BC414" i="4"/>
  <c r="BC415" i="4"/>
  <c r="BC416" i="4"/>
  <c r="BC417" i="4"/>
  <c r="BC418" i="4"/>
  <c r="BC419" i="4"/>
  <c r="BC420" i="4"/>
  <c r="BC421" i="4"/>
  <c r="BC422" i="4"/>
  <c r="BC423" i="4"/>
  <c r="BC424" i="4"/>
  <c r="BC425" i="4"/>
  <c r="BC412" i="4"/>
  <c r="BC403" i="4"/>
  <c r="BC404" i="4"/>
  <c r="BC405" i="4"/>
  <c r="BC406" i="4"/>
  <c r="BC402" i="4"/>
  <c r="BC389" i="4"/>
  <c r="BC390" i="4"/>
  <c r="BC391" i="4"/>
  <c r="BC392" i="4"/>
  <c r="BC393" i="4"/>
  <c r="BC394" i="4"/>
  <c r="BC395" i="4"/>
  <c r="BC396" i="4"/>
  <c r="BC397" i="4"/>
  <c r="BC398" i="4"/>
  <c r="BC399" i="4"/>
  <c r="BC400" i="4"/>
  <c r="BC401" i="4"/>
  <c r="BC388" i="4"/>
  <c r="AV379" i="4"/>
  <c r="AV380" i="4"/>
  <c r="AV381" i="4"/>
  <c r="AV382" i="4"/>
  <c r="AV378" i="4"/>
  <c r="AV365" i="4"/>
  <c r="AV366" i="4"/>
  <c r="AV367" i="4"/>
  <c r="AV368" i="4"/>
  <c r="AV369" i="4"/>
  <c r="AV370" i="4"/>
  <c r="AV371" i="4"/>
  <c r="AV372" i="4"/>
  <c r="AV373" i="4"/>
  <c r="AV374" i="4"/>
  <c r="AV375" i="4"/>
  <c r="AV376" i="4"/>
  <c r="AV377" i="4"/>
  <c r="AV364" i="4"/>
  <c r="AV355" i="4"/>
  <c r="AV356" i="4"/>
  <c r="AV357" i="4"/>
  <c r="AV358" i="4"/>
  <c r="AV354" i="4"/>
  <c r="AV341" i="4"/>
  <c r="AV342" i="4"/>
  <c r="AV343" i="4"/>
  <c r="AV344" i="4"/>
  <c r="AV345" i="4"/>
  <c r="AV346" i="4"/>
  <c r="AV347" i="4"/>
  <c r="AV348" i="4"/>
  <c r="AV349" i="4"/>
  <c r="AV350" i="4"/>
  <c r="AV351" i="4"/>
  <c r="AV352" i="4"/>
  <c r="AV353" i="4"/>
  <c r="AV340" i="4"/>
  <c r="AV331" i="4"/>
  <c r="AV332" i="4"/>
  <c r="AV333" i="4"/>
  <c r="AV334" i="4"/>
  <c r="AV330" i="4"/>
  <c r="AV317" i="4"/>
  <c r="AV318" i="4"/>
  <c r="AV319" i="4"/>
  <c r="AV320" i="4"/>
  <c r="AV321" i="4"/>
  <c r="AV322" i="4"/>
  <c r="AV323" i="4"/>
  <c r="AV324" i="4"/>
  <c r="AV325" i="4"/>
  <c r="AV326" i="4"/>
  <c r="AV327" i="4"/>
  <c r="AV328" i="4"/>
  <c r="AV329" i="4"/>
  <c r="AV316" i="4"/>
  <c r="AV307" i="4"/>
  <c r="AV308" i="4"/>
  <c r="AV309" i="4"/>
  <c r="AV310" i="4"/>
  <c r="AV306" i="4"/>
  <c r="AV293" i="4"/>
  <c r="AV294" i="4"/>
  <c r="AV295" i="4"/>
  <c r="AV296" i="4"/>
  <c r="AV297" i="4"/>
  <c r="AV298" i="4"/>
  <c r="AV299" i="4"/>
  <c r="AV300" i="4"/>
  <c r="AV301" i="4"/>
  <c r="AV302" i="4"/>
  <c r="AV303" i="4"/>
  <c r="AV304" i="4"/>
  <c r="AV305" i="4"/>
  <c r="AV292" i="4"/>
  <c r="AV283" i="4"/>
  <c r="AV284" i="4"/>
  <c r="AV285" i="4"/>
  <c r="AV286" i="4"/>
  <c r="AV282" i="4"/>
  <c r="AV269" i="4"/>
  <c r="AV270" i="4"/>
  <c r="AV271" i="4"/>
  <c r="AV272" i="4"/>
  <c r="AV273" i="4"/>
  <c r="AV274" i="4"/>
  <c r="AV275" i="4"/>
  <c r="AV276" i="4"/>
  <c r="AV277" i="4"/>
  <c r="AV278" i="4"/>
  <c r="AV279" i="4"/>
  <c r="AV280" i="4"/>
  <c r="AV281" i="4"/>
  <c r="AV268" i="4"/>
  <c r="AV259" i="4"/>
  <c r="AV260" i="4"/>
  <c r="AV261" i="4"/>
  <c r="AV262" i="4"/>
  <c r="AV258" i="4"/>
  <c r="AV245" i="4"/>
  <c r="AV246" i="4"/>
  <c r="AV247" i="4"/>
  <c r="AV248" i="4"/>
  <c r="AV249" i="4"/>
  <c r="AV250" i="4"/>
  <c r="AV251" i="4"/>
  <c r="AV252" i="4"/>
  <c r="AV253" i="4"/>
  <c r="AV254" i="4"/>
  <c r="AV255" i="4"/>
  <c r="AV256" i="4"/>
  <c r="AV257" i="4"/>
  <c r="AV244" i="4"/>
  <c r="AV235" i="4"/>
  <c r="AV236" i="4"/>
  <c r="AV237" i="4"/>
  <c r="AV238" i="4"/>
  <c r="AV234" i="4"/>
  <c r="AV221" i="4"/>
  <c r="AV222" i="4"/>
  <c r="AV223" i="4"/>
  <c r="AV224" i="4"/>
  <c r="AV225" i="4"/>
  <c r="AV226" i="4"/>
  <c r="AV227" i="4"/>
  <c r="AV228" i="4"/>
  <c r="AV229" i="4"/>
  <c r="AV230" i="4"/>
  <c r="AV231" i="4"/>
  <c r="AV232" i="4"/>
  <c r="AV233" i="4"/>
  <c r="AV220" i="4"/>
  <c r="AV211" i="4"/>
  <c r="AV212" i="4"/>
  <c r="AV213" i="4"/>
  <c r="AV214" i="4"/>
  <c r="AV210" i="4"/>
  <c r="AV197" i="4"/>
  <c r="AV198" i="4"/>
  <c r="AV199" i="4"/>
  <c r="AV200" i="4"/>
  <c r="AV201" i="4"/>
  <c r="AV202" i="4"/>
  <c r="AV203" i="4"/>
  <c r="AV204" i="4"/>
  <c r="AV205" i="4"/>
  <c r="AV206" i="4"/>
  <c r="AV207" i="4"/>
  <c r="AV208" i="4"/>
  <c r="AV209" i="4"/>
  <c r="AV196" i="4"/>
  <c r="AV187" i="4"/>
  <c r="AV188" i="4"/>
  <c r="AV189" i="4"/>
  <c r="AV190" i="4"/>
  <c r="AV186" i="4"/>
  <c r="AV173" i="4"/>
  <c r="AV174" i="4"/>
  <c r="AV175" i="4"/>
  <c r="AV176" i="4"/>
  <c r="AV177" i="4"/>
  <c r="AV178" i="4"/>
  <c r="AV179" i="4"/>
  <c r="AV180" i="4"/>
  <c r="AV181" i="4"/>
  <c r="AV182" i="4"/>
  <c r="AV183" i="4"/>
  <c r="AV184" i="4"/>
  <c r="AV185" i="4"/>
  <c r="AV172" i="4"/>
  <c r="AV163" i="4"/>
  <c r="AV164" i="4"/>
  <c r="AV165" i="4"/>
  <c r="AV166" i="4"/>
  <c r="AV162" i="4"/>
  <c r="AV149" i="4"/>
  <c r="AV150" i="4"/>
  <c r="AV151" i="4"/>
  <c r="AV152" i="4"/>
  <c r="AV153" i="4"/>
  <c r="AV154" i="4"/>
  <c r="AV155" i="4"/>
  <c r="AV156" i="4"/>
  <c r="AV157" i="4"/>
  <c r="AV158" i="4"/>
  <c r="AV159" i="4"/>
  <c r="AV160" i="4"/>
  <c r="AV161" i="4"/>
  <c r="AV148" i="4"/>
  <c r="AV139" i="4"/>
  <c r="AV140" i="4"/>
  <c r="AV141" i="4"/>
  <c r="AV142" i="4"/>
  <c r="AV138" i="4"/>
  <c r="AV125" i="4"/>
  <c r="AV126" i="4"/>
  <c r="AV127" i="4"/>
  <c r="AV128" i="4"/>
  <c r="AV129" i="4"/>
  <c r="AV130" i="4"/>
  <c r="AV131" i="4"/>
  <c r="AV132" i="4"/>
  <c r="AV133" i="4"/>
  <c r="AV134" i="4"/>
  <c r="AV135" i="4"/>
  <c r="AV136" i="4"/>
  <c r="AV137" i="4"/>
  <c r="AV124" i="4"/>
  <c r="AV114" i="4"/>
  <c r="AV115" i="4"/>
  <c r="AV116" i="4"/>
  <c r="AV117" i="4"/>
  <c r="AV113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99" i="4"/>
  <c r="AV91" i="4"/>
  <c r="AV92" i="4"/>
  <c r="AV93" i="4"/>
  <c r="AV94" i="4"/>
  <c r="AV90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76" i="4"/>
  <c r="AV66" i="4"/>
  <c r="AV67" i="4"/>
  <c r="AV68" i="4"/>
  <c r="AV69" i="4"/>
  <c r="AV70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52" i="4"/>
  <c r="AV43" i="4"/>
  <c r="AV44" i="4"/>
  <c r="AV45" i="4"/>
  <c r="AV46" i="4"/>
  <c r="AV42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28" i="4"/>
  <c r="AV19" i="4"/>
  <c r="AV20" i="4"/>
  <c r="AV21" i="4"/>
  <c r="AV22" i="4"/>
  <c r="AV18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4" i="4"/>
  <c r="AR25" i="4"/>
  <c r="AP25" i="4"/>
  <c r="AR24" i="4"/>
  <c r="AP24" i="4"/>
  <c r="AR23" i="4"/>
  <c r="AP23" i="4"/>
  <c r="AV451" i="4"/>
  <c r="AV452" i="4"/>
  <c r="AV453" i="4"/>
  <c r="AV454" i="4"/>
  <c r="AV450" i="4"/>
  <c r="AV437" i="4"/>
  <c r="AV438" i="4"/>
  <c r="AV439" i="4"/>
  <c r="AV440" i="4"/>
  <c r="AV441" i="4"/>
  <c r="AV442" i="4"/>
  <c r="AV443" i="4"/>
  <c r="AV444" i="4"/>
  <c r="AV445" i="4"/>
  <c r="AV446" i="4"/>
  <c r="AV447" i="4"/>
  <c r="AV448" i="4"/>
  <c r="AV449" i="4"/>
  <c r="AV436" i="4"/>
  <c r="AV427" i="4"/>
  <c r="AV428" i="4"/>
  <c r="AV429" i="4"/>
  <c r="AV430" i="4"/>
  <c r="AV426" i="4"/>
  <c r="AV413" i="4"/>
  <c r="AV414" i="4"/>
  <c r="AV415" i="4"/>
  <c r="AV416" i="4"/>
  <c r="AV417" i="4"/>
  <c r="AV418" i="4"/>
  <c r="AV419" i="4"/>
  <c r="AV420" i="4"/>
  <c r="AV421" i="4"/>
  <c r="AV422" i="4"/>
  <c r="AV423" i="4"/>
  <c r="AV424" i="4"/>
  <c r="AV425" i="4"/>
  <c r="AV412" i="4"/>
  <c r="AV403" i="4"/>
  <c r="AV404" i="4"/>
  <c r="AV405" i="4"/>
  <c r="AV406" i="4"/>
  <c r="AV402" i="4"/>
  <c r="AV389" i="4"/>
  <c r="AV390" i="4"/>
  <c r="AV391" i="4"/>
  <c r="AV392" i="4"/>
  <c r="AV393" i="4"/>
  <c r="AV394" i="4"/>
  <c r="AV395" i="4"/>
  <c r="AV396" i="4"/>
  <c r="AV397" i="4"/>
  <c r="AV398" i="4"/>
  <c r="AV399" i="4"/>
  <c r="AV400" i="4"/>
  <c r="AV401" i="4"/>
  <c r="AV388" i="4"/>
  <c r="AM379" i="4"/>
  <c r="AM380" i="4"/>
  <c r="AM381" i="4"/>
  <c r="AM382" i="4"/>
  <c r="AM378" i="4"/>
  <c r="AM365" i="4"/>
  <c r="AM366" i="4"/>
  <c r="AM367" i="4"/>
  <c r="AM368" i="4"/>
  <c r="AM369" i="4"/>
  <c r="AM370" i="4"/>
  <c r="AM371" i="4"/>
  <c r="AM372" i="4"/>
  <c r="AM373" i="4"/>
  <c r="AM374" i="4"/>
  <c r="AM375" i="4"/>
  <c r="AM376" i="4"/>
  <c r="AM377" i="4"/>
  <c r="AM364" i="4"/>
  <c r="AM355" i="4"/>
  <c r="AM356" i="4"/>
  <c r="AM357" i="4"/>
  <c r="AM358" i="4"/>
  <c r="AM354" i="4"/>
  <c r="AM341" i="4"/>
  <c r="AM342" i="4"/>
  <c r="AM343" i="4"/>
  <c r="AM344" i="4"/>
  <c r="AM345" i="4"/>
  <c r="AM346" i="4"/>
  <c r="AM347" i="4"/>
  <c r="AM348" i="4"/>
  <c r="AM349" i="4"/>
  <c r="AM350" i="4"/>
  <c r="AM351" i="4"/>
  <c r="AM352" i="4"/>
  <c r="AM353" i="4"/>
  <c r="AM340" i="4"/>
  <c r="AM331" i="4"/>
  <c r="AM332" i="4"/>
  <c r="AM333" i="4"/>
  <c r="AM334" i="4"/>
  <c r="AM330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16" i="4"/>
  <c r="AM307" i="4"/>
  <c r="AM308" i="4"/>
  <c r="AM309" i="4"/>
  <c r="AM310" i="4"/>
  <c r="AM306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292" i="4"/>
  <c r="AM283" i="4"/>
  <c r="AM284" i="4"/>
  <c r="AM285" i="4"/>
  <c r="AM286" i="4"/>
  <c r="AM282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68" i="4"/>
  <c r="AM259" i="4"/>
  <c r="AM260" i="4"/>
  <c r="AM261" i="4"/>
  <c r="AM262" i="4"/>
  <c r="AM258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44" i="4"/>
  <c r="AM235" i="4"/>
  <c r="AM236" i="4"/>
  <c r="AM237" i="4"/>
  <c r="AM238" i="4"/>
  <c r="AM234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20" i="4"/>
  <c r="AM211" i="4"/>
  <c r="AM212" i="4"/>
  <c r="AM213" i="4"/>
  <c r="AM214" i="4"/>
  <c r="AM210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196" i="4"/>
  <c r="AM187" i="4"/>
  <c r="AM188" i="4"/>
  <c r="AM189" i="4"/>
  <c r="AM190" i="4"/>
  <c r="AM186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72" i="4"/>
  <c r="AM163" i="4"/>
  <c r="AM164" i="4"/>
  <c r="AM165" i="4"/>
  <c r="AM166" i="4"/>
  <c r="AM162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48" i="4"/>
  <c r="AM139" i="4"/>
  <c r="AM140" i="4"/>
  <c r="AM141" i="4"/>
  <c r="AM142" i="4"/>
  <c r="AM138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24" i="4"/>
  <c r="AM114" i="4"/>
  <c r="AM115" i="4"/>
  <c r="AM116" i="4"/>
  <c r="AM117" i="4"/>
  <c r="AM113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99" i="4"/>
  <c r="AM91" i="4"/>
  <c r="AM92" i="4"/>
  <c r="AM93" i="4"/>
  <c r="AM94" i="4"/>
  <c r="AM90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76" i="4"/>
  <c r="AM67" i="4"/>
  <c r="AM68" i="4"/>
  <c r="AM69" i="4"/>
  <c r="AM70" i="4"/>
  <c r="AM66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52" i="4"/>
  <c r="AM43" i="4"/>
  <c r="AM44" i="4"/>
  <c r="AM45" i="4"/>
  <c r="AM46" i="4"/>
  <c r="AM42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28" i="4"/>
  <c r="AM19" i="4"/>
  <c r="AM20" i="4"/>
  <c r="AM21" i="4"/>
  <c r="AM22" i="4"/>
  <c r="AM18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4" i="4"/>
  <c r="AG25" i="4"/>
  <c r="AE25" i="4"/>
  <c r="AC25" i="4"/>
  <c r="AG24" i="4"/>
  <c r="AE24" i="4"/>
  <c r="AC24" i="4"/>
  <c r="Y19" i="4"/>
  <c r="Y20" i="4"/>
  <c r="Y21" i="4"/>
  <c r="Y22" i="4"/>
  <c r="Y18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4" i="4"/>
  <c r="Y43" i="4"/>
  <c r="Y44" i="4"/>
  <c r="Y45" i="4"/>
  <c r="Y46" i="4"/>
  <c r="Y42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28" i="4"/>
  <c r="Y67" i="4"/>
  <c r="Y68" i="4"/>
  <c r="Y69" i="4"/>
  <c r="Y70" i="4"/>
  <c r="Y66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52" i="4"/>
  <c r="Y90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76" i="4"/>
  <c r="Y94" i="4"/>
  <c r="Y93" i="4"/>
  <c r="Y92" i="4"/>
  <c r="Y91" i="4"/>
  <c r="Y115" i="4"/>
  <c r="Y116" i="4"/>
  <c r="Y117" i="4"/>
  <c r="Y118" i="4"/>
  <c r="Y114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00" i="4"/>
  <c r="Y139" i="4"/>
  <c r="Y140" i="4"/>
  <c r="Y141" i="4"/>
  <c r="Y142" i="4"/>
  <c r="Y138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24" i="4"/>
  <c r="Y163" i="4"/>
  <c r="Y164" i="4"/>
  <c r="Y165" i="4"/>
  <c r="Y166" i="4"/>
  <c r="Y162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48" i="4"/>
  <c r="Y187" i="4"/>
  <c r="Y186" i="4"/>
  <c r="Y188" i="4"/>
  <c r="Y189" i="4"/>
  <c r="Y190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72" i="4"/>
  <c r="Y211" i="4"/>
  <c r="Y212" i="4"/>
  <c r="Y213" i="4"/>
  <c r="Y214" i="4"/>
  <c r="Y210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196" i="4"/>
  <c r="Y235" i="4"/>
  <c r="Y236" i="4"/>
  <c r="Y237" i="4"/>
  <c r="Y238" i="4"/>
  <c r="Y234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20" i="4"/>
  <c r="Y259" i="4"/>
  <c r="Y260" i="4"/>
  <c r="Y261" i="4"/>
  <c r="Y262" i="4"/>
  <c r="Y258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44" i="4"/>
  <c r="Y283" i="4"/>
  <c r="Y284" i="4"/>
  <c r="Y285" i="4"/>
  <c r="Y286" i="4"/>
  <c r="Y282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68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292" i="4"/>
  <c r="Y307" i="4"/>
  <c r="Y308" i="4"/>
  <c r="Y309" i="4"/>
  <c r="Y310" i="4"/>
  <c r="Y306" i="4"/>
  <c r="Y316" i="4"/>
  <c r="Y331" i="4"/>
  <c r="Y332" i="4"/>
  <c r="Y333" i="4"/>
  <c r="Y334" i="4"/>
  <c r="Y330" i="4"/>
  <c r="Y358" i="4"/>
  <c r="AF337" i="4"/>
  <c r="AD337" i="4"/>
  <c r="AF336" i="4"/>
  <c r="AD336" i="4"/>
  <c r="AF335" i="4"/>
  <c r="AD335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55" i="4"/>
  <c r="Y356" i="4"/>
  <c r="Y357" i="4"/>
  <c r="Y354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40" i="4"/>
  <c r="Y378" i="4"/>
  <c r="Y364" i="4"/>
  <c r="Y379" i="4"/>
  <c r="Y380" i="4"/>
  <c r="Y381" i="4"/>
  <c r="Y382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AH403" i="4"/>
  <c r="AH404" i="4"/>
  <c r="AH405" i="4"/>
  <c r="AH406" i="4"/>
  <c r="AH402" i="4"/>
  <c r="AH389" i="4"/>
  <c r="AH390" i="4"/>
  <c r="AH391" i="4"/>
  <c r="AH392" i="4"/>
  <c r="AH393" i="4"/>
  <c r="AH394" i="4"/>
  <c r="AH395" i="4"/>
  <c r="AH396" i="4"/>
  <c r="AH397" i="4"/>
  <c r="AH398" i="4"/>
  <c r="AH399" i="4"/>
  <c r="AH400" i="4"/>
  <c r="AH401" i="4"/>
  <c r="AH388" i="4"/>
  <c r="AH427" i="4"/>
  <c r="AH428" i="4"/>
  <c r="AH429" i="4"/>
  <c r="AH430" i="4"/>
  <c r="AH426" i="4"/>
  <c r="AH413" i="4"/>
  <c r="AH414" i="4"/>
  <c r="AH415" i="4"/>
  <c r="AH416" i="4"/>
  <c r="AH417" i="4"/>
  <c r="AH418" i="4"/>
  <c r="AH419" i="4"/>
  <c r="AH420" i="4"/>
  <c r="AH421" i="4"/>
  <c r="AH422" i="4"/>
  <c r="AH423" i="4"/>
  <c r="AH424" i="4"/>
  <c r="AH425" i="4"/>
  <c r="AH412" i="4"/>
  <c r="AH442" i="4"/>
  <c r="AH445" i="4"/>
  <c r="AH436" i="4"/>
  <c r="E460" i="4"/>
  <c r="C460" i="4"/>
  <c r="AH441" i="4" s="1"/>
  <c r="E459" i="4"/>
  <c r="C459" i="4"/>
  <c r="AH443" i="4" s="1"/>
  <c r="E458" i="4"/>
  <c r="AH451" i="4" s="1"/>
  <c r="C458" i="4"/>
  <c r="AH440" i="4" s="1"/>
  <c r="Q20" i="5"/>
  <c r="Q19" i="5"/>
  <c r="Q18" i="5"/>
  <c r="I20" i="5"/>
  <c r="I19" i="5"/>
  <c r="I18" i="5"/>
  <c r="O20" i="5"/>
  <c r="O19" i="5"/>
  <c r="O18" i="5"/>
  <c r="G20" i="5"/>
  <c r="G19" i="5"/>
  <c r="G18" i="5"/>
  <c r="AC437" i="4"/>
  <c r="AC440" i="4"/>
  <c r="AC445" i="4"/>
  <c r="AC448" i="4"/>
  <c r="AC414" i="4"/>
  <c r="AC419" i="4"/>
  <c r="AC422" i="4"/>
  <c r="W391" i="4"/>
  <c r="W394" i="4"/>
  <c r="W399" i="4"/>
  <c r="W388" i="4"/>
  <c r="S7" i="4"/>
  <c r="S12" i="4"/>
  <c r="S15" i="4"/>
  <c r="S33" i="4"/>
  <c r="S36" i="4"/>
  <c r="S41" i="4"/>
  <c r="S54" i="4"/>
  <c r="S57" i="4"/>
  <c r="S62" i="4"/>
  <c r="S65" i="4"/>
  <c r="S78" i="4"/>
  <c r="S83" i="4"/>
  <c r="S86" i="4"/>
  <c r="S104" i="4"/>
  <c r="S107" i="4"/>
  <c r="S112" i="4"/>
  <c r="S125" i="4"/>
  <c r="S128" i="4"/>
  <c r="S133" i="4"/>
  <c r="S136" i="4"/>
  <c r="S149" i="4"/>
  <c r="S154" i="4"/>
  <c r="S157" i="4"/>
  <c r="S148" i="4"/>
  <c r="S175" i="4"/>
  <c r="S178" i="4"/>
  <c r="S183" i="4"/>
  <c r="S172" i="4"/>
  <c r="S200" i="4"/>
  <c r="S203" i="4"/>
  <c r="S209" i="4"/>
  <c r="S225" i="4"/>
  <c r="S228" i="4"/>
  <c r="S233" i="4"/>
  <c r="S246" i="4"/>
  <c r="S249" i="4"/>
  <c r="S254" i="4"/>
  <c r="S257" i="4"/>
  <c r="S274" i="4"/>
  <c r="S277" i="4"/>
  <c r="S296" i="4"/>
  <c r="S299" i="4"/>
  <c r="S304" i="4"/>
  <c r="S317" i="4"/>
  <c r="S320" i="4"/>
  <c r="S325" i="4"/>
  <c r="S328" i="4"/>
  <c r="S341" i="4"/>
  <c r="S346" i="4"/>
  <c r="S349" i="4"/>
  <c r="S340" i="4"/>
  <c r="S368" i="4"/>
  <c r="S371" i="4"/>
  <c r="S376" i="4"/>
  <c r="S364" i="4"/>
  <c r="W443" i="4"/>
  <c r="P436" i="4"/>
  <c r="W438" i="4" s="1"/>
  <c r="P421" i="4"/>
  <c r="V427" i="4" s="1"/>
  <c r="U409" i="4"/>
  <c r="P447" i="4" s="1"/>
  <c r="Q409" i="4"/>
  <c r="AC454" i="4" s="1"/>
  <c r="U408" i="4"/>
  <c r="P437" i="4" s="1"/>
  <c r="Q408" i="4"/>
  <c r="AC443" i="4" s="1"/>
  <c r="S409" i="4"/>
  <c r="AC427" i="4" s="1"/>
  <c r="S408" i="4"/>
  <c r="P412" i="4" s="1"/>
  <c r="G24" i="15" l="1"/>
  <c r="J24" i="15" s="1"/>
  <c r="M24" i="15" s="1"/>
  <c r="W416" i="4"/>
  <c r="W424" i="4"/>
  <c r="W418" i="4"/>
  <c r="W417" i="4"/>
  <c r="W425" i="4"/>
  <c r="W412" i="4"/>
  <c r="W419" i="4"/>
  <c r="W413" i="4"/>
  <c r="W420" i="4"/>
  <c r="W414" i="4"/>
  <c r="W422" i="4"/>
  <c r="W426" i="4"/>
  <c r="W415" i="4"/>
  <c r="W423" i="4"/>
  <c r="W421" i="4"/>
  <c r="S381" i="4"/>
  <c r="S331" i="4"/>
  <c r="W440" i="4"/>
  <c r="S44" i="4"/>
  <c r="W445" i="4"/>
  <c r="W437" i="4"/>
  <c r="S373" i="4"/>
  <c r="S378" i="4"/>
  <c r="S351" i="4"/>
  <c r="S343" i="4"/>
  <c r="S316" i="4"/>
  <c r="S322" i="4"/>
  <c r="S333" i="4"/>
  <c r="S301" i="4"/>
  <c r="S293" i="4"/>
  <c r="S279" i="4"/>
  <c r="S271" i="4"/>
  <c r="S269" i="4"/>
  <c r="S251" i="4"/>
  <c r="S262" i="4"/>
  <c r="S230" i="4"/>
  <c r="S222" i="4"/>
  <c r="S210" i="4"/>
  <c r="S205" i="4"/>
  <c r="S197" i="4"/>
  <c r="S180" i="4"/>
  <c r="S186" i="4"/>
  <c r="S159" i="4"/>
  <c r="S151" i="4"/>
  <c r="S124" i="4"/>
  <c r="S130" i="4"/>
  <c r="S141" i="4"/>
  <c r="S109" i="4"/>
  <c r="S101" i="4"/>
  <c r="S88" i="4"/>
  <c r="S80" i="4"/>
  <c r="S91" i="4"/>
  <c r="S59" i="4"/>
  <c r="S70" i="4"/>
  <c r="S38" i="4"/>
  <c r="S30" i="4"/>
  <c r="S17" i="4"/>
  <c r="S9" i="4"/>
  <c r="S20" i="4"/>
  <c r="W396" i="4"/>
  <c r="W402" i="4"/>
  <c r="AC424" i="4"/>
  <c r="AC416" i="4"/>
  <c r="AC436" i="4"/>
  <c r="AC442" i="4"/>
  <c r="AC453" i="4"/>
  <c r="AH447" i="4"/>
  <c r="AH439" i="4"/>
  <c r="V429" i="4"/>
  <c r="S357" i="4"/>
  <c r="S236" i="4"/>
  <c r="S115" i="4"/>
  <c r="S94" i="4"/>
  <c r="AC430" i="4"/>
  <c r="V430" i="4"/>
  <c r="P413" i="4"/>
  <c r="P435" i="4"/>
  <c r="W444" i="4"/>
  <c r="S372" i="4"/>
  <c r="S382" i="4"/>
  <c r="S350" i="4"/>
  <c r="S342" i="4"/>
  <c r="S329" i="4"/>
  <c r="S321" i="4"/>
  <c r="S332" i="4"/>
  <c r="S300" i="4"/>
  <c r="S306" i="4"/>
  <c r="S278" i="4"/>
  <c r="S270" i="4"/>
  <c r="S244" i="4"/>
  <c r="S250" i="4"/>
  <c r="S261" i="4"/>
  <c r="S229" i="4"/>
  <c r="S221" i="4"/>
  <c r="S214" i="4"/>
  <c r="S204" i="4"/>
  <c r="S207" i="4"/>
  <c r="S179" i="4"/>
  <c r="S190" i="4"/>
  <c r="S158" i="4"/>
  <c r="S150" i="4"/>
  <c r="S137" i="4"/>
  <c r="S129" i="4"/>
  <c r="S140" i="4"/>
  <c r="S108" i="4"/>
  <c r="S114" i="4"/>
  <c r="S87" i="4"/>
  <c r="S79" i="4"/>
  <c r="S52" i="4"/>
  <c r="S58" i="4"/>
  <c r="S69" i="4"/>
  <c r="S37" i="4"/>
  <c r="S29" i="4"/>
  <c r="S16" i="4"/>
  <c r="S8" i="4"/>
  <c r="S19" i="4"/>
  <c r="W395" i="4"/>
  <c r="W406" i="4"/>
  <c r="AC423" i="4"/>
  <c r="AC415" i="4"/>
  <c r="AC449" i="4"/>
  <c r="AC441" i="4"/>
  <c r="AC452" i="4"/>
  <c r="AH446" i="4"/>
  <c r="AH438" i="4"/>
  <c r="AH437" i="4"/>
  <c r="W436" i="4"/>
  <c r="S282" i="4"/>
  <c r="S213" i="4"/>
  <c r="S189" i="4"/>
  <c r="W405" i="4"/>
  <c r="V428" i="4"/>
  <c r="P422" i="4"/>
  <c r="W450" i="4"/>
  <c r="W442" i="4"/>
  <c r="S365" i="4"/>
  <c r="S370" i="4"/>
  <c r="S380" i="4"/>
  <c r="S348" i="4"/>
  <c r="S354" i="4"/>
  <c r="S327" i="4"/>
  <c r="S319" i="4"/>
  <c r="S292" i="4"/>
  <c r="S298" i="4"/>
  <c r="S309" i="4"/>
  <c r="S276" i="4"/>
  <c r="S286" i="4"/>
  <c r="S256" i="4"/>
  <c r="S248" i="4"/>
  <c r="S259" i="4"/>
  <c r="S227" i="4"/>
  <c r="S238" i="4"/>
  <c r="S212" i="4"/>
  <c r="S202" i="4"/>
  <c r="S185" i="4"/>
  <c r="S177" i="4"/>
  <c r="S188" i="4"/>
  <c r="S156" i="4"/>
  <c r="S162" i="4"/>
  <c r="S135" i="4"/>
  <c r="S127" i="4"/>
  <c r="S100" i="4"/>
  <c r="S106" i="4"/>
  <c r="S117" i="4"/>
  <c r="S85" i="4"/>
  <c r="S77" i="4"/>
  <c r="S64" i="4"/>
  <c r="S56" i="4"/>
  <c r="S67" i="4"/>
  <c r="S35" i="4"/>
  <c r="S46" i="4"/>
  <c r="S14" i="4"/>
  <c r="S6" i="4"/>
  <c r="W401" i="4"/>
  <c r="W393" i="4"/>
  <c r="W404" i="4"/>
  <c r="AC421" i="4"/>
  <c r="AC413" i="4"/>
  <c r="AC447" i="4"/>
  <c r="AC439" i="4"/>
  <c r="AH444" i="4"/>
  <c r="AH450" i="4"/>
  <c r="S310" i="4"/>
  <c r="S260" i="4"/>
  <c r="S234" i="4"/>
  <c r="S139" i="4"/>
  <c r="S118" i="4"/>
  <c r="S68" i="4"/>
  <c r="S42" i="4"/>
  <c r="AC451" i="4"/>
  <c r="P423" i="4"/>
  <c r="P445" i="4"/>
  <c r="W449" i="4"/>
  <c r="W441" i="4"/>
  <c r="S377" i="4"/>
  <c r="S369" i="4"/>
  <c r="S379" i="4"/>
  <c r="S347" i="4"/>
  <c r="S358" i="4"/>
  <c r="S326" i="4"/>
  <c r="S318" i="4"/>
  <c r="S305" i="4"/>
  <c r="S297" i="4"/>
  <c r="S308" i="4"/>
  <c r="S275" i="4"/>
  <c r="S285" i="4"/>
  <c r="S255" i="4"/>
  <c r="S247" i="4"/>
  <c r="S220" i="4"/>
  <c r="S226" i="4"/>
  <c r="S237" i="4"/>
  <c r="S211" i="4"/>
  <c r="S201" i="4"/>
  <c r="S184" i="4"/>
  <c r="S176" i="4"/>
  <c r="S187" i="4"/>
  <c r="S155" i="4"/>
  <c r="S166" i="4"/>
  <c r="S134" i="4"/>
  <c r="S126" i="4"/>
  <c r="S113" i="4"/>
  <c r="S105" i="4"/>
  <c r="S116" i="4"/>
  <c r="S84" i="4"/>
  <c r="S90" i="4"/>
  <c r="S63" i="4"/>
  <c r="S55" i="4"/>
  <c r="S28" i="4"/>
  <c r="S34" i="4"/>
  <c r="S45" i="4"/>
  <c r="S13" i="4"/>
  <c r="S5" i="4"/>
  <c r="W400" i="4"/>
  <c r="W392" i="4"/>
  <c r="W403" i="4"/>
  <c r="AC420" i="4"/>
  <c r="AC426" i="4"/>
  <c r="AC446" i="4"/>
  <c r="AC438" i="4"/>
  <c r="AH454" i="4"/>
  <c r="S18" i="4"/>
  <c r="AH453" i="4"/>
  <c r="P446" i="4"/>
  <c r="W451" i="4" s="1"/>
  <c r="S307" i="4"/>
  <c r="S284" i="4"/>
  <c r="S165" i="4"/>
  <c r="W447" i="4"/>
  <c r="W439" i="4"/>
  <c r="S375" i="4"/>
  <c r="S367" i="4"/>
  <c r="S353" i="4"/>
  <c r="S345" i="4"/>
  <c r="S356" i="4"/>
  <c r="S324" i="4"/>
  <c r="S330" i="4"/>
  <c r="S303" i="4"/>
  <c r="S295" i="4"/>
  <c r="S281" i="4"/>
  <c r="S273" i="4"/>
  <c r="S283" i="4"/>
  <c r="S253" i="4"/>
  <c r="S245" i="4"/>
  <c r="S232" i="4"/>
  <c r="S224" i="4"/>
  <c r="S235" i="4"/>
  <c r="S208" i="4"/>
  <c r="S199" i="4"/>
  <c r="S182" i="4"/>
  <c r="S174" i="4"/>
  <c r="S161" i="4"/>
  <c r="S153" i="4"/>
  <c r="S164" i="4"/>
  <c r="S132" i="4"/>
  <c r="S138" i="4"/>
  <c r="S111" i="4"/>
  <c r="S103" i="4"/>
  <c r="S76" i="4"/>
  <c r="S82" i="4"/>
  <c r="S93" i="4"/>
  <c r="S61" i="4"/>
  <c r="S53" i="4"/>
  <c r="S40" i="4"/>
  <c r="S32" i="4"/>
  <c r="S43" i="4"/>
  <c r="S11" i="4"/>
  <c r="S22" i="4"/>
  <c r="W398" i="4"/>
  <c r="W390" i="4"/>
  <c r="AC412" i="4"/>
  <c r="AC418" i="4"/>
  <c r="AC429" i="4"/>
  <c r="AC444" i="4"/>
  <c r="AC450" i="4"/>
  <c r="AH449" i="4"/>
  <c r="AH452" i="4"/>
  <c r="W448" i="4"/>
  <c r="P411" i="4"/>
  <c r="W446" i="4"/>
  <c r="S374" i="4"/>
  <c r="S366" i="4"/>
  <c r="S352" i="4"/>
  <c r="S344" i="4"/>
  <c r="S355" i="4"/>
  <c r="S323" i="4"/>
  <c r="S334" i="4"/>
  <c r="S302" i="4"/>
  <c r="S294" i="4"/>
  <c r="S280" i="4"/>
  <c r="S272" i="4"/>
  <c r="S268" i="4"/>
  <c r="S252" i="4"/>
  <c r="S258" i="4"/>
  <c r="S231" i="4"/>
  <c r="S223" i="4"/>
  <c r="S196" i="4"/>
  <c r="S206" i="4"/>
  <c r="S198" i="4"/>
  <c r="S181" i="4"/>
  <c r="S173" i="4"/>
  <c r="S160" i="4"/>
  <c r="S152" i="4"/>
  <c r="S163" i="4"/>
  <c r="S131" i="4"/>
  <c r="S142" i="4"/>
  <c r="S110" i="4"/>
  <c r="S102" i="4"/>
  <c r="S89" i="4"/>
  <c r="S81" i="4"/>
  <c r="S92" i="4"/>
  <c r="S60" i="4"/>
  <c r="S66" i="4"/>
  <c r="S39" i="4"/>
  <c r="S31" i="4"/>
  <c r="S4" i="4"/>
  <c r="S10" i="4"/>
  <c r="S21" i="4"/>
  <c r="W397" i="4"/>
  <c r="W389" i="4"/>
  <c r="AC425" i="4"/>
  <c r="AC417" i="4"/>
  <c r="AC428" i="4"/>
  <c r="AH448" i="4"/>
  <c r="D28" i="15" l="1"/>
  <c r="S421" i="4"/>
  <c r="W453" i="4"/>
  <c r="W452" i="4"/>
  <c r="W428" i="4"/>
  <c r="S428" i="4" s="1"/>
  <c r="W430" i="4"/>
  <c r="S430" i="4" s="1"/>
  <c r="W454" i="4"/>
  <c r="W427" i="4"/>
  <c r="S427" i="4" s="1"/>
  <c r="W429" i="4"/>
  <c r="S429" i="4" s="1"/>
  <c r="V442" i="4"/>
  <c r="S442" i="4" s="1"/>
  <c r="V436" i="4"/>
  <c r="S436" i="4" s="1"/>
  <c r="V443" i="4"/>
  <c r="S443" i="4" s="1"/>
  <c r="V437" i="4"/>
  <c r="S437" i="4" s="1"/>
  <c r="V445" i="4"/>
  <c r="S445" i="4" s="1"/>
  <c r="V438" i="4"/>
  <c r="S438" i="4" s="1"/>
  <c r="V446" i="4"/>
  <c r="S446" i="4" s="1"/>
  <c r="V440" i="4"/>
  <c r="S440" i="4" s="1"/>
  <c r="V448" i="4"/>
  <c r="S448" i="4" s="1"/>
  <c r="V444" i="4"/>
  <c r="S444" i="4" s="1"/>
  <c r="V439" i="4"/>
  <c r="S439" i="4" s="1"/>
  <c r="V447" i="4"/>
  <c r="S447" i="4" s="1"/>
  <c r="V441" i="4"/>
  <c r="S441" i="4" s="1"/>
  <c r="V449" i="4"/>
  <c r="S449" i="4" s="1"/>
  <c r="S422" i="4"/>
  <c r="V418" i="4"/>
  <c r="S418" i="4" s="1"/>
  <c r="V426" i="4"/>
  <c r="S426" i="4" s="1"/>
  <c r="V419" i="4"/>
  <c r="S419" i="4" s="1"/>
  <c r="V420" i="4"/>
  <c r="S420" i="4" s="1"/>
  <c r="V423" i="4"/>
  <c r="S423" i="4" s="1"/>
  <c r="V413" i="4"/>
  <c r="S413" i="4" s="1"/>
  <c r="V421" i="4"/>
  <c r="V414" i="4"/>
  <c r="S414" i="4" s="1"/>
  <c r="V422" i="4"/>
  <c r="V415" i="4"/>
  <c r="S415" i="4" s="1"/>
  <c r="V416" i="4"/>
  <c r="S416" i="4" s="1"/>
  <c r="V424" i="4"/>
  <c r="S424" i="4" s="1"/>
  <c r="V450" i="4"/>
  <c r="S450" i="4" s="1"/>
  <c r="V417" i="4"/>
  <c r="S417" i="4" s="1"/>
  <c r="V425" i="4"/>
  <c r="S425" i="4" s="1"/>
  <c r="V412" i="4"/>
  <c r="S412" i="4" s="1"/>
  <c r="V454" i="4"/>
  <c r="V451" i="4"/>
  <c r="S451" i="4" s="1"/>
  <c r="V452" i="4"/>
  <c r="S452" i="4" s="1"/>
  <c r="V453" i="4"/>
  <c r="AQ452" i="3"/>
  <c r="AP452" i="3"/>
  <c r="AO452" i="3"/>
  <c r="AN452" i="3"/>
  <c r="AM452" i="3"/>
  <c r="AL452" i="3"/>
  <c r="AK452" i="3"/>
  <c r="AJ452" i="3"/>
  <c r="AI452" i="3"/>
  <c r="AH452" i="3"/>
  <c r="AG452" i="3"/>
  <c r="AF452" i="3"/>
  <c r="AE452" i="3"/>
  <c r="AD452" i="3"/>
  <c r="AC452" i="3"/>
  <c r="AB452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AQ424" i="3"/>
  <c r="AP424" i="3"/>
  <c r="AO424" i="3"/>
  <c r="AN424" i="3"/>
  <c r="AM424" i="3"/>
  <c r="AL424" i="3"/>
  <c r="AK424" i="3"/>
  <c r="AJ424" i="3"/>
  <c r="AI424" i="3"/>
  <c r="AH424" i="3"/>
  <c r="AG424" i="3"/>
  <c r="AF424" i="3"/>
  <c r="AE424" i="3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AQ394" i="3"/>
  <c r="AP394" i="3"/>
  <c r="AO394" i="3"/>
  <c r="AN394" i="3"/>
  <c r="AM394" i="3"/>
  <c r="AL394" i="3"/>
  <c r="AK394" i="3"/>
  <c r="AJ394" i="3"/>
  <c r="AI394" i="3"/>
  <c r="AH394" i="3"/>
  <c r="AG394" i="3"/>
  <c r="AF394" i="3"/>
  <c r="AE394" i="3"/>
  <c r="AD394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AQ366" i="3"/>
  <c r="AP366" i="3"/>
  <c r="AO366" i="3"/>
  <c r="AN366" i="3"/>
  <c r="AM366" i="3"/>
  <c r="AL366" i="3"/>
  <c r="AK366" i="3"/>
  <c r="AJ366" i="3"/>
  <c r="AI366" i="3"/>
  <c r="AH366" i="3"/>
  <c r="AG366" i="3"/>
  <c r="AF366" i="3"/>
  <c r="AE366" i="3"/>
  <c r="AD366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AQ337" i="3"/>
  <c r="AP337" i="3"/>
  <c r="AO337" i="3"/>
  <c r="AN337" i="3"/>
  <c r="AM337" i="3"/>
  <c r="AL337" i="3"/>
  <c r="AK337" i="3"/>
  <c r="AJ337" i="3"/>
  <c r="AI337" i="3"/>
  <c r="AH337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AQ308" i="3"/>
  <c r="AP308" i="3"/>
  <c r="AO308" i="3"/>
  <c r="AN308" i="3"/>
  <c r="AM308" i="3"/>
  <c r="AL308" i="3"/>
  <c r="AK308" i="3"/>
  <c r="AJ308" i="3"/>
  <c r="AI308" i="3"/>
  <c r="AH308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AQ281" i="3"/>
  <c r="AP281" i="3"/>
  <c r="AO281" i="3"/>
  <c r="AN281" i="3"/>
  <c r="AM281" i="3"/>
  <c r="AL281" i="3"/>
  <c r="AK281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AQ253" i="3"/>
  <c r="AP253" i="3"/>
  <c r="AO253" i="3"/>
  <c r="AN253" i="3"/>
  <c r="AM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AQ226" i="3"/>
  <c r="AP226" i="3"/>
  <c r="AO226" i="3"/>
  <c r="AN226" i="3"/>
  <c r="AM226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4" i="4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D6" i="1"/>
  <c r="S453" i="4" l="1"/>
  <c r="S454" i="4"/>
</calcChain>
</file>

<file path=xl/sharedStrings.xml><?xml version="1.0" encoding="utf-8"?>
<sst xmlns="http://schemas.openxmlformats.org/spreadsheetml/2006/main" count="2935" uniqueCount="172">
  <si>
    <t>voltage</t>
  </si>
  <si>
    <t>Voltage</t>
  </si>
  <si>
    <t>Current</t>
  </si>
  <si>
    <t>avg current</t>
  </si>
  <si>
    <t>txpower</t>
  </si>
  <si>
    <t>avg curr</t>
  </si>
  <si>
    <t>868MHz</t>
  </si>
  <si>
    <t>915MHz</t>
  </si>
  <si>
    <t>x2</t>
  </si>
  <si>
    <t>x</t>
  </si>
  <si>
    <t>c</t>
  </si>
  <si>
    <t>+</t>
  </si>
  <si>
    <t>-</t>
  </si>
  <si>
    <t>q408</t>
  </si>
  <si>
    <t>q409</t>
  </si>
  <si>
    <t>s408</t>
  </si>
  <si>
    <t>u408</t>
  </si>
  <si>
    <t>s409</t>
  </si>
  <si>
    <t>u409</t>
  </si>
  <si>
    <t>tx_power</t>
  </si>
  <si>
    <t>1352r</t>
  </si>
  <si>
    <t>1352p</t>
  </si>
  <si>
    <t>1312r</t>
  </si>
  <si>
    <t>to p</t>
  </si>
  <si>
    <t>to 12r</t>
  </si>
  <si>
    <t>P</t>
  </si>
  <si>
    <t>P 868</t>
  </si>
  <si>
    <t>P868</t>
  </si>
  <si>
    <t>p868</t>
  </si>
  <si>
    <t>P915</t>
  </si>
  <si>
    <t>12R</t>
  </si>
  <si>
    <t>12R868</t>
  </si>
  <si>
    <t>12r915</t>
  </si>
  <si>
    <t>12r</t>
  </si>
  <si>
    <t>2.4g</t>
  </si>
  <si>
    <t>p/r/12r</t>
  </si>
  <si>
    <t>non-beacon</t>
  </si>
  <si>
    <t>data ack</t>
  </si>
  <si>
    <t>poll data</t>
  </si>
  <si>
    <t>poll ack</t>
  </si>
  <si>
    <t>beacon</t>
  </si>
  <si>
    <t>868m</t>
  </si>
  <si>
    <t>915m</t>
  </si>
  <si>
    <t>433m</t>
  </si>
  <si>
    <t>payload</t>
  </si>
  <si>
    <t>event Dur</t>
  </si>
  <si>
    <t>event overhead dur</t>
  </si>
  <si>
    <t>tx dur</t>
  </si>
  <si>
    <t>rx dur</t>
  </si>
  <si>
    <t>50k</t>
  </si>
  <si>
    <t>5k</t>
  </si>
  <si>
    <t>200k</t>
  </si>
  <si>
    <t>250k</t>
  </si>
  <si>
    <t>Phy</t>
  </si>
  <si>
    <t>DataRate</t>
  </si>
  <si>
    <t>Mode</t>
  </si>
  <si>
    <t>Test Mode</t>
  </si>
  <si>
    <t>WS Name</t>
  </si>
  <si>
    <t>NBCN</t>
  </si>
  <si>
    <t>Data&amp;Ack</t>
  </si>
  <si>
    <t>24_250_NBCN_DA</t>
  </si>
  <si>
    <t>Polling Only</t>
  </si>
  <si>
    <t>24_250_NBCN_PO</t>
  </si>
  <si>
    <t>Poll &amp; Data</t>
  </si>
  <si>
    <t>24_250_NBCN_PD</t>
  </si>
  <si>
    <t>BCN</t>
  </si>
  <si>
    <t>915_50_NBCN_DA</t>
  </si>
  <si>
    <t>915_50_NBCN_PO</t>
  </si>
  <si>
    <t>915_50_NBCN_PA</t>
  </si>
  <si>
    <t>915_50_BCN_DA</t>
  </si>
  <si>
    <t>915_50_BCN_PO</t>
  </si>
  <si>
    <t>915_50_BCN_PA</t>
  </si>
  <si>
    <t>915_5_BCN_PA</t>
  </si>
  <si>
    <t>915_5_BCN_PO</t>
  </si>
  <si>
    <t>915_5_BCN_DA</t>
  </si>
  <si>
    <t>915_5_NBCN_PA</t>
  </si>
  <si>
    <t>915_5_NBCN_PO</t>
  </si>
  <si>
    <t>915_5_NBCN_DA</t>
  </si>
  <si>
    <t>915_200_NBCN_DA</t>
  </si>
  <si>
    <t>915_200_NBCN_PO</t>
  </si>
  <si>
    <t>915_200_NBCN_PA</t>
  </si>
  <si>
    <t>915_200_BCN_DA</t>
  </si>
  <si>
    <t>915_200_BCN_PO</t>
  </si>
  <si>
    <t>915_200_BCN_PA</t>
  </si>
  <si>
    <t>868_50_NBCN_DA</t>
  </si>
  <si>
    <t>868_50_NBCN_PO</t>
  </si>
  <si>
    <t>868_50_NBCN_PA</t>
  </si>
  <si>
    <t>868_50_BCN_DA</t>
  </si>
  <si>
    <t>868_50_BCN_PO</t>
  </si>
  <si>
    <t>868_50_BCN_PA</t>
  </si>
  <si>
    <t>868_5_NBCN_DA</t>
  </si>
  <si>
    <t>868_5_NBCN_PO</t>
  </si>
  <si>
    <t>868_5_NBCN_PA</t>
  </si>
  <si>
    <t>868_5_BCN_DA</t>
  </si>
  <si>
    <t>868_5_BCN_PO</t>
  </si>
  <si>
    <t>868_5_BCN_PA</t>
  </si>
  <si>
    <t>868_200_NBCN_DA</t>
  </si>
  <si>
    <t>868_200_NBCN_PO</t>
  </si>
  <si>
    <t>868_200_NBCN_PA</t>
  </si>
  <si>
    <t>868_200_BCN_DA</t>
  </si>
  <si>
    <t>868_200_BCN_PO</t>
  </si>
  <si>
    <t>868_200_BCN_PA</t>
  </si>
  <si>
    <t>433_50_NBCN_DA</t>
  </si>
  <si>
    <t>433_50_NBCN_PO</t>
  </si>
  <si>
    <t>433_50_NBCN_PA</t>
  </si>
  <si>
    <t>433_50_BCN_DA</t>
  </si>
  <si>
    <t>433_50_BCN_PO</t>
  </si>
  <si>
    <t>433_50_BCN_PA</t>
  </si>
  <si>
    <t>433_5_NBCN_DA</t>
  </si>
  <si>
    <t>433_5_NBCN_PO</t>
  </si>
  <si>
    <t>433_5_NBCN_PA</t>
  </si>
  <si>
    <t>433_5_BCN_DA</t>
  </si>
  <si>
    <t>433_5_BCN_PO</t>
  </si>
  <si>
    <t>433_5_BCN_PA</t>
  </si>
  <si>
    <t>NBCN_DA</t>
  </si>
  <si>
    <t>NBCN_PO</t>
  </si>
  <si>
    <t>NBCN_PA</t>
  </si>
  <si>
    <t>BCN_DA</t>
  </si>
  <si>
    <t>BCN_PO</t>
  </si>
  <si>
    <t>BCN_PA</t>
  </si>
  <si>
    <t>Label</t>
  </si>
  <si>
    <t>Device</t>
  </si>
  <si>
    <t>cc2652r</t>
  </si>
  <si>
    <t>cc1352r</t>
  </si>
  <si>
    <t>cc1352p2</t>
  </si>
  <si>
    <t>cc1312r</t>
  </si>
  <si>
    <t>cc1352p4</t>
  </si>
  <si>
    <t>source?</t>
  </si>
  <si>
    <t>no</t>
  </si>
  <si>
    <t>yes</t>
  </si>
  <si>
    <t>us</t>
  </si>
  <si>
    <t>?</t>
  </si>
  <si>
    <t>na</t>
  </si>
  <si>
    <t>tx dur per byte</t>
  </si>
  <si>
    <t>DA</t>
  </si>
  <si>
    <t>OC</t>
  </si>
  <si>
    <t>RX</t>
  </si>
  <si>
    <t>TX</t>
  </si>
  <si>
    <t>PD</t>
  </si>
  <si>
    <t>PA</t>
  </si>
  <si>
    <t>total</t>
  </si>
  <si>
    <t>OC Dur</t>
  </si>
  <si>
    <t>RX Dur</t>
  </si>
  <si>
    <t>TX Dur</t>
  </si>
  <si>
    <t>eventdur</t>
  </si>
  <si>
    <t>per hour</t>
  </si>
  <si>
    <t>sleepCur</t>
  </si>
  <si>
    <t>per day</t>
  </si>
  <si>
    <t>cur per day</t>
  </si>
  <si>
    <t>cur per hour</t>
  </si>
  <si>
    <t>time per hour</t>
  </si>
  <si>
    <t>time per day</t>
  </si>
  <si>
    <t>msec</t>
  </si>
  <si>
    <t>events</t>
  </si>
  <si>
    <t>mA</t>
  </si>
  <si>
    <t>awake time per day</t>
  </si>
  <si>
    <t>sec</t>
  </si>
  <si>
    <t>sleep time per day</t>
  </si>
  <si>
    <t>sleep cur for day</t>
  </si>
  <si>
    <t>RcD</t>
  </si>
  <si>
    <t>RcC</t>
  </si>
  <si>
    <t>msec day</t>
  </si>
  <si>
    <t>sleep charge per day</t>
  </si>
  <si>
    <t>total charge per day</t>
  </si>
  <si>
    <t>current consumed per day</t>
  </si>
  <si>
    <t>mA hours</t>
  </si>
  <si>
    <t>power consumed per day</t>
  </si>
  <si>
    <t xml:space="preserve">average cur = </t>
  </si>
  <si>
    <t>cur per event</t>
  </si>
  <si>
    <t>mA msec</t>
  </si>
  <si>
    <t>mA sec</t>
  </si>
  <si>
    <t>mA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</si>
</sst>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2" fillId="2" borderId="1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4" borderId="0" xfId="0" applyFont="1" applyFill="1"/>
    <xf numFmtId="0" fontId="3" fillId="4" borderId="1" xfId="0" applyFont="1" applyFill="1" applyBorder="1"/>
    <xf numFmtId="0" fontId="1" fillId="4" borderId="1" xfId="0" applyFont="1" applyFill="1" applyBorder="1"/>
    <xf numFmtId="0" fontId="0" fillId="4" borderId="0" xfId="0" applyFill="1"/>
    <xf numFmtId="0" fontId="0" fillId="0" borderId="0" xfId="0"/>
    <xf numFmtId="0" fontId="0" fillId="0" borderId="0" xfId="0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0" fillId="0" borderId="0" xfId="0"/>
    <xf numFmtId="0" fontId="0" fillId="0" borderId="0" xfId="0"/>
    <xf numFmtId="0" fontId="0" fillId="0" borderId="1" xfId="0" applyFill="1" applyBorder="1"/>
    <xf numFmtId="0" fontId="0" fillId="0" borderId="0" xfId="0"/>
    <xf numFmtId="0" fontId="2" fillId="4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0" fillId="0" borderId="0" xfId="0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0" fillId="0" borderId="0" xfId="0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/>
    <xf numFmtId="0" fontId="0" fillId="0" borderId="0" xfId="0"/>
    <xf numFmtId="0" fontId="2" fillId="2" borderId="2" xfId="0" applyFont="1" applyFill="1" applyBorder="1"/>
    <xf numFmtId="0" fontId="2" fillId="4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7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6" xfId="0" applyFont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2" fontId="0" fillId="0" borderId="15" xfId="0" applyNumberFormat="1" applyBorder="1"/>
    <xf numFmtId="164" fontId="0" fillId="0" borderId="0" xfId="0" applyNumberFormat="1"/>
    <xf numFmtId="0" fontId="1" fillId="0" borderId="0" xfId="0" applyFont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4" borderId="25" xfId="0" applyFill="1" applyBorder="1"/>
    <xf numFmtId="0" fontId="0" fillId="4" borderId="19" xfId="0" applyFill="1" applyBorder="1"/>
    <xf numFmtId="0" fontId="0" fillId="4" borderId="24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9" xfId="0" applyBorder="1"/>
    <xf numFmtId="0" fontId="0" fillId="0" borderId="30" xfId="0" applyFill="1" applyBorder="1" applyAlignment="1">
      <alignment vertical="center" wrapText="1"/>
    </xf>
    <xf numFmtId="0" fontId="0" fillId="9" borderId="22" xfId="0" applyFill="1" applyBorder="1"/>
    <xf numFmtId="0" fontId="0" fillId="9" borderId="23" xfId="0" applyFill="1" applyBorder="1"/>
    <xf numFmtId="0" fontId="0" fillId="9" borderId="9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9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'868'!$C$6</c:f>
              <c:strCache>
                <c:ptCount val="1"/>
                <c:pt idx="0">
                  <c:v>avg 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43231921236089832"/>
                  <c:y val="-1.818234259179141E-3"/>
                </c:manualLayout>
              </c:layout>
              <c:numFmt formatCode="General" sourceLinked="0"/>
            </c:trendlineLbl>
          </c:trendline>
          <c:xVal>
            <c:numRef>
              <c:f>'868'!$D$2:$AR$2</c:f>
              <c:numCache>
                <c:formatCode>General</c:formatCode>
                <c:ptCount val="41"/>
                <c:pt idx="0">
                  <c:v>1.8</c:v>
                </c:pt>
                <c:pt idx="1">
                  <c:v>1.85</c:v>
                </c:pt>
                <c:pt idx="2">
                  <c:v>1.9</c:v>
                </c:pt>
                <c:pt idx="3">
                  <c:v>1.95</c:v>
                </c:pt>
                <c:pt idx="4">
                  <c:v>2</c:v>
                </c:pt>
                <c:pt idx="5">
                  <c:v>2.0499999999999998</c:v>
                </c:pt>
                <c:pt idx="6">
                  <c:v>2.1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2.25</c:v>
                </c:pt>
                <c:pt idx="10">
                  <c:v>2.2999999999999998</c:v>
                </c:pt>
                <c:pt idx="11">
                  <c:v>2.35</c:v>
                </c:pt>
                <c:pt idx="12">
                  <c:v>2.4</c:v>
                </c:pt>
                <c:pt idx="13">
                  <c:v>2.4500000000000002</c:v>
                </c:pt>
                <c:pt idx="14">
                  <c:v>2.5</c:v>
                </c:pt>
                <c:pt idx="15">
                  <c:v>2.5499999999999998</c:v>
                </c:pt>
                <c:pt idx="16">
                  <c:v>2.6</c:v>
                </c:pt>
                <c:pt idx="17">
                  <c:v>2.65</c:v>
                </c:pt>
                <c:pt idx="18">
                  <c:v>2.7</c:v>
                </c:pt>
                <c:pt idx="19">
                  <c:v>2.75</c:v>
                </c:pt>
                <c:pt idx="20">
                  <c:v>2.8</c:v>
                </c:pt>
                <c:pt idx="21">
                  <c:v>2.85</c:v>
                </c:pt>
                <c:pt idx="22">
                  <c:v>2.9</c:v>
                </c:pt>
                <c:pt idx="23">
                  <c:v>2.95</c:v>
                </c:pt>
                <c:pt idx="24">
                  <c:v>3</c:v>
                </c:pt>
                <c:pt idx="25">
                  <c:v>3.05</c:v>
                </c:pt>
                <c:pt idx="26">
                  <c:v>3.1</c:v>
                </c:pt>
                <c:pt idx="27">
                  <c:v>3.15</c:v>
                </c:pt>
                <c:pt idx="28">
                  <c:v>3.2</c:v>
                </c:pt>
                <c:pt idx="29">
                  <c:v>3.25</c:v>
                </c:pt>
                <c:pt idx="30">
                  <c:v>3.3</c:v>
                </c:pt>
                <c:pt idx="31">
                  <c:v>3.35</c:v>
                </c:pt>
                <c:pt idx="32">
                  <c:v>3.4</c:v>
                </c:pt>
                <c:pt idx="33">
                  <c:v>3.45</c:v>
                </c:pt>
                <c:pt idx="34">
                  <c:v>3.5</c:v>
                </c:pt>
                <c:pt idx="35">
                  <c:v>3.55</c:v>
                </c:pt>
                <c:pt idx="36">
                  <c:v>3.6</c:v>
                </c:pt>
                <c:pt idx="37">
                  <c:v>3.65</c:v>
                </c:pt>
                <c:pt idx="38">
                  <c:v>3.7</c:v>
                </c:pt>
                <c:pt idx="39">
                  <c:v>3.75</c:v>
                </c:pt>
                <c:pt idx="40">
                  <c:v>3.8</c:v>
                </c:pt>
              </c:numCache>
            </c:numRef>
          </c:xVal>
          <c:yVal>
            <c:numRef>
              <c:f>'868'!$D$6:$AR$6</c:f>
              <c:numCache>
                <c:formatCode>General</c:formatCode>
                <c:ptCount val="41"/>
                <c:pt idx="0">
                  <c:v>34.808791999999997</c:v>
                </c:pt>
                <c:pt idx="1">
                  <c:v>34.802357666666666</c:v>
                </c:pt>
                <c:pt idx="2">
                  <c:v>34.80352933333333</c:v>
                </c:pt>
                <c:pt idx="3">
                  <c:v>34.795478333333328</c:v>
                </c:pt>
                <c:pt idx="4">
                  <c:v>34.818412333333335</c:v>
                </c:pt>
                <c:pt idx="5">
                  <c:v>31.175574333333333</c:v>
                </c:pt>
                <c:pt idx="6">
                  <c:v>30.459827666666669</c:v>
                </c:pt>
                <c:pt idx="7">
                  <c:v>29.864290666666665</c:v>
                </c:pt>
                <c:pt idx="8">
                  <c:v>29.185171333333333</c:v>
                </c:pt>
                <c:pt idx="9">
                  <c:v>28.601794999999999</c:v>
                </c:pt>
                <c:pt idx="10">
                  <c:v>28.039180333333334</c:v>
                </c:pt>
                <c:pt idx="11">
                  <c:v>27.335046000000002</c:v>
                </c:pt>
                <c:pt idx="12">
                  <c:v>26.905884666666669</c:v>
                </c:pt>
                <c:pt idx="13">
                  <c:v>26.278471333333332</c:v>
                </c:pt>
                <c:pt idx="14">
                  <c:v>25.758956999999999</c:v>
                </c:pt>
                <c:pt idx="15">
                  <c:v>25.369069666666672</c:v>
                </c:pt>
                <c:pt idx="16">
                  <c:v>25.002994000000001</c:v>
                </c:pt>
                <c:pt idx="17">
                  <c:v>24.390225000000001</c:v>
                </c:pt>
                <c:pt idx="18">
                  <c:v>23.917695999999996</c:v>
                </c:pt>
                <c:pt idx="19">
                  <c:v>23.576530999999999</c:v>
                </c:pt>
                <c:pt idx="20">
                  <c:v>23.232158666666663</c:v>
                </c:pt>
                <c:pt idx="21">
                  <c:v>22.912629999999996</c:v>
                </c:pt>
                <c:pt idx="22">
                  <c:v>22.402557666666667</c:v>
                </c:pt>
                <c:pt idx="23">
                  <c:v>21.987412333333328</c:v>
                </c:pt>
                <c:pt idx="24">
                  <c:v>21.686786000000001</c:v>
                </c:pt>
                <c:pt idx="25">
                  <c:v>21.406273999999996</c:v>
                </c:pt>
                <c:pt idx="26">
                  <c:v>21.124721999999998</c:v>
                </c:pt>
                <c:pt idx="27">
                  <c:v>20.870318333333334</c:v>
                </c:pt>
                <c:pt idx="28">
                  <c:v>20.407627000000002</c:v>
                </c:pt>
                <c:pt idx="29">
                  <c:v>20.070382333333331</c:v>
                </c:pt>
                <c:pt idx="30">
                  <c:v>19.808617666666667</c:v>
                </c:pt>
                <c:pt idx="31">
                  <c:v>19.568442999999998</c:v>
                </c:pt>
                <c:pt idx="32">
                  <c:v>19.330591333333334</c:v>
                </c:pt>
                <c:pt idx="33">
                  <c:v>19.105690333333332</c:v>
                </c:pt>
                <c:pt idx="34">
                  <c:v>18.879956333333336</c:v>
                </c:pt>
                <c:pt idx="35">
                  <c:v>18.665952999999998</c:v>
                </c:pt>
                <c:pt idx="36">
                  <c:v>18.465062333333332</c:v>
                </c:pt>
                <c:pt idx="37">
                  <c:v>18.252027000000002</c:v>
                </c:pt>
                <c:pt idx="38">
                  <c:v>18.061723000000001</c:v>
                </c:pt>
                <c:pt idx="39">
                  <c:v>17.863500999999999</c:v>
                </c:pt>
                <c:pt idx="40">
                  <c:v>17.683938333333334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79424"/>
        <c:axId val="147880960"/>
      </c:scatterChart>
      <c:valAx>
        <c:axId val="1478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880960"/>
        <c:crosses val="autoZero"/>
        <c:crossBetween val="midCat"/>
      </c:valAx>
      <c:valAx>
        <c:axId val="14788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879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'868'!$C$302</c:f>
              <c:strCache>
                <c:ptCount val="1"/>
                <c:pt idx="0">
                  <c:v>avg 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7043921957307782"/>
                  <c:y val="-5.7454843461023065E-4"/>
                </c:manualLayout>
              </c:layout>
              <c:numFmt formatCode="General" sourceLinked="0"/>
            </c:trendlineLbl>
          </c:trendline>
          <c:xVal>
            <c:numRef>
              <c:f>'868'!$D$298:$AR$298</c:f>
              <c:numCache>
                <c:formatCode>General</c:formatCode>
                <c:ptCount val="41"/>
                <c:pt idx="0">
                  <c:v>1.8</c:v>
                </c:pt>
                <c:pt idx="1">
                  <c:v>1.85</c:v>
                </c:pt>
                <c:pt idx="2">
                  <c:v>1.9</c:v>
                </c:pt>
                <c:pt idx="3">
                  <c:v>1.95</c:v>
                </c:pt>
                <c:pt idx="4">
                  <c:v>2</c:v>
                </c:pt>
                <c:pt idx="5">
                  <c:v>2.0499999999999998</c:v>
                </c:pt>
                <c:pt idx="6">
                  <c:v>2.1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2.25</c:v>
                </c:pt>
                <c:pt idx="10">
                  <c:v>2.2999999999999998</c:v>
                </c:pt>
                <c:pt idx="11">
                  <c:v>2.35</c:v>
                </c:pt>
                <c:pt idx="12">
                  <c:v>2.4</c:v>
                </c:pt>
                <c:pt idx="13">
                  <c:v>2.4500000000000002</c:v>
                </c:pt>
                <c:pt idx="14">
                  <c:v>2.5</c:v>
                </c:pt>
                <c:pt idx="15">
                  <c:v>2.5499999999999998</c:v>
                </c:pt>
                <c:pt idx="16">
                  <c:v>2.6</c:v>
                </c:pt>
                <c:pt idx="17">
                  <c:v>2.65</c:v>
                </c:pt>
                <c:pt idx="18">
                  <c:v>2.7</c:v>
                </c:pt>
                <c:pt idx="19">
                  <c:v>2.75</c:v>
                </c:pt>
                <c:pt idx="20">
                  <c:v>2.8</c:v>
                </c:pt>
                <c:pt idx="21">
                  <c:v>2.85</c:v>
                </c:pt>
                <c:pt idx="22">
                  <c:v>2.9</c:v>
                </c:pt>
                <c:pt idx="23">
                  <c:v>2.95</c:v>
                </c:pt>
                <c:pt idx="24">
                  <c:v>3</c:v>
                </c:pt>
                <c:pt idx="25">
                  <c:v>3.05</c:v>
                </c:pt>
                <c:pt idx="26">
                  <c:v>3.1</c:v>
                </c:pt>
                <c:pt idx="27">
                  <c:v>3.15</c:v>
                </c:pt>
                <c:pt idx="28">
                  <c:v>3.2</c:v>
                </c:pt>
                <c:pt idx="29">
                  <c:v>3.25</c:v>
                </c:pt>
                <c:pt idx="30">
                  <c:v>3.3</c:v>
                </c:pt>
                <c:pt idx="31">
                  <c:v>3.35</c:v>
                </c:pt>
                <c:pt idx="32">
                  <c:v>3.4</c:v>
                </c:pt>
                <c:pt idx="33">
                  <c:v>3.45</c:v>
                </c:pt>
                <c:pt idx="34">
                  <c:v>3.5</c:v>
                </c:pt>
                <c:pt idx="35">
                  <c:v>3.55</c:v>
                </c:pt>
                <c:pt idx="36">
                  <c:v>3.6</c:v>
                </c:pt>
                <c:pt idx="37">
                  <c:v>3.65</c:v>
                </c:pt>
                <c:pt idx="38">
                  <c:v>3.7</c:v>
                </c:pt>
                <c:pt idx="39">
                  <c:v>3.75</c:v>
                </c:pt>
                <c:pt idx="40">
                  <c:v>3.8</c:v>
                </c:pt>
              </c:numCache>
            </c:numRef>
          </c:xVal>
          <c:yVal>
            <c:numRef>
              <c:f>'868'!$D$302:$AR$302</c:f>
              <c:numCache>
                <c:formatCode>General</c:formatCode>
                <c:ptCount val="41"/>
                <c:pt idx="0">
                  <c:v>17.239854666666666</c:v>
                </c:pt>
                <c:pt idx="1">
                  <c:v>17.217706</c:v>
                </c:pt>
                <c:pt idx="2">
                  <c:v>17.242378000000002</c:v>
                </c:pt>
                <c:pt idx="3">
                  <c:v>17.229824000000001</c:v>
                </c:pt>
                <c:pt idx="4">
                  <c:v>16.126998333333333</c:v>
                </c:pt>
                <c:pt idx="5">
                  <c:v>15.378866333333335</c:v>
                </c:pt>
                <c:pt idx="6">
                  <c:v>14.936235000000002</c:v>
                </c:pt>
                <c:pt idx="7">
                  <c:v>14.741361333333336</c:v>
                </c:pt>
                <c:pt idx="8">
                  <c:v>14.332335</c:v>
                </c:pt>
                <c:pt idx="9">
                  <c:v>14.099909666666667</c:v>
                </c:pt>
                <c:pt idx="10">
                  <c:v>13.773382666666668</c:v>
                </c:pt>
                <c:pt idx="11">
                  <c:v>13.496152666666667</c:v>
                </c:pt>
                <c:pt idx="12">
                  <c:v>13.303146666666668</c:v>
                </c:pt>
                <c:pt idx="13">
                  <c:v>12.968739333333334</c:v>
                </c:pt>
                <c:pt idx="14">
                  <c:v>12.881004333333332</c:v>
                </c:pt>
                <c:pt idx="15">
                  <c:v>12.550885000000001</c:v>
                </c:pt>
                <c:pt idx="16">
                  <c:v>12.373771</c:v>
                </c:pt>
                <c:pt idx="17">
                  <c:v>12.219929666666665</c:v>
                </c:pt>
                <c:pt idx="18">
                  <c:v>11.978490000000001</c:v>
                </c:pt>
                <c:pt idx="19">
                  <c:v>11.806117</c:v>
                </c:pt>
                <c:pt idx="20">
                  <c:v>11.652535666666667</c:v>
                </c:pt>
                <c:pt idx="21">
                  <c:v>11.483778000000001</c:v>
                </c:pt>
                <c:pt idx="22">
                  <c:v>11.18444833333333</c:v>
                </c:pt>
                <c:pt idx="23">
                  <c:v>11.025722333333334</c:v>
                </c:pt>
                <c:pt idx="24">
                  <c:v>10.995321333333331</c:v>
                </c:pt>
                <c:pt idx="25">
                  <c:v>10.851444000000001</c:v>
                </c:pt>
                <c:pt idx="26">
                  <c:v>10.711290666666665</c:v>
                </c:pt>
                <c:pt idx="27">
                  <c:v>10.537708666666665</c:v>
                </c:pt>
                <c:pt idx="28">
                  <c:v>10.315300333333333</c:v>
                </c:pt>
                <c:pt idx="29">
                  <c:v>10.188549</c:v>
                </c:pt>
                <c:pt idx="30">
                  <c:v>10.055736333333334</c:v>
                </c:pt>
                <c:pt idx="31">
                  <c:v>9.9515180000000001</c:v>
                </c:pt>
                <c:pt idx="32">
                  <c:v>9.8255056666666665</c:v>
                </c:pt>
                <c:pt idx="33">
                  <c:v>9.7135883333333339</c:v>
                </c:pt>
                <c:pt idx="34">
                  <c:v>9.5900256666666674</c:v>
                </c:pt>
                <c:pt idx="35">
                  <c:v>9.493192333333333</c:v>
                </c:pt>
                <c:pt idx="36">
                  <c:v>9.3794079999999997</c:v>
                </c:pt>
                <c:pt idx="37">
                  <c:v>9.2819459999999996</c:v>
                </c:pt>
                <c:pt idx="38">
                  <c:v>9.1841680000000014</c:v>
                </c:pt>
                <c:pt idx="39">
                  <c:v>9.0899710000000002</c:v>
                </c:pt>
                <c:pt idx="40">
                  <c:v>9.0069643333333342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86496"/>
        <c:axId val="148992384"/>
      </c:scatterChart>
      <c:valAx>
        <c:axId val="1489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992384"/>
        <c:crosses val="autoZero"/>
        <c:crossBetween val="midCat"/>
      </c:valAx>
      <c:valAx>
        <c:axId val="1489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986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'868v2'!$AV$51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701662292213472"/>
                  <c:y val="-0.30138501918029476"/>
                </c:manualLayout>
              </c:layout>
              <c:numFmt formatCode="General" sourceLinked="0"/>
            </c:trendlineLbl>
          </c:trendline>
          <c:xVal>
            <c:numRef>
              <c:f>'868v2'!$AU$52:$AU$66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'868v2'!$AV$52:$AV$66</c:f>
              <c:numCache>
                <c:formatCode>General</c:formatCode>
                <c:ptCount val="15"/>
                <c:pt idx="0">
                  <c:v>30.624700000000001</c:v>
                </c:pt>
                <c:pt idx="1">
                  <c:v>28.3628</c:v>
                </c:pt>
                <c:pt idx="2">
                  <c:v>26.240500000000001</c:v>
                </c:pt>
                <c:pt idx="3">
                  <c:v>24.2578</c:v>
                </c:pt>
                <c:pt idx="4">
                  <c:v>22.4147</c:v>
                </c:pt>
                <c:pt idx="5">
                  <c:v>20.711199999999998</c:v>
                </c:pt>
                <c:pt idx="6">
                  <c:v>19.147300000000001</c:v>
                </c:pt>
                <c:pt idx="7">
                  <c:v>17.722999999999999</c:v>
                </c:pt>
                <c:pt idx="8">
                  <c:v>16.438299999999998</c:v>
                </c:pt>
                <c:pt idx="9">
                  <c:v>15.293199999999999</c:v>
                </c:pt>
                <c:pt idx="10">
                  <c:v>14.287700000000001</c:v>
                </c:pt>
                <c:pt idx="11">
                  <c:v>13.421799999999999</c:v>
                </c:pt>
                <c:pt idx="12">
                  <c:v>12.695499999999999</c:v>
                </c:pt>
                <c:pt idx="13">
                  <c:v>12.1088</c:v>
                </c:pt>
                <c:pt idx="14">
                  <c:v>11.484299999999999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6736"/>
        <c:axId val="157958528"/>
      </c:scatterChart>
      <c:valAx>
        <c:axId val="15795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958528"/>
        <c:crosses val="autoZero"/>
        <c:crossBetween val="midCat"/>
      </c:valAx>
      <c:valAx>
        <c:axId val="1579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56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'868v2'!$AV$75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759995625546804"/>
                  <c:y val="-0.31427849593667101"/>
                </c:manualLayout>
              </c:layout>
              <c:numFmt formatCode="General" sourceLinked="0"/>
            </c:trendlineLbl>
          </c:trendline>
          <c:xVal>
            <c:numRef>
              <c:f>'868v2'!$AU$76:$AU$90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'868v2'!$AV$76:$AV$90</c:f>
              <c:numCache>
                <c:formatCode>General</c:formatCode>
                <c:ptCount val="15"/>
                <c:pt idx="0">
                  <c:v>29.517500000000002</c:v>
                </c:pt>
                <c:pt idx="1">
                  <c:v>27.334300000000002</c:v>
                </c:pt>
                <c:pt idx="2">
                  <c:v>25.286100000000001</c:v>
                </c:pt>
                <c:pt idx="3">
                  <c:v>23.372900000000001</c:v>
                </c:pt>
                <c:pt idx="4">
                  <c:v>21.5947</c:v>
                </c:pt>
                <c:pt idx="5">
                  <c:v>19.951500000000003</c:v>
                </c:pt>
                <c:pt idx="6">
                  <c:v>18.443300000000001</c:v>
                </c:pt>
                <c:pt idx="7">
                  <c:v>17.0701</c:v>
                </c:pt>
                <c:pt idx="8">
                  <c:v>15.831900000000001</c:v>
                </c:pt>
                <c:pt idx="9">
                  <c:v>14.7287</c:v>
                </c:pt>
                <c:pt idx="10">
                  <c:v>13.7605</c:v>
                </c:pt>
                <c:pt idx="11">
                  <c:v>12.927300000000001</c:v>
                </c:pt>
                <c:pt idx="12">
                  <c:v>12.229100000000001</c:v>
                </c:pt>
                <c:pt idx="13">
                  <c:v>11.665900000000001</c:v>
                </c:pt>
                <c:pt idx="14">
                  <c:v>11.0663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6160"/>
        <c:axId val="157997696"/>
      </c:scatterChart>
      <c:valAx>
        <c:axId val="15799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997696"/>
        <c:crosses val="autoZero"/>
        <c:crossBetween val="midCat"/>
      </c:valAx>
      <c:valAx>
        <c:axId val="15799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96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'868v2'!$AV$98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7037773403324586"/>
                  <c:y val="-0.31467755012298854"/>
                </c:manualLayout>
              </c:layout>
              <c:numFmt formatCode="General" sourceLinked="0"/>
            </c:trendlineLbl>
          </c:trendline>
          <c:xVal>
            <c:numRef>
              <c:f>'868v2'!$AU$99:$AU$113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'868v2'!$AV$99:$AV$113</c:f>
              <c:numCache>
                <c:formatCode>General</c:formatCode>
                <c:ptCount val="15"/>
                <c:pt idx="0">
                  <c:v>28.452900000000003</c:v>
                </c:pt>
                <c:pt idx="1">
                  <c:v>26.356300000000001</c:v>
                </c:pt>
                <c:pt idx="2">
                  <c:v>24.390900000000002</c:v>
                </c:pt>
                <c:pt idx="3">
                  <c:v>22.556699999999999</c:v>
                </c:pt>
                <c:pt idx="4">
                  <c:v>20.8537</c:v>
                </c:pt>
                <c:pt idx="5">
                  <c:v>19.2819</c:v>
                </c:pt>
                <c:pt idx="6">
                  <c:v>17.8413</c:v>
                </c:pt>
                <c:pt idx="7">
                  <c:v>16.5319</c:v>
                </c:pt>
                <c:pt idx="8">
                  <c:v>15.3537</c:v>
                </c:pt>
                <c:pt idx="9">
                  <c:v>14.306699999999999</c:v>
                </c:pt>
                <c:pt idx="10">
                  <c:v>13.3909</c:v>
                </c:pt>
                <c:pt idx="11">
                  <c:v>12.606300000000001</c:v>
                </c:pt>
                <c:pt idx="12">
                  <c:v>11.9529</c:v>
                </c:pt>
                <c:pt idx="13">
                  <c:v>11.4307</c:v>
                </c:pt>
                <c:pt idx="14">
                  <c:v>10.908300000000001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87872"/>
        <c:axId val="157910144"/>
      </c:scatterChart>
      <c:valAx>
        <c:axId val="15788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910144"/>
        <c:crosses val="autoZero"/>
        <c:crossBetween val="midCat"/>
      </c:valAx>
      <c:valAx>
        <c:axId val="15791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87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'868v2'!$AV$123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482217847769027"/>
                  <c:y val="-0.31141664286782805"/>
                </c:manualLayout>
              </c:layout>
              <c:numFmt formatCode="General" sourceLinked="0"/>
            </c:trendlineLbl>
          </c:trendline>
          <c:xVal>
            <c:numRef>
              <c:f>'868v2'!$AU$124:$AU$138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'868v2'!$AV$124:$AV$138</c:f>
              <c:numCache>
                <c:formatCode>General</c:formatCode>
                <c:ptCount val="15"/>
                <c:pt idx="0">
                  <c:v>27.256100000000004</c:v>
                </c:pt>
                <c:pt idx="1">
                  <c:v>25.2715</c:v>
                </c:pt>
                <c:pt idx="2">
                  <c:v>23.408899999999999</c:v>
                </c:pt>
                <c:pt idx="3">
                  <c:v>21.668300000000002</c:v>
                </c:pt>
                <c:pt idx="4">
                  <c:v>20.049700000000001</c:v>
                </c:pt>
                <c:pt idx="5">
                  <c:v>18.553100000000001</c:v>
                </c:pt>
                <c:pt idx="6">
                  <c:v>17.1785</c:v>
                </c:pt>
                <c:pt idx="7">
                  <c:v>15.9259</c:v>
                </c:pt>
                <c:pt idx="8">
                  <c:v>14.795300000000001</c:v>
                </c:pt>
                <c:pt idx="9">
                  <c:v>13.7867</c:v>
                </c:pt>
                <c:pt idx="10">
                  <c:v>12.9001</c:v>
                </c:pt>
                <c:pt idx="11">
                  <c:v>12.1355</c:v>
                </c:pt>
                <c:pt idx="12">
                  <c:v>11.492900000000001</c:v>
                </c:pt>
                <c:pt idx="13">
                  <c:v>10.972300000000001</c:v>
                </c:pt>
                <c:pt idx="14">
                  <c:v>10.428900000000001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31392"/>
        <c:axId val="157932928"/>
      </c:scatterChart>
      <c:valAx>
        <c:axId val="15793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932928"/>
        <c:crosses val="autoZero"/>
        <c:crossBetween val="midCat"/>
      </c:valAx>
      <c:valAx>
        <c:axId val="15793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31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'868v2'!$AV$147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204440069991251"/>
                  <c:y val="-0.29759971713380384"/>
                </c:manualLayout>
              </c:layout>
              <c:numFmt formatCode="General" sourceLinked="0"/>
            </c:trendlineLbl>
          </c:trendline>
          <c:xVal>
            <c:numRef>
              <c:f>'868v2'!$AU$148:$AU$162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'868v2'!$AV$148:$AV$162</c:f>
              <c:numCache>
                <c:formatCode>General</c:formatCode>
                <c:ptCount val="15"/>
                <c:pt idx="0">
                  <c:v>26.479799999999997</c:v>
                </c:pt>
                <c:pt idx="1">
                  <c:v>24.555999999999997</c:v>
                </c:pt>
                <c:pt idx="2">
                  <c:v>22.750399999999999</c:v>
                </c:pt>
                <c:pt idx="3">
                  <c:v>21.062999999999999</c:v>
                </c:pt>
                <c:pt idx="4">
                  <c:v>19.4938</c:v>
                </c:pt>
                <c:pt idx="5">
                  <c:v>18.0428</c:v>
                </c:pt>
                <c:pt idx="6">
                  <c:v>16.71</c:v>
                </c:pt>
                <c:pt idx="7">
                  <c:v>15.4954</c:v>
                </c:pt>
                <c:pt idx="8">
                  <c:v>14.398999999999999</c:v>
                </c:pt>
                <c:pt idx="9">
                  <c:v>13.4208</c:v>
                </c:pt>
                <c:pt idx="10">
                  <c:v>12.5608</c:v>
                </c:pt>
                <c:pt idx="11">
                  <c:v>11.818999999999999</c:v>
                </c:pt>
                <c:pt idx="12">
                  <c:v>11.195399999999999</c:v>
                </c:pt>
                <c:pt idx="13">
                  <c:v>10.69</c:v>
                </c:pt>
                <c:pt idx="14">
                  <c:v>10.1188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40448"/>
        <c:axId val="158041984"/>
      </c:scatterChart>
      <c:valAx>
        <c:axId val="15804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041984"/>
        <c:crosses val="autoZero"/>
        <c:crossBetween val="midCat"/>
      </c:valAx>
      <c:valAx>
        <c:axId val="15804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40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'868v2'!$AV$171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926662292213474"/>
                  <c:y val="-0.31141664286782805"/>
                </c:manualLayout>
              </c:layout>
              <c:numFmt formatCode="General" sourceLinked="0"/>
            </c:trendlineLbl>
          </c:trendline>
          <c:xVal>
            <c:numRef>
              <c:f>'868v2'!$AU$172:$AU$186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'868v2'!$AV$172:$AV$186</c:f>
              <c:numCache>
                <c:formatCode>General</c:formatCode>
                <c:ptCount val="15"/>
                <c:pt idx="0">
                  <c:v>25.404600000000002</c:v>
                </c:pt>
                <c:pt idx="1">
                  <c:v>23.564700000000002</c:v>
                </c:pt>
                <c:pt idx="2">
                  <c:v>21.837200000000003</c:v>
                </c:pt>
                <c:pt idx="3">
                  <c:v>20.222099999999998</c:v>
                </c:pt>
                <c:pt idx="4">
                  <c:v>18.7194</c:v>
                </c:pt>
                <c:pt idx="5">
                  <c:v>17.3291</c:v>
                </c:pt>
                <c:pt idx="6">
                  <c:v>16.051200000000001</c:v>
                </c:pt>
                <c:pt idx="7">
                  <c:v>14.8857</c:v>
                </c:pt>
                <c:pt idx="8">
                  <c:v>13.832599999999999</c:v>
                </c:pt>
                <c:pt idx="9">
                  <c:v>12.8919</c:v>
                </c:pt>
                <c:pt idx="10">
                  <c:v>12.063599999999999</c:v>
                </c:pt>
                <c:pt idx="11">
                  <c:v>11.3477</c:v>
                </c:pt>
                <c:pt idx="12">
                  <c:v>10.744199999999999</c:v>
                </c:pt>
                <c:pt idx="13">
                  <c:v>10.2531</c:v>
                </c:pt>
                <c:pt idx="14">
                  <c:v>9.7303999999999995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59136"/>
        <c:axId val="158081408"/>
      </c:scatterChart>
      <c:valAx>
        <c:axId val="15805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081408"/>
        <c:crosses val="autoZero"/>
        <c:crossBetween val="midCat"/>
      </c:valAx>
      <c:valAx>
        <c:axId val="15808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59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'868v2'!$AV$195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204440069991251"/>
                  <c:y val="-0.31303860454943133"/>
                </c:manualLayout>
              </c:layout>
              <c:numFmt formatCode="General" sourceLinked="0"/>
            </c:trendlineLbl>
          </c:trendline>
          <c:xVal>
            <c:numRef>
              <c:f>'868v2'!$AU$196:$AU$210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'868v2'!$AV$196:$AV$210</c:f>
              <c:numCache>
                <c:formatCode>General</c:formatCode>
                <c:ptCount val="15"/>
                <c:pt idx="0">
                  <c:v>24.7193</c:v>
                </c:pt>
                <c:pt idx="1">
                  <c:v>22.932299999999998</c:v>
                </c:pt>
                <c:pt idx="2">
                  <c:v>21.254300000000001</c:v>
                </c:pt>
                <c:pt idx="3">
                  <c:v>19.685299999999998</c:v>
                </c:pt>
                <c:pt idx="4">
                  <c:v>18.225300000000001</c:v>
                </c:pt>
                <c:pt idx="5">
                  <c:v>16.874300000000002</c:v>
                </c:pt>
                <c:pt idx="6">
                  <c:v>15.632300000000001</c:v>
                </c:pt>
                <c:pt idx="7">
                  <c:v>14.4993</c:v>
                </c:pt>
                <c:pt idx="8">
                  <c:v>13.475300000000001</c:v>
                </c:pt>
                <c:pt idx="9">
                  <c:v>12.560300000000002</c:v>
                </c:pt>
                <c:pt idx="10">
                  <c:v>11.754300000000001</c:v>
                </c:pt>
                <c:pt idx="11">
                  <c:v>11.0573</c:v>
                </c:pt>
                <c:pt idx="12">
                  <c:v>10.4693</c:v>
                </c:pt>
                <c:pt idx="13">
                  <c:v>9.9902999999999995</c:v>
                </c:pt>
                <c:pt idx="14">
                  <c:v>9.4795999999999996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14944"/>
        <c:axId val="158116480"/>
      </c:scatterChart>
      <c:valAx>
        <c:axId val="15811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116480"/>
        <c:crosses val="autoZero"/>
        <c:crossBetween val="midCat"/>
      </c:valAx>
      <c:valAx>
        <c:axId val="1581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14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'868v2'!$AV$219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184995625546806"/>
                  <c:y val="-0.29454741234268794"/>
                </c:manualLayout>
              </c:layout>
              <c:numFmt formatCode="General" sourceLinked="0"/>
            </c:trendlineLbl>
          </c:trendline>
          <c:xVal>
            <c:numRef>
              <c:f>'868v2'!$AU$220:$AU$234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'868v2'!$AV$220:$AV$234</c:f>
              <c:numCache>
                <c:formatCode>General</c:formatCode>
                <c:ptCount val="15"/>
                <c:pt idx="0">
                  <c:v>23.8856</c:v>
                </c:pt>
                <c:pt idx="1">
                  <c:v>22.145899999999997</c:v>
                </c:pt>
                <c:pt idx="2">
                  <c:v>20.513199999999998</c:v>
                </c:pt>
                <c:pt idx="3">
                  <c:v>18.987500000000001</c:v>
                </c:pt>
                <c:pt idx="4">
                  <c:v>17.5688</c:v>
                </c:pt>
                <c:pt idx="5">
                  <c:v>16.257100000000001</c:v>
                </c:pt>
                <c:pt idx="6">
                  <c:v>15.0524</c:v>
                </c:pt>
                <c:pt idx="7">
                  <c:v>13.954700000000001</c:v>
                </c:pt>
                <c:pt idx="8">
                  <c:v>12.964</c:v>
                </c:pt>
                <c:pt idx="9">
                  <c:v>12.080299999999999</c:v>
                </c:pt>
                <c:pt idx="10">
                  <c:v>11.303599999999999</c:v>
                </c:pt>
                <c:pt idx="11">
                  <c:v>10.633900000000001</c:v>
                </c:pt>
                <c:pt idx="12">
                  <c:v>10.071199999999999</c:v>
                </c:pt>
                <c:pt idx="13">
                  <c:v>9.6155000000000008</c:v>
                </c:pt>
                <c:pt idx="14">
                  <c:v>9.1195000000000004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39136"/>
        <c:axId val="158545024"/>
      </c:scatterChart>
      <c:valAx>
        <c:axId val="15853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545024"/>
        <c:crosses val="autoZero"/>
        <c:crossBetween val="midCat"/>
      </c:valAx>
      <c:valAx>
        <c:axId val="15854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39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'868v2'!$AV$243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759995625546804"/>
                  <c:y val="-0.31467755012298854"/>
                </c:manualLayout>
              </c:layout>
              <c:numFmt formatCode="General" sourceLinked="0"/>
            </c:trendlineLbl>
          </c:trendline>
          <c:xVal>
            <c:numRef>
              <c:f>'868v2'!$AU$244:$AU$258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'868v2'!$AV$244:$AV$258</c:f>
              <c:numCache>
                <c:formatCode>General</c:formatCode>
                <c:ptCount val="15"/>
                <c:pt idx="0">
                  <c:v>23.140099999999997</c:v>
                </c:pt>
                <c:pt idx="1">
                  <c:v>21.487900000000003</c:v>
                </c:pt>
                <c:pt idx="2">
                  <c:v>19.936300000000003</c:v>
                </c:pt>
                <c:pt idx="3">
                  <c:v>18.485300000000002</c:v>
                </c:pt>
                <c:pt idx="4">
                  <c:v>17.134900000000002</c:v>
                </c:pt>
                <c:pt idx="5">
                  <c:v>15.885100000000001</c:v>
                </c:pt>
                <c:pt idx="6">
                  <c:v>14.735900000000001</c:v>
                </c:pt>
                <c:pt idx="7">
                  <c:v>13.6873</c:v>
                </c:pt>
                <c:pt idx="8">
                  <c:v>12.7393</c:v>
                </c:pt>
                <c:pt idx="9">
                  <c:v>11.8919</c:v>
                </c:pt>
                <c:pt idx="10">
                  <c:v>11.145099999999999</c:v>
                </c:pt>
                <c:pt idx="11">
                  <c:v>10.498899999999999</c:v>
                </c:pt>
                <c:pt idx="12">
                  <c:v>9.9533000000000005</c:v>
                </c:pt>
                <c:pt idx="13">
                  <c:v>9.5083000000000002</c:v>
                </c:pt>
                <c:pt idx="14">
                  <c:v>9.0230999999999995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70368"/>
        <c:axId val="158571904"/>
      </c:scatterChart>
      <c:valAx>
        <c:axId val="15857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571904"/>
        <c:crosses val="autoZero"/>
        <c:crossBetween val="midCat"/>
      </c:valAx>
      <c:valAx>
        <c:axId val="15857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70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'868v2'!$AV$267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184995625546806"/>
                  <c:y val="-0.31141664286782805"/>
                </c:manualLayout>
              </c:layout>
              <c:numFmt formatCode="General" sourceLinked="0"/>
            </c:trendlineLbl>
          </c:trendline>
          <c:xVal>
            <c:numRef>
              <c:f>'868v2'!$AU$268:$AU$282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'868v2'!$AV$268:$AV$282</c:f>
              <c:numCache>
                <c:formatCode>General</c:formatCode>
                <c:ptCount val="15"/>
                <c:pt idx="0">
                  <c:v>22.59</c:v>
                </c:pt>
                <c:pt idx="1">
                  <c:v>20.977600000000002</c:v>
                </c:pt>
                <c:pt idx="2">
                  <c:v>19.463200000000001</c:v>
                </c:pt>
                <c:pt idx="3">
                  <c:v>18.046800000000001</c:v>
                </c:pt>
                <c:pt idx="4">
                  <c:v>16.728400000000001</c:v>
                </c:pt>
                <c:pt idx="5">
                  <c:v>15.508000000000001</c:v>
                </c:pt>
                <c:pt idx="6">
                  <c:v>14.3856</c:v>
                </c:pt>
                <c:pt idx="7">
                  <c:v>13.3612</c:v>
                </c:pt>
                <c:pt idx="8">
                  <c:v>12.434799999999999</c:v>
                </c:pt>
                <c:pt idx="9">
                  <c:v>11.606400000000001</c:v>
                </c:pt>
                <c:pt idx="10">
                  <c:v>10.875999999999999</c:v>
                </c:pt>
                <c:pt idx="11">
                  <c:v>10.243600000000001</c:v>
                </c:pt>
                <c:pt idx="12">
                  <c:v>9.7091999999999992</c:v>
                </c:pt>
                <c:pt idx="13">
                  <c:v>9.2728000000000002</c:v>
                </c:pt>
                <c:pt idx="14">
                  <c:v>8.7987000000000002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38752"/>
        <c:axId val="158140288"/>
      </c:scatterChart>
      <c:valAx>
        <c:axId val="15813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140288"/>
        <c:crosses val="autoZero"/>
        <c:crossBetween val="midCat"/>
      </c:valAx>
      <c:valAx>
        <c:axId val="15814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38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'868'!$C$335</c:f>
              <c:strCache>
                <c:ptCount val="1"/>
                <c:pt idx="0">
                  <c:v>avg 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7731652563266229"/>
                  <c:y val="7.523034143025116E-2"/>
                </c:manualLayout>
              </c:layout>
              <c:numFmt formatCode="General" sourceLinked="0"/>
            </c:trendlineLbl>
          </c:trendline>
          <c:xVal>
            <c:numRef>
              <c:f>'868'!$D$331:$AR$331</c:f>
              <c:numCache>
                <c:formatCode>General</c:formatCode>
                <c:ptCount val="41"/>
                <c:pt idx="0">
                  <c:v>1.8</c:v>
                </c:pt>
                <c:pt idx="1">
                  <c:v>1.85</c:v>
                </c:pt>
                <c:pt idx="2">
                  <c:v>1.9</c:v>
                </c:pt>
                <c:pt idx="3">
                  <c:v>1.95</c:v>
                </c:pt>
                <c:pt idx="4">
                  <c:v>2</c:v>
                </c:pt>
                <c:pt idx="5">
                  <c:v>2.0499999999999998</c:v>
                </c:pt>
                <c:pt idx="6">
                  <c:v>2.1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2.25</c:v>
                </c:pt>
                <c:pt idx="10">
                  <c:v>2.2999999999999998</c:v>
                </c:pt>
                <c:pt idx="11">
                  <c:v>2.35</c:v>
                </c:pt>
                <c:pt idx="12">
                  <c:v>2.4</c:v>
                </c:pt>
                <c:pt idx="13">
                  <c:v>2.4500000000000002</c:v>
                </c:pt>
                <c:pt idx="14">
                  <c:v>2.5</c:v>
                </c:pt>
                <c:pt idx="15">
                  <c:v>2.5499999999999998</c:v>
                </c:pt>
                <c:pt idx="16">
                  <c:v>2.6</c:v>
                </c:pt>
                <c:pt idx="17">
                  <c:v>2.65</c:v>
                </c:pt>
                <c:pt idx="18">
                  <c:v>2.7</c:v>
                </c:pt>
                <c:pt idx="19">
                  <c:v>2.75</c:v>
                </c:pt>
                <c:pt idx="20">
                  <c:v>2.8</c:v>
                </c:pt>
                <c:pt idx="21">
                  <c:v>2.85</c:v>
                </c:pt>
                <c:pt idx="22">
                  <c:v>2.9</c:v>
                </c:pt>
                <c:pt idx="23">
                  <c:v>2.95</c:v>
                </c:pt>
                <c:pt idx="24">
                  <c:v>3</c:v>
                </c:pt>
                <c:pt idx="25">
                  <c:v>3.05</c:v>
                </c:pt>
                <c:pt idx="26">
                  <c:v>3.1</c:v>
                </c:pt>
                <c:pt idx="27">
                  <c:v>3.15</c:v>
                </c:pt>
                <c:pt idx="28">
                  <c:v>3.2</c:v>
                </c:pt>
                <c:pt idx="29">
                  <c:v>3.25</c:v>
                </c:pt>
                <c:pt idx="30">
                  <c:v>3.3</c:v>
                </c:pt>
                <c:pt idx="31">
                  <c:v>3.35</c:v>
                </c:pt>
                <c:pt idx="32">
                  <c:v>3.4</c:v>
                </c:pt>
                <c:pt idx="33">
                  <c:v>3.45</c:v>
                </c:pt>
                <c:pt idx="34">
                  <c:v>3.5</c:v>
                </c:pt>
                <c:pt idx="35">
                  <c:v>3.55</c:v>
                </c:pt>
                <c:pt idx="36">
                  <c:v>3.6</c:v>
                </c:pt>
                <c:pt idx="37">
                  <c:v>3.65</c:v>
                </c:pt>
                <c:pt idx="38">
                  <c:v>3.7</c:v>
                </c:pt>
                <c:pt idx="39">
                  <c:v>3.75</c:v>
                </c:pt>
                <c:pt idx="40">
                  <c:v>3.8</c:v>
                </c:pt>
              </c:numCache>
            </c:numRef>
          </c:xVal>
          <c:yVal>
            <c:numRef>
              <c:f>'868'!$D$335:$AR$335</c:f>
              <c:numCache>
                <c:formatCode>General</c:formatCode>
                <c:ptCount val="41"/>
                <c:pt idx="0">
                  <c:v>16.633071999999999</c:v>
                </c:pt>
                <c:pt idx="1">
                  <c:v>16.622369333333335</c:v>
                </c:pt>
                <c:pt idx="2">
                  <c:v>16.626635666666669</c:v>
                </c:pt>
                <c:pt idx="3">
                  <c:v>16.625102333333334</c:v>
                </c:pt>
                <c:pt idx="4">
                  <c:v>15.549334333333334</c:v>
                </c:pt>
                <c:pt idx="5">
                  <c:v>14.830485000000001</c:v>
                </c:pt>
                <c:pt idx="6">
                  <c:v>14.411787666666667</c:v>
                </c:pt>
                <c:pt idx="7">
                  <c:v>14.221247</c:v>
                </c:pt>
                <c:pt idx="8">
                  <c:v>13.829423333333333</c:v>
                </c:pt>
                <c:pt idx="9">
                  <c:v>13.608954000000002</c:v>
                </c:pt>
                <c:pt idx="10">
                  <c:v>13.292906</c:v>
                </c:pt>
                <c:pt idx="11">
                  <c:v>13.026114333333332</c:v>
                </c:pt>
                <c:pt idx="12">
                  <c:v>12.994281999999998</c:v>
                </c:pt>
                <c:pt idx="13">
                  <c:v>12.517270333333334</c:v>
                </c:pt>
                <c:pt idx="14">
                  <c:v>12.429928666666667</c:v>
                </c:pt>
                <c:pt idx="15">
                  <c:v>12.255375666666668</c:v>
                </c:pt>
                <c:pt idx="16">
                  <c:v>12.085628999999999</c:v>
                </c:pt>
                <c:pt idx="17">
                  <c:v>11.740242666666667</c:v>
                </c:pt>
                <c:pt idx="18">
                  <c:v>11.555272666666667</c:v>
                </c:pt>
                <c:pt idx="19">
                  <c:v>11.392999000000001</c:v>
                </c:pt>
                <c:pt idx="20">
                  <c:v>11.245836666666667</c:v>
                </c:pt>
                <c:pt idx="21">
                  <c:v>11.084431666666665</c:v>
                </c:pt>
                <c:pt idx="22">
                  <c:v>10.793852333333334</c:v>
                </c:pt>
                <c:pt idx="23">
                  <c:v>10.63744</c:v>
                </c:pt>
                <c:pt idx="24">
                  <c:v>10.626788666666668</c:v>
                </c:pt>
                <c:pt idx="25">
                  <c:v>10.487748000000002</c:v>
                </c:pt>
                <c:pt idx="26">
                  <c:v>10.351469</c:v>
                </c:pt>
                <c:pt idx="27">
                  <c:v>10.182288333333334</c:v>
                </c:pt>
                <c:pt idx="28">
                  <c:v>9.962673333333333</c:v>
                </c:pt>
                <c:pt idx="29">
                  <c:v>9.8450266666666675</c:v>
                </c:pt>
                <c:pt idx="30">
                  <c:v>9.7249056666666664</c:v>
                </c:pt>
                <c:pt idx="31">
                  <c:v>9.6104883333333344</c:v>
                </c:pt>
                <c:pt idx="32">
                  <c:v>9.497656666666666</c:v>
                </c:pt>
                <c:pt idx="33">
                  <c:v>9.3906413333333347</c:v>
                </c:pt>
                <c:pt idx="34">
                  <c:v>9.2711439999999996</c:v>
                </c:pt>
                <c:pt idx="35">
                  <c:v>9.178764666666666</c:v>
                </c:pt>
                <c:pt idx="36">
                  <c:v>9.0686013333333335</c:v>
                </c:pt>
                <c:pt idx="37">
                  <c:v>8.9679459999999995</c:v>
                </c:pt>
                <c:pt idx="38">
                  <c:v>8.8714836666666681</c:v>
                </c:pt>
                <c:pt idx="39">
                  <c:v>8.7852366666666679</c:v>
                </c:pt>
                <c:pt idx="40">
                  <c:v>8.7062860000000004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18112"/>
        <c:axId val="149019648"/>
      </c:scatterChart>
      <c:valAx>
        <c:axId val="14901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19648"/>
        <c:crosses val="autoZero"/>
        <c:crossBetween val="midCat"/>
      </c:valAx>
      <c:valAx>
        <c:axId val="1490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18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'868v2'!$AV$291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926662292213474"/>
                  <c:y val="-0.28919284573964338"/>
                </c:manualLayout>
              </c:layout>
              <c:numFmt formatCode="General" sourceLinked="0"/>
            </c:trendlineLbl>
          </c:trendline>
          <c:xVal>
            <c:numRef>
              <c:f>'868v2'!$AU$292:$AU$306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'868v2'!$AV$292:$AV$306</c:f>
              <c:numCache>
                <c:formatCode>General</c:formatCode>
                <c:ptCount val="15"/>
                <c:pt idx="0">
                  <c:v>21.805</c:v>
                </c:pt>
                <c:pt idx="1">
                  <c:v>20.244</c:v>
                </c:pt>
                <c:pt idx="2">
                  <c:v>18.778400000000001</c:v>
                </c:pt>
                <c:pt idx="3">
                  <c:v>17.408200000000001</c:v>
                </c:pt>
                <c:pt idx="4">
                  <c:v>16.133400000000002</c:v>
                </c:pt>
                <c:pt idx="5">
                  <c:v>14.954000000000001</c:v>
                </c:pt>
                <c:pt idx="6">
                  <c:v>13.870000000000001</c:v>
                </c:pt>
                <c:pt idx="7">
                  <c:v>12.881400000000001</c:v>
                </c:pt>
                <c:pt idx="8">
                  <c:v>11.988200000000001</c:v>
                </c:pt>
                <c:pt idx="9">
                  <c:v>11.1904</c:v>
                </c:pt>
                <c:pt idx="10">
                  <c:v>10.488</c:v>
                </c:pt>
                <c:pt idx="11">
                  <c:v>9.8810000000000002</c:v>
                </c:pt>
                <c:pt idx="12">
                  <c:v>9.3694000000000006</c:v>
                </c:pt>
                <c:pt idx="13">
                  <c:v>8.9532000000000007</c:v>
                </c:pt>
                <c:pt idx="14">
                  <c:v>8.4969999999999999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9728"/>
        <c:axId val="158175616"/>
      </c:scatterChart>
      <c:valAx>
        <c:axId val="15816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175616"/>
        <c:crosses val="autoZero"/>
        <c:crossBetween val="midCat"/>
      </c:valAx>
      <c:valAx>
        <c:axId val="15817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69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'868v2'!$AV$315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7037773403324586"/>
                  <c:y val="-0.28478889377406502"/>
                </c:manualLayout>
              </c:layout>
              <c:numFmt formatCode="General" sourceLinked="0"/>
            </c:trendlineLbl>
          </c:trendline>
          <c:xVal>
            <c:numRef>
              <c:f>'868v2'!$AU$316:$AU$330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'868v2'!$AV$316:$AV$330</c:f>
              <c:numCache>
                <c:formatCode>General</c:formatCode>
                <c:ptCount val="15"/>
                <c:pt idx="0">
                  <c:v>21.245200000000004</c:v>
                </c:pt>
                <c:pt idx="1">
                  <c:v>19.733699999999999</c:v>
                </c:pt>
                <c:pt idx="2">
                  <c:v>18.313800000000001</c:v>
                </c:pt>
                <c:pt idx="3">
                  <c:v>16.985500000000002</c:v>
                </c:pt>
                <c:pt idx="4">
                  <c:v>15.748800000000001</c:v>
                </c:pt>
                <c:pt idx="5">
                  <c:v>14.6037</c:v>
                </c:pt>
                <c:pt idx="6">
                  <c:v>13.5502</c:v>
                </c:pt>
                <c:pt idx="7">
                  <c:v>12.5883</c:v>
                </c:pt>
                <c:pt idx="8">
                  <c:v>11.718</c:v>
                </c:pt>
                <c:pt idx="9">
                  <c:v>10.939300000000001</c:v>
                </c:pt>
                <c:pt idx="10">
                  <c:v>10.2522</c:v>
                </c:pt>
                <c:pt idx="11">
                  <c:v>9.6567000000000007</c:v>
                </c:pt>
                <c:pt idx="12">
                  <c:v>9.1528000000000009</c:v>
                </c:pt>
                <c:pt idx="13">
                  <c:v>8.7405000000000008</c:v>
                </c:pt>
                <c:pt idx="14">
                  <c:v>8.2979000000000003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8416"/>
        <c:axId val="158349952"/>
      </c:scatterChart>
      <c:valAx>
        <c:axId val="15834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349952"/>
        <c:crosses val="autoZero"/>
        <c:crossBetween val="midCat"/>
      </c:valAx>
      <c:valAx>
        <c:axId val="15834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48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'868v2'!$AV$339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629440069991253"/>
                  <c:y val="-0.27567942896026887"/>
                </c:manualLayout>
              </c:layout>
              <c:numFmt formatCode="General" sourceLinked="0"/>
            </c:trendlineLbl>
          </c:trendline>
          <c:xVal>
            <c:numRef>
              <c:f>'868v2'!$AU$340:$AU$354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'868v2'!$AV$340:$AV$354</c:f>
              <c:numCache>
                <c:formatCode>General</c:formatCode>
                <c:ptCount val="15"/>
                <c:pt idx="0">
                  <c:v>20.761800000000001</c:v>
                </c:pt>
                <c:pt idx="1">
                  <c:v>19.2864</c:v>
                </c:pt>
                <c:pt idx="2">
                  <c:v>17.900399999999998</c:v>
                </c:pt>
                <c:pt idx="3">
                  <c:v>16.6038</c:v>
                </c:pt>
                <c:pt idx="4">
                  <c:v>15.396599999999999</c:v>
                </c:pt>
                <c:pt idx="5">
                  <c:v>14.2788</c:v>
                </c:pt>
                <c:pt idx="6">
                  <c:v>13.250399999999999</c:v>
                </c:pt>
                <c:pt idx="7">
                  <c:v>12.311399999999999</c:v>
                </c:pt>
                <c:pt idx="8">
                  <c:v>11.4618</c:v>
                </c:pt>
                <c:pt idx="9">
                  <c:v>10.701599999999999</c:v>
                </c:pt>
                <c:pt idx="10">
                  <c:v>10.030799999999999</c:v>
                </c:pt>
                <c:pt idx="11">
                  <c:v>9.4494000000000007</c:v>
                </c:pt>
                <c:pt idx="12">
                  <c:v>8.9573999999999998</c:v>
                </c:pt>
                <c:pt idx="13">
                  <c:v>8.5548000000000002</c:v>
                </c:pt>
                <c:pt idx="14">
                  <c:v>8.1154000000000011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75296"/>
        <c:axId val="158381184"/>
      </c:scatterChart>
      <c:valAx>
        <c:axId val="15837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381184"/>
        <c:crosses val="autoZero"/>
        <c:crossBetween val="midCat"/>
      </c:valAx>
      <c:valAx>
        <c:axId val="15838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75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'868v2'!$AV$363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90721784776903"/>
                  <c:y val="-0.28770980550508107"/>
                </c:manualLayout>
              </c:layout>
              <c:numFmt formatCode="General" sourceLinked="0"/>
            </c:trendlineLbl>
          </c:trendline>
          <c:xVal>
            <c:numRef>
              <c:f>'868v2'!$AU$364:$AU$378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'868v2'!$AV$364:$AV$378</c:f>
              <c:numCache>
                <c:formatCode>General</c:formatCode>
                <c:ptCount val="15"/>
                <c:pt idx="0">
                  <c:v>20.332500000000003</c:v>
                </c:pt>
                <c:pt idx="1">
                  <c:v>18.885000000000002</c:v>
                </c:pt>
                <c:pt idx="2">
                  <c:v>17.525300000000001</c:v>
                </c:pt>
                <c:pt idx="3">
                  <c:v>16.253400000000003</c:v>
                </c:pt>
                <c:pt idx="4">
                  <c:v>15.069300000000002</c:v>
                </c:pt>
                <c:pt idx="5">
                  <c:v>13.973000000000003</c:v>
                </c:pt>
                <c:pt idx="6">
                  <c:v>12.964500000000001</c:v>
                </c:pt>
                <c:pt idx="7">
                  <c:v>12.043800000000001</c:v>
                </c:pt>
                <c:pt idx="8">
                  <c:v>11.210900000000002</c:v>
                </c:pt>
                <c:pt idx="9">
                  <c:v>10.465800000000002</c:v>
                </c:pt>
                <c:pt idx="10">
                  <c:v>9.8085000000000022</c:v>
                </c:pt>
                <c:pt idx="11">
                  <c:v>9.2390000000000008</c:v>
                </c:pt>
                <c:pt idx="12">
                  <c:v>8.7573000000000008</c:v>
                </c:pt>
                <c:pt idx="13">
                  <c:v>8.3634000000000022</c:v>
                </c:pt>
                <c:pt idx="14">
                  <c:v>7.9412000000000003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18816"/>
        <c:axId val="158420352"/>
      </c:scatterChart>
      <c:valAx>
        <c:axId val="1584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420352"/>
        <c:crosses val="autoZero"/>
        <c:crossBetween val="midCat"/>
      </c:valAx>
      <c:valAx>
        <c:axId val="1584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18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'868v2'!$BC$387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926662292213474"/>
                  <c:y val="-0.27125251475545253"/>
                </c:manualLayout>
              </c:layout>
              <c:numFmt formatCode="General" sourceLinked="0"/>
            </c:trendlineLbl>
          </c:trendline>
          <c:xVal>
            <c:numRef>
              <c:f>'868v2'!$BB$388:$BB$402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'868v2'!$BC$388:$BC$402</c:f>
              <c:numCache>
                <c:formatCode>General</c:formatCode>
                <c:ptCount val="15"/>
                <c:pt idx="0">
                  <c:v>19.908099999999997</c:v>
                </c:pt>
                <c:pt idx="1">
                  <c:v>18.4908</c:v>
                </c:pt>
                <c:pt idx="2">
                  <c:v>17.159499999999998</c:v>
                </c:pt>
                <c:pt idx="3">
                  <c:v>15.914200000000001</c:v>
                </c:pt>
                <c:pt idx="4">
                  <c:v>14.754899999999999</c:v>
                </c:pt>
                <c:pt idx="5">
                  <c:v>13.6816</c:v>
                </c:pt>
                <c:pt idx="6">
                  <c:v>12.6943</c:v>
                </c:pt>
                <c:pt idx="7">
                  <c:v>11.792999999999999</c:v>
                </c:pt>
                <c:pt idx="8">
                  <c:v>10.9777</c:v>
                </c:pt>
                <c:pt idx="9">
                  <c:v>10.2484</c:v>
                </c:pt>
                <c:pt idx="10">
                  <c:v>9.6051000000000002</c:v>
                </c:pt>
                <c:pt idx="11">
                  <c:v>9.0478000000000005</c:v>
                </c:pt>
                <c:pt idx="12">
                  <c:v>8.5765000000000011</c:v>
                </c:pt>
                <c:pt idx="13">
                  <c:v>8.1912000000000003</c:v>
                </c:pt>
                <c:pt idx="14">
                  <c:v>7.7727000000000004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58240"/>
        <c:axId val="158459776"/>
      </c:scatterChart>
      <c:valAx>
        <c:axId val="1584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459776"/>
        <c:crosses val="autoZero"/>
        <c:crossBetween val="midCat"/>
      </c:valAx>
      <c:valAx>
        <c:axId val="15845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58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'868v2'!$BC$411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648884514435697"/>
                  <c:y val="-0.29681857949574486"/>
                </c:manualLayout>
              </c:layout>
              <c:numFmt formatCode="General" sourceLinked="0"/>
            </c:trendlineLbl>
          </c:trendline>
          <c:xVal>
            <c:numRef>
              <c:f>'868v2'!$BB$412:$BB$426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'868v2'!$BC$412:$BC$426</c:f>
              <c:numCache>
                <c:formatCode>General</c:formatCode>
                <c:ptCount val="15"/>
                <c:pt idx="0">
                  <c:v>19.441200000000002</c:v>
                </c:pt>
                <c:pt idx="1">
                  <c:v>18.057600000000001</c:v>
                </c:pt>
                <c:pt idx="2">
                  <c:v>16.757999999999999</c:v>
                </c:pt>
                <c:pt idx="3">
                  <c:v>15.542400000000001</c:v>
                </c:pt>
                <c:pt idx="4">
                  <c:v>14.4108</c:v>
                </c:pt>
                <c:pt idx="5">
                  <c:v>13.363199999999999</c:v>
                </c:pt>
                <c:pt idx="6">
                  <c:v>12.3996</c:v>
                </c:pt>
                <c:pt idx="7">
                  <c:v>11.52</c:v>
                </c:pt>
                <c:pt idx="8">
                  <c:v>10.724399999999999</c:v>
                </c:pt>
                <c:pt idx="9">
                  <c:v>10.0128</c:v>
                </c:pt>
                <c:pt idx="10">
                  <c:v>9.3852000000000011</c:v>
                </c:pt>
                <c:pt idx="11">
                  <c:v>8.8415999999999997</c:v>
                </c:pt>
                <c:pt idx="12">
                  <c:v>8.3819999999999997</c:v>
                </c:pt>
                <c:pt idx="13">
                  <c:v>8.0064000000000011</c:v>
                </c:pt>
                <c:pt idx="14">
                  <c:v>7.5998000000000001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85120"/>
        <c:axId val="158486912"/>
      </c:scatterChart>
      <c:valAx>
        <c:axId val="158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486912"/>
        <c:crosses val="autoZero"/>
        <c:crossBetween val="midCat"/>
      </c:valAx>
      <c:valAx>
        <c:axId val="15848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85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'868v2'!$BC$435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37110673665792"/>
                  <c:y val="-0.2900845727617381"/>
                </c:manualLayout>
              </c:layout>
              <c:numFmt formatCode="General" sourceLinked="0"/>
            </c:trendlineLbl>
          </c:trendline>
          <c:xVal>
            <c:numRef>
              <c:f>'868v2'!$BB$436:$BB$450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'868v2'!$BC$436:$BC$450</c:f>
              <c:numCache>
                <c:formatCode>General</c:formatCode>
                <c:ptCount val="15"/>
                <c:pt idx="0">
                  <c:v>19.137</c:v>
                </c:pt>
                <c:pt idx="1">
                  <c:v>17.778100000000002</c:v>
                </c:pt>
                <c:pt idx="2">
                  <c:v>16.5014</c:v>
                </c:pt>
                <c:pt idx="3">
                  <c:v>15.306899999999999</c:v>
                </c:pt>
                <c:pt idx="4">
                  <c:v>14.194599999999999</c:v>
                </c:pt>
                <c:pt idx="5">
                  <c:v>13.1645</c:v>
                </c:pt>
                <c:pt idx="6">
                  <c:v>12.2166</c:v>
                </c:pt>
                <c:pt idx="7">
                  <c:v>11.350899999999999</c:v>
                </c:pt>
                <c:pt idx="8">
                  <c:v>10.567399999999999</c:v>
                </c:pt>
                <c:pt idx="9">
                  <c:v>9.8660999999999994</c:v>
                </c:pt>
                <c:pt idx="10">
                  <c:v>9.2469999999999999</c:v>
                </c:pt>
                <c:pt idx="11">
                  <c:v>8.7101000000000006</c:v>
                </c:pt>
                <c:pt idx="12">
                  <c:v>8.2553999999999998</c:v>
                </c:pt>
                <c:pt idx="13">
                  <c:v>7.8829000000000002</c:v>
                </c:pt>
                <c:pt idx="14">
                  <c:v>7.4787999999999997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16352"/>
        <c:axId val="158517888"/>
      </c:scatterChart>
      <c:valAx>
        <c:axId val="15851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517888"/>
        <c:crosses val="autoZero"/>
        <c:crossBetween val="midCat"/>
      </c:valAx>
      <c:valAx>
        <c:axId val="15851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16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29943132108488"/>
                  <c:y val="-0.31800747128831119"/>
                </c:manualLayout>
              </c:layout>
              <c:numFmt formatCode="General" sourceLinked="0"/>
            </c:trendlineLbl>
          </c:trendline>
          <c:xVal>
            <c:numRef>
              <c:f>'868v2'!$AU$18:$AU$22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'868v2'!$AV$18:$AV$22</c:f>
              <c:numCache>
                <c:formatCode>General</c:formatCode>
                <c:ptCount val="5"/>
                <c:pt idx="0">
                  <c:v>12.869299999999999</c:v>
                </c:pt>
                <c:pt idx="1">
                  <c:v>10.424299999999999</c:v>
                </c:pt>
                <c:pt idx="2">
                  <c:v>8.8292999999999999</c:v>
                </c:pt>
                <c:pt idx="3">
                  <c:v>8.0842999999999989</c:v>
                </c:pt>
                <c:pt idx="4">
                  <c:v>8.1893000000000011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70208"/>
        <c:axId val="158680192"/>
      </c:scatterChart>
      <c:valAx>
        <c:axId val="15867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680192"/>
        <c:crosses val="autoZero"/>
        <c:crossBetween val="midCat"/>
      </c:valAx>
      <c:valAx>
        <c:axId val="15868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70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'868v2'!$AV$27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2146609798775153"/>
                  <c:y val="-0.30138501918029476"/>
                </c:manualLayout>
              </c:layout>
              <c:numFmt formatCode="General" sourceLinked="0"/>
            </c:trendlineLbl>
          </c:trendline>
          <c:xVal>
            <c:numRef>
              <c:f>'868v2'!$AU$42:$AU$46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'868v2'!$AV$42:$AV$46</c:f>
              <c:numCache>
                <c:formatCode>General</c:formatCode>
                <c:ptCount val="5"/>
                <c:pt idx="0">
                  <c:v>11.9533</c:v>
                </c:pt>
                <c:pt idx="1">
                  <c:v>9.6868000000000016</c:v>
                </c:pt>
                <c:pt idx="2">
                  <c:v>8.2053000000000011</c:v>
                </c:pt>
                <c:pt idx="3">
                  <c:v>7.5088000000000008</c:v>
                </c:pt>
                <c:pt idx="4">
                  <c:v>7.5973000000000006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3728"/>
        <c:axId val="158715264"/>
      </c:scatterChart>
      <c:valAx>
        <c:axId val="15871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715264"/>
        <c:crosses val="autoZero"/>
        <c:crossBetween val="midCat"/>
      </c:valAx>
      <c:valAx>
        <c:axId val="15871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13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'868v2'!$AV$51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571609798775155"/>
                  <c:y val="-0.31303860454943133"/>
                </c:manualLayout>
              </c:layout>
              <c:numFmt formatCode="General" sourceLinked="0"/>
            </c:trendlineLbl>
          </c:trendline>
          <c:xVal>
            <c:numRef>
              <c:f>'868v2'!$AU$66:$AU$70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'868v2'!$AV$66:$AV$70</c:f>
              <c:numCache>
                <c:formatCode>General</c:formatCode>
                <c:ptCount val="5"/>
                <c:pt idx="0">
                  <c:v>11.484299999999999</c:v>
                </c:pt>
                <c:pt idx="1">
                  <c:v>9.305299999999999</c:v>
                </c:pt>
                <c:pt idx="2">
                  <c:v>7.8763000000000005</c:v>
                </c:pt>
                <c:pt idx="3">
                  <c:v>7.1973000000000003</c:v>
                </c:pt>
                <c:pt idx="4">
                  <c:v>7.2683000000000018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49056"/>
        <c:axId val="158750592"/>
      </c:scatterChart>
      <c:valAx>
        <c:axId val="15874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750592"/>
        <c:crosses val="autoZero"/>
        <c:crossBetween val="midCat"/>
      </c:valAx>
      <c:valAx>
        <c:axId val="15875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49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'868'!$C$368</c:f>
              <c:strCache>
                <c:ptCount val="1"/>
                <c:pt idx="0">
                  <c:v>avg 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3778803051775513"/>
                  <c:y val="2.9902504017063226E-2"/>
                </c:manualLayout>
              </c:layout>
              <c:numFmt formatCode="General" sourceLinked="0"/>
            </c:trendlineLbl>
          </c:trendline>
          <c:xVal>
            <c:numRef>
              <c:f>'868'!$D$364:$AR$364</c:f>
              <c:numCache>
                <c:formatCode>General</c:formatCode>
                <c:ptCount val="41"/>
                <c:pt idx="0">
                  <c:v>1.8</c:v>
                </c:pt>
                <c:pt idx="1">
                  <c:v>1.85</c:v>
                </c:pt>
                <c:pt idx="2">
                  <c:v>1.9</c:v>
                </c:pt>
                <c:pt idx="3">
                  <c:v>1.95</c:v>
                </c:pt>
                <c:pt idx="4">
                  <c:v>2</c:v>
                </c:pt>
                <c:pt idx="5">
                  <c:v>2.0499999999999998</c:v>
                </c:pt>
                <c:pt idx="6">
                  <c:v>2.1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2.25</c:v>
                </c:pt>
                <c:pt idx="10">
                  <c:v>2.2999999999999998</c:v>
                </c:pt>
                <c:pt idx="11">
                  <c:v>2.35</c:v>
                </c:pt>
                <c:pt idx="12">
                  <c:v>2.4</c:v>
                </c:pt>
                <c:pt idx="13">
                  <c:v>2.4500000000000002</c:v>
                </c:pt>
                <c:pt idx="14">
                  <c:v>2.5</c:v>
                </c:pt>
                <c:pt idx="15">
                  <c:v>2.5499999999999998</c:v>
                </c:pt>
                <c:pt idx="16">
                  <c:v>2.6</c:v>
                </c:pt>
                <c:pt idx="17">
                  <c:v>2.65</c:v>
                </c:pt>
                <c:pt idx="18">
                  <c:v>2.7</c:v>
                </c:pt>
                <c:pt idx="19">
                  <c:v>2.75</c:v>
                </c:pt>
                <c:pt idx="20">
                  <c:v>2.8</c:v>
                </c:pt>
                <c:pt idx="21">
                  <c:v>2.85</c:v>
                </c:pt>
                <c:pt idx="22">
                  <c:v>2.9</c:v>
                </c:pt>
                <c:pt idx="23">
                  <c:v>2.95</c:v>
                </c:pt>
                <c:pt idx="24">
                  <c:v>3</c:v>
                </c:pt>
                <c:pt idx="25">
                  <c:v>3.05</c:v>
                </c:pt>
                <c:pt idx="26">
                  <c:v>3.1</c:v>
                </c:pt>
                <c:pt idx="27">
                  <c:v>3.15</c:v>
                </c:pt>
                <c:pt idx="28">
                  <c:v>3.2</c:v>
                </c:pt>
                <c:pt idx="29">
                  <c:v>3.25</c:v>
                </c:pt>
                <c:pt idx="30">
                  <c:v>3.3</c:v>
                </c:pt>
                <c:pt idx="31">
                  <c:v>3.35</c:v>
                </c:pt>
                <c:pt idx="32">
                  <c:v>3.4</c:v>
                </c:pt>
                <c:pt idx="33">
                  <c:v>3.45</c:v>
                </c:pt>
                <c:pt idx="34">
                  <c:v>3.5</c:v>
                </c:pt>
                <c:pt idx="35">
                  <c:v>3.55</c:v>
                </c:pt>
                <c:pt idx="36">
                  <c:v>3.6</c:v>
                </c:pt>
                <c:pt idx="37">
                  <c:v>3.65</c:v>
                </c:pt>
                <c:pt idx="38">
                  <c:v>3.7</c:v>
                </c:pt>
                <c:pt idx="39">
                  <c:v>3.75</c:v>
                </c:pt>
                <c:pt idx="40">
                  <c:v>3.8</c:v>
                </c:pt>
              </c:numCache>
            </c:numRef>
          </c:xVal>
          <c:yVal>
            <c:numRef>
              <c:f>'868'!$D$368:$AR$368</c:f>
              <c:numCache>
                <c:formatCode>General</c:formatCode>
                <c:ptCount val="41"/>
                <c:pt idx="0">
                  <c:v>15.341677666666669</c:v>
                </c:pt>
                <c:pt idx="1">
                  <c:v>15.337637666666666</c:v>
                </c:pt>
                <c:pt idx="2">
                  <c:v>15.341275666666666</c:v>
                </c:pt>
                <c:pt idx="3">
                  <c:v>15.325293</c:v>
                </c:pt>
                <c:pt idx="4">
                  <c:v>14.347226999999998</c:v>
                </c:pt>
                <c:pt idx="5">
                  <c:v>13.674359000000001</c:v>
                </c:pt>
                <c:pt idx="6">
                  <c:v>13.288473666666667</c:v>
                </c:pt>
                <c:pt idx="7">
                  <c:v>13.110512</c:v>
                </c:pt>
                <c:pt idx="8">
                  <c:v>12.753546666666667</c:v>
                </c:pt>
                <c:pt idx="9">
                  <c:v>12.562601666666666</c:v>
                </c:pt>
                <c:pt idx="10">
                  <c:v>12.267175666666667</c:v>
                </c:pt>
                <c:pt idx="11">
                  <c:v>12.011199</c:v>
                </c:pt>
                <c:pt idx="12">
                  <c:v>11.838203666666667</c:v>
                </c:pt>
                <c:pt idx="13">
                  <c:v>11.549833333333334</c:v>
                </c:pt>
                <c:pt idx="14">
                  <c:v>11.340010666666666</c:v>
                </c:pt>
                <c:pt idx="15">
                  <c:v>11.327400666666668</c:v>
                </c:pt>
                <c:pt idx="16">
                  <c:v>11.170658666666666</c:v>
                </c:pt>
                <c:pt idx="17">
                  <c:v>10.850465666666665</c:v>
                </c:pt>
                <c:pt idx="18">
                  <c:v>10.681738666666666</c:v>
                </c:pt>
                <c:pt idx="19">
                  <c:v>10.532653333333334</c:v>
                </c:pt>
                <c:pt idx="20">
                  <c:v>10.400619999999998</c:v>
                </c:pt>
                <c:pt idx="21">
                  <c:v>10.242612333333334</c:v>
                </c:pt>
                <c:pt idx="22">
                  <c:v>9.979846666666667</c:v>
                </c:pt>
                <c:pt idx="23">
                  <c:v>9.8386636666666671</c:v>
                </c:pt>
                <c:pt idx="24">
                  <c:v>9.8475196666666651</c:v>
                </c:pt>
                <c:pt idx="25">
                  <c:v>9.7148149999999998</c:v>
                </c:pt>
                <c:pt idx="26">
                  <c:v>9.5843013333333342</c:v>
                </c:pt>
                <c:pt idx="27">
                  <c:v>9.4304516666666665</c:v>
                </c:pt>
                <c:pt idx="28">
                  <c:v>9.2278529999999996</c:v>
                </c:pt>
                <c:pt idx="29">
                  <c:v>9.1164996666666678</c:v>
                </c:pt>
                <c:pt idx="30">
                  <c:v>8.9967353333333335</c:v>
                </c:pt>
                <c:pt idx="31">
                  <c:v>8.9085783333333328</c:v>
                </c:pt>
                <c:pt idx="32">
                  <c:v>8.7989053333333338</c:v>
                </c:pt>
                <c:pt idx="33">
                  <c:v>8.6976013333333331</c:v>
                </c:pt>
                <c:pt idx="34">
                  <c:v>8.5875350000000008</c:v>
                </c:pt>
                <c:pt idx="35">
                  <c:v>8.5028083333333324</c:v>
                </c:pt>
                <c:pt idx="36">
                  <c:v>8.3962606666666666</c:v>
                </c:pt>
                <c:pt idx="37">
                  <c:v>8.3168756666666663</c:v>
                </c:pt>
                <c:pt idx="38">
                  <c:v>8.2180710000000001</c:v>
                </c:pt>
                <c:pt idx="39">
                  <c:v>8.1386749999999992</c:v>
                </c:pt>
                <c:pt idx="40">
                  <c:v>8.0611673333333318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23840"/>
        <c:axId val="149125376"/>
      </c:scatterChart>
      <c:valAx>
        <c:axId val="14912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125376"/>
        <c:crosses val="autoZero"/>
        <c:crossBetween val="midCat"/>
      </c:valAx>
      <c:valAx>
        <c:axId val="1491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23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'868v2'!$AV$75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2146609798775153"/>
                  <c:y val="-0.3221998788612962"/>
                </c:manualLayout>
              </c:layout>
              <c:numFmt formatCode="General" sourceLinked="0"/>
            </c:trendlineLbl>
          </c:trendline>
          <c:xVal>
            <c:numRef>
              <c:f>'868v2'!$AU$90:$AU$94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'868v2'!$AV$90:$AV$94</c:f>
              <c:numCache>
                <c:formatCode>General</c:formatCode>
                <c:ptCount val="5"/>
                <c:pt idx="0">
                  <c:v>11.0663</c:v>
                </c:pt>
                <c:pt idx="1">
                  <c:v>8.962299999999999</c:v>
                </c:pt>
                <c:pt idx="2">
                  <c:v>7.5833000000000004</c:v>
                </c:pt>
                <c:pt idx="3">
                  <c:v>6.9293000000000005</c:v>
                </c:pt>
                <c:pt idx="4">
                  <c:v>7.0003000000000011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8224"/>
        <c:axId val="159056256"/>
      </c:scatterChart>
      <c:valAx>
        <c:axId val="15878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056256"/>
        <c:crosses val="autoZero"/>
        <c:crossBetween val="midCat"/>
      </c:valAx>
      <c:valAx>
        <c:axId val="15905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88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'868v2'!$AV$98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242438757655293"/>
                  <c:y val="-0.31487095363079615"/>
                </c:manualLayout>
              </c:layout>
              <c:numFmt formatCode="General" sourceLinked="0"/>
            </c:trendlineLbl>
          </c:trendline>
          <c:xVal>
            <c:numRef>
              <c:f>'868v2'!$AU$113:$AU$117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'868v2'!$AV$113:$AV$117</c:f>
              <c:numCache>
                <c:formatCode>General</c:formatCode>
                <c:ptCount val="5"/>
                <c:pt idx="0">
                  <c:v>10.908300000000001</c:v>
                </c:pt>
                <c:pt idx="1">
                  <c:v>8.7788000000000004</c:v>
                </c:pt>
                <c:pt idx="2">
                  <c:v>7.3743000000000007</c:v>
                </c:pt>
                <c:pt idx="3">
                  <c:v>6.6948000000000016</c:v>
                </c:pt>
                <c:pt idx="4">
                  <c:v>6.7403000000000013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93888"/>
        <c:axId val="159095424"/>
      </c:scatterChart>
      <c:valAx>
        <c:axId val="1590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095424"/>
        <c:crosses val="autoZero"/>
        <c:crossBetween val="midCat"/>
      </c:valAx>
      <c:valAx>
        <c:axId val="15909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93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'868v2'!$AV$123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5910542432196"/>
                  <c:y val="-0.31106577998993651"/>
                </c:manualLayout>
              </c:layout>
              <c:numFmt formatCode="General" sourceLinked="0"/>
            </c:trendlineLbl>
          </c:trendline>
          <c:xVal>
            <c:numRef>
              <c:f>'868v2'!$AU$138:$AU$142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'868v2'!$AV$138:$AV$142</c:f>
              <c:numCache>
                <c:formatCode>General</c:formatCode>
                <c:ptCount val="5"/>
                <c:pt idx="0">
                  <c:v>10.428900000000001</c:v>
                </c:pt>
                <c:pt idx="1">
                  <c:v>8.5168999999999997</c:v>
                </c:pt>
                <c:pt idx="2">
                  <c:v>7.2249000000000008</c:v>
                </c:pt>
                <c:pt idx="3">
                  <c:v>6.5529000000000011</c:v>
                </c:pt>
                <c:pt idx="4">
                  <c:v>6.5009000000000006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12576"/>
        <c:axId val="158860416"/>
      </c:scatterChart>
      <c:valAx>
        <c:axId val="1591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860416"/>
        <c:crosses val="autoZero"/>
        <c:crossBetween val="midCat"/>
      </c:valAx>
      <c:valAx>
        <c:axId val="15886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12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'868v2'!$AV$147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2146609798775153"/>
                  <c:y val="-0.34941239487921155"/>
                </c:manualLayout>
              </c:layout>
              <c:numFmt formatCode="General" sourceLinked="0"/>
            </c:trendlineLbl>
          </c:trendline>
          <c:xVal>
            <c:numRef>
              <c:f>'868v2'!$AU$162:$AU$166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'868v2'!$AV$162:$AV$166</c:f>
              <c:numCache>
                <c:formatCode>General</c:formatCode>
                <c:ptCount val="5"/>
                <c:pt idx="0">
                  <c:v>10.1188</c:v>
                </c:pt>
                <c:pt idx="1">
                  <c:v>8.1677999999999997</c:v>
                </c:pt>
                <c:pt idx="2">
                  <c:v>6.8917999999999999</c:v>
                </c:pt>
                <c:pt idx="3">
                  <c:v>6.2908000000000008</c:v>
                </c:pt>
                <c:pt idx="4">
                  <c:v>6.3648000000000007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98048"/>
        <c:axId val="158899584"/>
      </c:scatterChart>
      <c:valAx>
        <c:axId val="15889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899584"/>
        <c:crosses val="autoZero"/>
        <c:crossBetween val="midCat"/>
      </c:valAx>
      <c:valAx>
        <c:axId val="15889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898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'868v2'!$AV$171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68832020997376"/>
                  <c:y val="-0.34983063959110372"/>
                </c:manualLayout>
              </c:layout>
              <c:numFmt formatCode="General" sourceLinked="0"/>
            </c:trendlineLbl>
          </c:trendline>
          <c:xVal>
            <c:numRef>
              <c:f>'868v2'!$AU$186:$AU$190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'868v2'!$AV$186:$AV$190</c:f>
              <c:numCache>
                <c:formatCode>General</c:formatCode>
                <c:ptCount val="5"/>
                <c:pt idx="0">
                  <c:v>9.7303999999999995</c:v>
                </c:pt>
                <c:pt idx="1">
                  <c:v>7.950899999999999</c:v>
                </c:pt>
                <c:pt idx="2">
                  <c:v>6.7463999999999995</c:v>
                </c:pt>
                <c:pt idx="3">
                  <c:v>6.1168999999999993</c:v>
                </c:pt>
                <c:pt idx="4">
                  <c:v>6.0623999999999985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33376"/>
        <c:axId val="158934912"/>
      </c:scatterChart>
      <c:valAx>
        <c:axId val="1589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934912"/>
        <c:crosses val="autoZero"/>
        <c:crossBetween val="midCat"/>
      </c:valAx>
      <c:valAx>
        <c:axId val="15893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33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'868v2'!$AV$195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242438757655293"/>
                  <c:y val="-0.30981140244067429"/>
                </c:manualLayout>
              </c:layout>
              <c:numFmt formatCode="General" sourceLinked="0"/>
            </c:trendlineLbl>
          </c:trendline>
          <c:xVal>
            <c:numRef>
              <c:f>'868v2'!$AU$210:$AU$214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'868v2'!$AV$210:$AV$214</c:f>
              <c:numCache>
                <c:formatCode>General</c:formatCode>
                <c:ptCount val="5"/>
                <c:pt idx="0">
                  <c:v>9.4795999999999996</c:v>
                </c:pt>
                <c:pt idx="1">
                  <c:v>7.7410999999999994</c:v>
                </c:pt>
                <c:pt idx="2">
                  <c:v>6.5625999999999998</c:v>
                </c:pt>
                <c:pt idx="3">
                  <c:v>5.9440999999999988</c:v>
                </c:pt>
                <c:pt idx="4">
                  <c:v>5.8855999999999993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43872"/>
        <c:axId val="158970240"/>
      </c:scatterChart>
      <c:valAx>
        <c:axId val="15894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970240"/>
        <c:crosses val="autoZero"/>
        <c:crossBetween val="midCat"/>
      </c:valAx>
      <c:valAx>
        <c:axId val="15897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43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'868v2'!$AV$219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242438757655293"/>
                  <c:y val="-0.31633374775521483"/>
                </c:manualLayout>
              </c:layout>
              <c:numFmt formatCode="General" sourceLinked="0"/>
            </c:trendlineLbl>
          </c:trendline>
          <c:xVal>
            <c:numRef>
              <c:f>'868v2'!$AU$234:$AU$238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'868v2'!$AV$234:$AV$238</c:f>
              <c:numCache>
                <c:formatCode>General</c:formatCode>
                <c:ptCount val="5"/>
                <c:pt idx="0">
                  <c:v>9.1195000000000004</c:v>
                </c:pt>
                <c:pt idx="1">
                  <c:v>7.4500000000000011</c:v>
                </c:pt>
                <c:pt idx="2">
                  <c:v>6.3155000000000001</c:v>
                </c:pt>
                <c:pt idx="3">
                  <c:v>5.7160000000000002</c:v>
                </c:pt>
                <c:pt idx="4">
                  <c:v>5.6515000000000004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92896"/>
        <c:axId val="159394432"/>
      </c:scatterChart>
      <c:valAx>
        <c:axId val="15939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394432"/>
        <c:crosses val="autoZero"/>
        <c:crossBetween val="midCat"/>
      </c:valAx>
      <c:valAx>
        <c:axId val="15939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92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'868v2'!$AV$243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242438757655293"/>
                  <c:y val="-0.31832510573484013"/>
                </c:manualLayout>
              </c:layout>
              <c:numFmt formatCode="General" sourceLinked="0"/>
            </c:trendlineLbl>
          </c:trendline>
          <c:xVal>
            <c:numRef>
              <c:f>'868v2'!$AU$258:$AU$262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'868v2'!$AV$258:$AV$262</c:f>
              <c:numCache>
                <c:formatCode>General</c:formatCode>
                <c:ptCount val="5"/>
                <c:pt idx="0">
                  <c:v>9.0230999999999995</c:v>
                </c:pt>
                <c:pt idx="1">
                  <c:v>7.4330999999999996</c:v>
                </c:pt>
                <c:pt idx="2">
                  <c:v>6.3180999999999994</c:v>
                </c:pt>
                <c:pt idx="3">
                  <c:v>5.6780999999999988</c:v>
                </c:pt>
                <c:pt idx="4">
                  <c:v>5.5130999999999997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3872"/>
        <c:axId val="159425664"/>
      </c:scatterChart>
      <c:valAx>
        <c:axId val="15942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425664"/>
        <c:crosses val="autoZero"/>
        <c:crossBetween val="midCat"/>
      </c:valAx>
      <c:valAx>
        <c:axId val="15942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23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'868v2'!$AV$267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68832020997376"/>
                  <c:y val="-0.29914971566054244"/>
                </c:manualLayout>
              </c:layout>
              <c:numFmt formatCode="General" sourceLinked="0"/>
            </c:trendlineLbl>
          </c:trendline>
          <c:xVal>
            <c:numRef>
              <c:f>'868v2'!$AU$282:$AU$286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'868v2'!$AV$282:$AV$286</c:f>
              <c:numCache>
                <c:formatCode>General</c:formatCode>
                <c:ptCount val="5"/>
                <c:pt idx="0">
                  <c:v>8.7987000000000002</c:v>
                </c:pt>
                <c:pt idx="1">
                  <c:v>7.2487000000000004</c:v>
                </c:pt>
                <c:pt idx="2">
                  <c:v>6.1637000000000004</c:v>
                </c:pt>
                <c:pt idx="3">
                  <c:v>5.5436999999999994</c:v>
                </c:pt>
                <c:pt idx="4">
                  <c:v>5.3887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7056"/>
        <c:axId val="159198592"/>
      </c:scatterChart>
      <c:valAx>
        <c:axId val="15919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198592"/>
        <c:crosses val="autoZero"/>
        <c:crossBetween val="midCat"/>
      </c:valAx>
      <c:valAx>
        <c:axId val="15919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97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'868v2'!$AV$291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2088276465441821"/>
                  <c:y val="-0.29373514174602522"/>
                </c:manualLayout>
              </c:layout>
              <c:numFmt formatCode="General" sourceLinked="0"/>
            </c:trendlineLbl>
          </c:trendline>
          <c:xVal>
            <c:numRef>
              <c:f>'868v2'!$AU$306:$AU$310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'868v2'!$AV$306:$AV$310</c:f>
              <c:numCache>
                <c:formatCode>General</c:formatCode>
                <c:ptCount val="5"/>
                <c:pt idx="0">
                  <c:v>8.4969999999999999</c:v>
                </c:pt>
                <c:pt idx="1">
                  <c:v>7.0020000000000007</c:v>
                </c:pt>
                <c:pt idx="2">
                  <c:v>5.9570000000000007</c:v>
                </c:pt>
                <c:pt idx="3">
                  <c:v>5.3620000000000001</c:v>
                </c:pt>
                <c:pt idx="4">
                  <c:v>5.2170000000000005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28288"/>
        <c:axId val="159229824"/>
      </c:scatterChart>
      <c:valAx>
        <c:axId val="15922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229824"/>
        <c:crosses val="autoZero"/>
        <c:crossBetween val="midCat"/>
      </c:valAx>
      <c:valAx>
        <c:axId val="15922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28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'868'!$C$401</c:f>
              <c:strCache>
                <c:ptCount val="1"/>
                <c:pt idx="0">
                  <c:v>avg 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30078387498859938"/>
                  <c:y val="3.986351502910241E-2"/>
                </c:manualLayout>
              </c:layout>
              <c:numFmt formatCode="General" sourceLinked="0"/>
            </c:trendlineLbl>
          </c:trendline>
          <c:xVal>
            <c:numRef>
              <c:f>'868'!$D$397:$AR$397</c:f>
              <c:numCache>
                <c:formatCode>General</c:formatCode>
                <c:ptCount val="41"/>
                <c:pt idx="0">
                  <c:v>1.8</c:v>
                </c:pt>
                <c:pt idx="1">
                  <c:v>1.85</c:v>
                </c:pt>
                <c:pt idx="2">
                  <c:v>1.9</c:v>
                </c:pt>
                <c:pt idx="3">
                  <c:v>1.95</c:v>
                </c:pt>
                <c:pt idx="4">
                  <c:v>2</c:v>
                </c:pt>
                <c:pt idx="5">
                  <c:v>2.0499999999999998</c:v>
                </c:pt>
                <c:pt idx="6">
                  <c:v>2.1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2.25</c:v>
                </c:pt>
                <c:pt idx="10">
                  <c:v>2.2999999999999998</c:v>
                </c:pt>
                <c:pt idx="11">
                  <c:v>2.35</c:v>
                </c:pt>
                <c:pt idx="12">
                  <c:v>2.4</c:v>
                </c:pt>
                <c:pt idx="13">
                  <c:v>2.4500000000000002</c:v>
                </c:pt>
                <c:pt idx="14">
                  <c:v>2.5</c:v>
                </c:pt>
                <c:pt idx="15">
                  <c:v>2.5499999999999998</c:v>
                </c:pt>
                <c:pt idx="16">
                  <c:v>2.6</c:v>
                </c:pt>
                <c:pt idx="17">
                  <c:v>2.65</c:v>
                </c:pt>
                <c:pt idx="18">
                  <c:v>2.7</c:v>
                </c:pt>
                <c:pt idx="19">
                  <c:v>2.75</c:v>
                </c:pt>
                <c:pt idx="20">
                  <c:v>2.8</c:v>
                </c:pt>
                <c:pt idx="21">
                  <c:v>2.85</c:v>
                </c:pt>
                <c:pt idx="22">
                  <c:v>2.9</c:v>
                </c:pt>
                <c:pt idx="23">
                  <c:v>2.95</c:v>
                </c:pt>
                <c:pt idx="24">
                  <c:v>3</c:v>
                </c:pt>
                <c:pt idx="25">
                  <c:v>3.05</c:v>
                </c:pt>
                <c:pt idx="26">
                  <c:v>3.1</c:v>
                </c:pt>
                <c:pt idx="27">
                  <c:v>3.15</c:v>
                </c:pt>
                <c:pt idx="28">
                  <c:v>3.2</c:v>
                </c:pt>
                <c:pt idx="29">
                  <c:v>3.25</c:v>
                </c:pt>
                <c:pt idx="30">
                  <c:v>3.3</c:v>
                </c:pt>
                <c:pt idx="31">
                  <c:v>3.35</c:v>
                </c:pt>
                <c:pt idx="32">
                  <c:v>3.4</c:v>
                </c:pt>
                <c:pt idx="33">
                  <c:v>3.45</c:v>
                </c:pt>
                <c:pt idx="34">
                  <c:v>3.5</c:v>
                </c:pt>
                <c:pt idx="35">
                  <c:v>3.55</c:v>
                </c:pt>
                <c:pt idx="36">
                  <c:v>3.6</c:v>
                </c:pt>
                <c:pt idx="37">
                  <c:v>3.65</c:v>
                </c:pt>
                <c:pt idx="38">
                  <c:v>3.7</c:v>
                </c:pt>
                <c:pt idx="39">
                  <c:v>3.75</c:v>
                </c:pt>
                <c:pt idx="40">
                  <c:v>3.8</c:v>
                </c:pt>
              </c:numCache>
            </c:numRef>
          </c:xVal>
          <c:yVal>
            <c:numRef>
              <c:f>'868'!$D$401:$AR$401</c:f>
              <c:numCache>
                <c:formatCode>General</c:formatCode>
                <c:ptCount val="41"/>
                <c:pt idx="0">
                  <c:v>14.680576333333335</c:v>
                </c:pt>
                <c:pt idx="1">
                  <c:v>14.675691333333333</c:v>
                </c:pt>
                <c:pt idx="2">
                  <c:v>14.683388000000001</c:v>
                </c:pt>
                <c:pt idx="3">
                  <c:v>14.669026333333333</c:v>
                </c:pt>
                <c:pt idx="4">
                  <c:v>13.717991333333332</c:v>
                </c:pt>
                <c:pt idx="5">
                  <c:v>13.067568666666666</c:v>
                </c:pt>
                <c:pt idx="6">
                  <c:v>12.719717666666668</c:v>
                </c:pt>
                <c:pt idx="7">
                  <c:v>12.546168666666667</c:v>
                </c:pt>
                <c:pt idx="8">
                  <c:v>12.196350666666666</c:v>
                </c:pt>
                <c:pt idx="9">
                  <c:v>12.018424000000001</c:v>
                </c:pt>
                <c:pt idx="10">
                  <c:v>11.732926333333333</c:v>
                </c:pt>
                <c:pt idx="11">
                  <c:v>11.487782000000001</c:v>
                </c:pt>
                <c:pt idx="12">
                  <c:v>11.504480333333333</c:v>
                </c:pt>
                <c:pt idx="13">
                  <c:v>11.044740666666668</c:v>
                </c:pt>
                <c:pt idx="14">
                  <c:v>11.017094999999999</c:v>
                </c:pt>
                <c:pt idx="15">
                  <c:v>10.851922333333334</c:v>
                </c:pt>
                <c:pt idx="16">
                  <c:v>10.697878333333334</c:v>
                </c:pt>
                <c:pt idx="17">
                  <c:v>10.398432333333334</c:v>
                </c:pt>
                <c:pt idx="18">
                  <c:v>10.236683666666666</c:v>
                </c:pt>
                <c:pt idx="19">
                  <c:v>10.088491000000001</c:v>
                </c:pt>
                <c:pt idx="20">
                  <c:v>9.9538626666666659</c:v>
                </c:pt>
                <c:pt idx="21">
                  <c:v>9.8157043333333345</c:v>
                </c:pt>
                <c:pt idx="22">
                  <c:v>9.5610400000000002</c:v>
                </c:pt>
                <c:pt idx="23">
                  <c:v>9.5656533333333318</c:v>
                </c:pt>
                <c:pt idx="24">
                  <c:v>9.4383896666666676</c:v>
                </c:pt>
                <c:pt idx="25">
                  <c:v>9.3057896666666675</c:v>
                </c:pt>
                <c:pt idx="26">
                  <c:v>9.1922456666666665</c:v>
                </c:pt>
                <c:pt idx="27">
                  <c:v>9.0407363333333333</c:v>
                </c:pt>
                <c:pt idx="28">
                  <c:v>8.8471680000000017</c:v>
                </c:pt>
                <c:pt idx="29">
                  <c:v>8.7436140000000009</c:v>
                </c:pt>
                <c:pt idx="30">
                  <c:v>8.6300973333333335</c:v>
                </c:pt>
                <c:pt idx="31">
                  <c:v>8.5382296666666662</c:v>
                </c:pt>
                <c:pt idx="32">
                  <c:v>8.4378443333333326</c:v>
                </c:pt>
                <c:pt idx="33">
                  <c:v>8.3389669999999985</c:v>
                </c:pt>
                <c:pt idx="34">
                  <c:v>8.2324616666666675</c:v>
                </c:pt>
                <c:pt idx="35">
                  <c:v>8.1497013333333328</c:v>
                </c:pt>
                <c:pt idx="36">
                  <c:v>8.0565073333333341</c:v>
                </c:pt>
                <c:pt idx="37">
                  <c:v>7.9710019999999995</c:v>
                </c:pt>
                <c:pt idx="38">
                  <c:v>7.8812483333333327</c:v>
                </c:pt>
                <c:pt idx="39">
                  <c:v>7.8002383333333327</c:v>
                </c:pt>
                <c:pt idx="40">
                  <c:v>7.7255250000000002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55840"/>
        <c:axId val="149157376"/>
      </c:scatterChart>
      <c:valAx>
        <c:axId val="1491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157376"/>
        <c:crosses val="autoZero"/>
        <c:crossBetween val="midCat"/>
      </c:valAx>
      <c:valAx>
        <c:axId val="14915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55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'868v2'!$AV$315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5910542432196"/>
                  <c:y val="-0.29528111617626746"/>
                </c:manualLayout>
              </c:layout>
              <c:numFmt formatCode="General" sourceLinked="0"/>
            </c:trendlineLbl>
          </c:trendline>
          <c:xVal>
            <c:numRef>
              <c:f>'868v2'!$AU$330:$AU$334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'868v2'!$AV$330:$AV$334</c:f>
              <c:numCache>
                <c:formatCode>General</c:formatCode>
                <c:ptCount val="5"/>
                <c:pt idx="0">
                  <c:v>8.2979000000000003</c:v>
                </c:pt>
                <c:pt idx="1">
                  <c:v>6.8384</c:v>
                </c:pt>
                <c:pt idx="2">
                  <c:v>5.8189000000000002</c:v>
                </c:pt>
                <c:pt idx="3">
                  <c:v>5.2394000000000007</c:v>
                </c:pt>
                <c:pt idx="4">
                  <c:v>5.0998999999999999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71552"/>
        <c:axId val="159285632"/>
      </c:scatterChart>
      <c:valAx>
        <c:axId val="15927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285632"/>
        <c:crosses val="autoZero"/>
        <c:crossBetween val="midCat"/>
      </c:valAx>
      <c:valAx>
        <c:axId val="1592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71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'868v2'!$AV$339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9924387576552933"/>
                  <c:y val="-0.29528111617626746"/>
                </c:manualLayout>
              </c:layout>
              <c:numFmt formatCode="General" sourceLinked="0"/>
            </c:trendlineLbl>
          </c:trendline>
          <c:xVal>
            <c:numRef>
              <c:f>'868v2'!$AU$354:$AU$358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'868v2'!$AV$354:$AV$358</c:f>
              <c:numCache>
                <c:formatCode>General</c:formatCode>
                <c:ptCount val="5"/>
                <c:pt idx="0">
                  <c:v>8.1154000000000011</c:v>
                </c:pt>
                <c:pt idx="1">
                  <c:v>6.6874000000000011</c:v>
                </c:pt>
                <c:pt idx="2">
                  <c:v>5.6894000000000009</c:v>
                </c:pt>
                <c:pt idx="3">
                  <c:v>5.1214000000000013</c:v>
                </c:pt>
                <c:pt idx="4">
                  <c:v>4.9834000000000014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06880"/>
        <c:axId val="159308416"/>
      </c:scatterChart>
      <c:valAx>
        <c:axId val="15930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308416"/>
        <c:crosses val="autoZero"/>
        <c:crossBetween val="midCat"/>
      </c:valAx>
      <c:valAx>
        <c:axId val="15930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06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'868v2'!$AV$363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0757720909886264"/>
                  <c:y val="-0.27943917724570144"/>
                </c:manualLayout>
              </c:layout>
              <c:numFmt formatCode="General" sourceLinked="0"/>
            </c:trendlineLbl>
          </c:trendline>
          <c:xVal>
            <c:numRef>
              <c:f>'868v2'!$AU$378:$AU$382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'868v2'!$AV$378:$AV$382</c:f>
              <c:numCache>
                <c:formatCode>General</c:formatCode>
                <c:ptCount val="5"/>
                <c:pt idx="0">
                  <c:v>7.9412000000000003</c:v>
                </c:pt>
                <c:pt idx="1">
                  <c:v>6.5437000000000003</c:v>
                </c:pt>
                <c:pt idx="2">
                  <c:v>5.5662000000000003</c:v>
                </c:pt>
                <c:pt idx="3">
                  <c:v>5.008700000000001</c:v>
                </c:pt>
                <c:pt idx="4">
                  <c:v>4.8712000000000018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41248"/>
        <c:axId val="159143040"/>
      </c:scatterChart>
      <c:valAx>
        <c:axId val="15914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143040"/>
        <c:crosses val="autoZero"/>
        <c:crossBetween val="midCat"/>
      </c:valAx>
      <c:valAx>
        <c:axId val="1591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41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'868v2'!$BC$387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2127165354330709"/>
                  <c:y val="-0.30001824638230384"/>
                </c:manualLayout>
              </c:layout>
              <c:numFmt formatCode="General" sourceLinked="0"/>
            </c:trendlineLbl>
          </c:trendline>
          <c:xVal>
            <c:numRef>
              <c:f>'868v2'!$BB$402:$BB$406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'868v2'!$BC$402:$BC$406</c:f>
              <c:numCache>
                <c:formatCode>General</c:formatCode>
                <c:ptCount val="5"/>
                <c:pt idx="0">
                  <c:v>7.7727000000000004</c:v>
                </c:pt>
                <c:pt idx="1">
                  <c:v>6.4052000000000007</c:v>
                </c:pt>
                <c:pt idx="2">
                  <c:v>5.4427000000000003</c:v>
                </c:pt>
                <c:pt idx="3">
                  <c:v>4.8852000000000002</c:v>
                </c:pt>
                <c:pt idx="4">
                  <c:v>4.7326999999999995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4768"/>
        <c:axId val="159186304"/>
      </c:scatterChart>
      <c:valAx>
        <c:axId val="1591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186304"/>
        <c:crosses val="autoZero"/>
        <c:crossBetween val="midCat"/>
      </c:valAx>
      <c:valAx>
        <c:axId val="15918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84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'868v2'!$BC$411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5910542432196"/>
                  <c:y val="-0.29069125426679177"/>
                </c:manualLayout>
              </c:layout>
              <c:numFmt formatCode="General" sourceLinked="0"/>
            </c:trendlineLbl>
          </c:trendline>
          <c:xVal>
            <c:numRef>
              <c:f>'868v2'!$BB$426:$BB$430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'868v2'!$BC$426:$BC$430</c:f>
              <c:numCache>
                <c:formatCode>General</c:formatCode>
                <c:ptCount val="5"/>
                <c:pt idx="0">
                  <c:v>7.5998000000000001</c:v>
                </c:pt>
                <c:pt idx="1">
                  <c:v>6.2637999999999998</c:v>
                </c:pt>
                <c:pt idx="2">
                  <c:v>5.3228000000000009</c:v>
                </c:pt>
                <c:pt idx="3">
                  <c:v>4.7768000000000006</c:v>
                </c:pt>
                <c:pt idx="4">
                  <c:v>4.6258000000000008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38880"/>
        <c:axId val="159340416"/>
      </c:scatterChart>
      <c:valAx>
        <c:axId val="15933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340416"/>
        <c:crosses val="autoZero"/>
        <c:crossBetween val="midCat"/>
      </c:valAx>
      <c:valAx>
        <c:axId val="15934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38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'868v2'!$BC$435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03549868766404"/>
                  <c:y val="-0.29155708328337132"/>
                </c:manualLayout>
              </c:layout>
              <c:numFmt formatCode="General" sourceLinked="0"/>
            </c:trendlineLbl>
          </c:trendline>
          <c:xVal>
            <c:numRef>
              <c:f>'868v2'!$BB$450:$BB$454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'868v2'!$BC$450:$BC$454</c:f>
              <c:numCache>
                <c:formatCode>General</c:formatCode>
                <c:ptCount val="5"/>
                <c:pt idx="0">
                  <c:v>7.4787999999999997</c:v>
                </c:pt>
                <c:pt idx="1">
                  <c:v>6.1667999999999994</c:v>
                </c:pt>
                <c:pt idx="2">
                  <c:v>5.2447999999999997</c:v>
                </c:pt>
                <c:pt idx="3">
                  <c:v>4.7127999999999997</c:v>
                </c:pt>
                <c:pt idx="4">
                  <c:v>4.5707999999999984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3952"/>
        <c:axId val="159519104"/>
      </c:scatterChart>
      <c:valAx>
        <c:axId val="15937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519104"/>
        <c:crosses val="autoZero"/>
        <c:crossBetween val="midCat"/>
      </c:valAx>
      <c:valAx>
        <c:axId val="15951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73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049332895888014"/>
                  <c:y val="-4.7010425780110818E-2"/>
                </c:manualLayout>
              </c:layout>
              <c:numFmt formatCode="General" sourceLinked="0"/>
            </c:trendlineLbl>
          </c:trendline>
          <c:xVal>
            <c:numRef>
              <c:f>'p915'!$B$3:$B$17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'p915'!$M$3:$M$17</c:f>
              <c:numCache>
                <c:formatCode>General</c:formatCode>
                <c:ptCount val="15"/>
                <c:pt idx="0">
                  <c:v>25.459199999999996</c:v>
                </c:pt>
                <c:pt idx="1">
                  <c:v>23.021699999999996</c:v>
                </c:pt>
                <c:pt idx="2">
                  <c:v>20.780999999999999</c:v>
                </c:pt>
                <c:pt idx="3">
                  <c:v>18.737099999999998</c:v>
                </c:pt>
                <c:pt idx="4">
                  <c:v>16.889999999999997</c:v>
                </c:pt>
                <c:pt idx="5">
                  <c:v>15.239699999999997</c:v>
                </c:pt>
                <c:pt idx="6">
                  <c:v>13.786199999999997</c:v>
                </c:pt>
                <c:pt idx="7">
                  <c:v>12.529499999999999</c:v>
                </c:pt>
                <c:pt idx="8">
                  <c:v>11.4696</c:v>
                </c:pt>
                <c:pt idx="9">
                  <c:v>10.606499999999999</c:v>
                </c:pt>
                <c:pt idx="10">
                  <c:v>9.940199999999999</c:v>
                </c:pt>
                <c:pt idx="11">
                  <c:v>9.470699999999999</c:v>
                </c:pt>
                <c:pt idx="12">
                  <c:v>9.1979999999999986</c:v>
                </c:pt>
                <c:pt idx="13">
                  <c:v>9.1220999999999979</c:v>
                </c:pt>
                <c:pt idx="14">
                  <c:v>8.4647000000000006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16288"/>
        <c:axId val="149922176"/>
      </c:scatterChart>
      <c:valAx>
        <c:axId val="1499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922176"/>
        <c:crosses val="autoZero"/>
        <c:crossBetween val="midCat"/>
      </c:valAx>
      <c:valAx>
        <c:axId val="14992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916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1071106736657918"/>
                  <c:y val="-9.733887430737824E-3"/>
                </c:manualLayout>
              </c:layout>
              <c:numFmt formatCode="General" sourceLinked="0"/>
            </c:trendlineLbl>
          </c:trendline>
          <c:xVal>
            <c:numRef>
              <c:f>'p868'!$B$3:$B$17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'p868'!$M$3:$M$17</c:f>
              <c:numCache>
                <c:formatCode>General</c:formatCode>
                <c:ptCount val="15"/>
                <c:pt idx="0">
                  <c:v>22.7819</c:v>
                </c:pt>
                <c:pt idx="1">
                  <c:v>21.043600000000001</c:v>
                </c:pt>
                <c:pt idx="2">
                  <c:v>19.418500000000002</c:v>
                </c:pt>
                <c:pt idx="3">
                  <c:v>17.906600000000001</c:v>
                </c:pt>
                <c:pt idx="4">
                  <c:v>16.507899999999999</c:v>
                </c:pt>
                <c:pt idx="5">
                  <c:v>15.2224</c:v>
                </c:pt>
                <c:pt idx="6">
                  <c:v>14.0501</c:v>
                </c:pt>
                <c:pt idx="7">
                  <c:v>12.991</c:v>
                </c:pt>
                <c:pt idx="8">
                  <c:v>12.0451</c:v>
                </c:pt>
                <c:pt idx="9">
                  <c:v>11.212400000000001</c:v>
                </c:pt>
                <c:pt idx="10">
                  <c:v>10.492900000000001</c:v>
                </c:pt>
                <c:pt idx="11">
                  <c:v>9.8865999999999996</c:v>
                </c:pt>
                <c:pt idx="12">
                  <c:v>9.3934999999999995</c:v>
                </c:pt>
                <c:pt idx="13">
                  <c:v>9.0136000000000003</c:v>
                </c:pt>
                <c:pt idx="14">
                  <c:v>8.5225000000000009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54624"/>
        <c:axId val="149756160"/>
      </c:scatterChart>
      <c:valAx>
        <c:axId val="14975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756160"/>
        <c:crosses val="autoZero"/>
        <c:crossBetween val="midCat"/>
      </c:valAx>
      <c:valAx>
        <c:axId val="1497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54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'p868'!$B$3:$B$17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'p868'!$M$3:$M$17</c:f>
              <c:numCache>
                <c:formatCode>General</c:formatCode>
                <c:ptCount val="15"/>
                <c:pt idx="0">
                  <c:v>22.7819</c:v>
                </c:pt>
                <c:pt idx="1">
                  <c:v>21.043600000000001</c:v>
                </c:pt>
                <c:pt idx="2">
                  <c:v>19.418500000000002</c:v>
                </c:pt>
                <c:pt idx="3">
                  <c:v>17.906600000000001</c:v>
                </c:pt>
                <c:pt idx="4">
                  <c:v>16.507899999999999</c:v>
                </c:pt>
                <c:pt idx="5">
                  <c:v>15.2224</c:v>
                </c:pt>
                <c:pt idx="6">
                  <c:v>14.0501</c:v>
                </c:pt>
                <c:pt idx="7">
                  <c:v>12.991</c:v>
                </c:pt>
                <c:pt idx="8">
                  <c:v>12.0451</c:v>
                </c:pt>
                <c:pt idx="9">
                  <c:v>11.212400000000001</c:v>
                </c:pt>
                <c:pt idx="10">
                  <c:v>10.492900000000001</c:v>
                </c:pt>
                <c:pt idx="11">
                  <c:v>9.8865999999999996</c:v>
                </c:pt>
                <c:pt idx="12">
                  <c:v>9.3934999999999995</c:v>
                </c:pt>
                <c:pt idx="13">
                  <c:v>9.0136000000000003</c:v>
                </c:pt>
                <c:pt idx="14">
                  <c:v>8.5225000000000009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152"/>
        <c:axId val="149963136"/>
      </c:scatterChart>
      <c:valAx>
        <c:axId val="14995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963136"/>
        <c:crosses val="autoZero"/>
        <c:crossBetween val="midCat"/>
      </c:valAx>
      <c:valAx>
        <c:axId val="14996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953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'433'!$B$4</c:f>
              <c:strCache>
                <c:ptCount val="1"/>
                <c:pt idx="0">
                  <c:v>avg 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21564715280155197"/>
                  <c:y val="-0.44746527894234123"/>
                </c:manualLayout>
              </c:layout>
              <c:numFmt formatCode="General" sourceLinked="0"/>
            </c:trendlineLbl>
          </c:trendline>
          <c:xVal>
            <c:numRef>
              <c:f>'433'!$C$3:$AQ$3</c:f>
              <c:numCache>
                <c:formatCode>General</c:formatCode>
                <c:ptCount val="41"/>
                <c:pt idx="0">
                  <c:v>1.8</c:v>
                </c:pt>
                <c:pt idx="1">
                  <c:v>1.85</c:v>
                </c:pt>
                <c:pt idx="2">
                  <c:v>1.9</c:v>
                </c:pt>
                <c:pt idx="3">
                  <c:v>1.95</c:v>
                </c:pt>
                <c:pt idx="4">
                  <c:v>2</c:v>
                </c:pt>
                <c:pt idx="5">
                  <c:v>2.0499999999999998</c:v>
                </c:pt>
                <c:pt idx="6">
                  <c:v>2.1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2.25</c:v>
                </c:pt>
                <c:pt idx="10">
                  <c:v>2.2999999999999998</c:v>
                </c:pt>
                <c:pt idx="11">
                  <c:v>2.35</c:v>
                </c:pt>
                <c:pt idx="12">
                  <c:v>2.4</c:v>
                </c:pt>
                <c:pt idx="13">
                  <c:v>2.4500000000000002</c:v>
                </c:pt>
                <c:pt idx="14">
                  <c:v>2.5</c:v>
                </c:pt>
                <c:pt idx="15">
                  <c:v>2.5499999999999998</c:v>
                </c:pt>
                <c:pt idx="16">
                  <c:v>2.6</c:v>
                </c:pt>
                <c:pt idx="17">
                  <c:v>2.65</c:v>
                </c:pt>
                <c:pt idx="18">
                  <c:v>2.7</c:v>
                </c:pt>
                <c:pt idx="19">
                  <c:v>2.75</c:v>
                </c:pt>
                <c:pt idx="20">
                  <c:v>2.8</c:v>
                </c:pt>
                <c:pt idx="21">
                  <c:v>2.85</c:v>
                </c:pt>
                <c:pt idx="22">
                  <c:v>2.9</c:v>
                </c:pt>
                <c:pt idx="23">
                  <c:v>2.95</c:v>
                </c:pt>
                <c:pt idx="24">
                  <c:v>3</c:v>
                </c:pt>
                <c:pt idx="25">
                  <c:v>3.05</c:v>
                </c:pt>
                <c:pt idx="26">
                  <c:v>3.1</c:v>
                </c:pt>
                <c:pt idx="27">
                  <c:v>3.15</c:v>
                </c:pt>
                <c:pt idx="28">
                  <c:v>3.2</c:v>
                </c:pt>
                <c:pt idx="29">
                  <c:v>3.25</c:v>
                </c:pt>
                <c:pt idx="30">
                  <c:v>3.3</c:v>
                </c:pt>
                <c:pt idx="31">
                  <c:v>3.35</c:v>
                </c:pt>
                <c:pt idx="32">
                  <c:v>3.4</c:v>
                </c:pt>
                <c:pt idx="33">
                  <c:v>3.45</c:v>
                </c:pt>
                <c:pt idx="34">
                  <c:v>3.5</c:v>
                </c:pt>
                <c:pt idx="35">
                  <c:v>3.55</c:v>
                </c:pt>
                <c:pt idx="36">
                  <c:v>3.6</c:v>
                </c:pt>
                <c:pt idx="37">
                  <c:v>3.65</c:v>
                </c:pt>
                <c:pt idx="38">
                  <c:v>3.7</c:v>
                </c:pt>
                <c:pt idx="39">
                  <c:v>3.75</c:v>
                </c:pt>
                <c:pt idx="40">
                  <c:v>3.8</c:v>
                </c:pt>
              </c:numCache>
            </c:numRef>
          </c:xVal>
          <c:yVal>
            <c:numRef>
              <c:f>'433'!$C$4:$AQ$4</c:f>
              <c:numCache>
                <c:formatCode>General</c:formatCode>
                <c:ptCount val="41"/>
                <c:pt idx="0">
                  <c:v>39.933336833333335</c:v>
                </c:pt>
                <c:pt idx="1">
                  <c:v>40.159803666666669</c:v>
                </c:pt>
                <c:pt idx="2">
                  <c:v>40.200031000000003</c:v>
                </c:pt>
                <c:pt idx="3">
                  <c:v>40.199514000000001</c:v>
                </c:pt>
                <c:pt idx="4">
                  <c:v>40.199381666666667</c:v>
                </c:pt>
                <c:pt idx="5">
                  <c:v>36.27006433333333</c:v>
                </c:pt>
                <c:pt idx="6">
                  <c:v>35.565241</c:v>
                </c:pt>
                <c:pt idx="7">
                  <c:v>34.596246333333333</c:v>
                </c:pt>
                <c:pt idx="8">
                  <c:v>33.989891</c:v>
                </c:pt>
                <c:pt idx="9">
                  <c:v>33.113228999999997</c:v>
                </c:pt>
                <c:pt idx="10">
                  <c:v>32.609350666666664</c:v>
                </c:pt>
                <c:pt idx="11">
                  <c:v>31.758270666666665</c:v>
                </c:pt>
                <c:pt idx="12">
                  <c:v>31.166990999999999</c:v>
                </c:pt>
                <c:pt idx="13">
                  <c:v>30.710056333333331</c:v>
                </c:pt>
                <c:pt idx="14">
                  <c:v>29.917204333333331</c:v>
                </c:pt>
                <c:pt idx="15">
                  <c:v>29.385845333333332</c:v>
                </c:pt>
                <c:pt idx="16">
                  <c:v>28.953380999999997</c:v>
                </c:pt>
                <c:pt idx="17">
                  <c:v>28.517098000000001</c:v>
                </c:pt>
                <c:pt idx="18">
                  <c:v>27.833135666666664</c:v>
                </c:pt>
                <c:pt idx="19">
                  <c:v>27.317251666666664</c:v>
                </c:pt>
                <c:pt idx="20">
                  <c:v>26.913668999999999</c:v>
                </c:pt>
                <c:pt idx="21">
                  <c:v>26.558643666666665</c:v>
                </c:pt>
                <c:pt idx="22">
                  <c:v>26.154535666666664</c:v>
                </c:pt>
                <c:pt idx="23">
                  <c:v>25.486909999999998</c:v>
                </c:pt>
                <c:pt idx="24">
                  <c:v>25.144005666666668</c:v>
                </c:pt>
                <c:pt idx="25">
                  <c:v>24.801598333333335</c:v>
                </c:pt>
                <c:pt idx="26">
                  <c:v>24.481303999999998</c:v>
                </c:pt>
                <c:pt idx="27">
                  <c:v>24.18581</c:v>
                </c:pt>
                <c:pt idx="28">
                  <c:v>23.765971666666662</c:v>
                </c:pt>
                <c:pt idx="29">
                  <c:v>23.254836333333333</c:v>
                </c:pt>
                <c:pt idx="30">
                  <c:v>22.95466133333333</c:v>
                </c:pt>
                <c:pt idx="31">
                  <c:v>22.693635333333333</c:v>
                </c:pt>
                <c:pt idx="32">
                  <c:v>22.410430666666667</c:v>
                </c:pt>
                <c:pt idx="33">
                  <c:v>22.145228000000003</c:v>
                </c:pt>
                <c:pt idx="34">
                  <c:v>21.891043999999997</c:v>
                </c:pt>
                <c:pt idx="35">
                  <c:v>21.641452333333334</c:v>
                </c:pt>
                <c:pt idx="36">
                  <c:v>21.418863666666667</c:v>
                </c:pt>
                <c:pt idx="37">
                  <c:v>21.181807666666668</c:v>
                </c:pt>
                <c:pt idx="38">
                  <c:v>20.976918000000001</c:v>
                </c:pt>
                <c:pt idx="39">
                  <c:v>20.757112333333335</c:v>
                </c:pt>
                <c:pt idx="40">
                  <c:v>20.551758333333332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13920"/>
        <c:axId val="159715712"/>
      </c:scatterChart>
      <c:valAx>
        <c:axId val="15971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715712"/>
        <c:crosses val="autoZero"/>
        <c:crossBetween val="midCat"/>
      </c:valAx>
      <c:valAx>
        <c:axId val="15971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13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'868'!$C$433</c:f>
              <c:strCache>
                <c:ptCount val="1"/>
                <c:pt idx="0">
                  <c:v>avg 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30281417110931658"/>
                  <c:y val="1.4102586288024915E-2"/>
                </c:manualLayout>
              </c:layout>
              <c:numFmt formatCode="General" sourceLinked="0"/>
            </c:trendlineLbl>
          </c:trendline>
          <c:xVal>
            <c:numRef>
              <c:f>'868'!$D$429:$AR$429</c:f>
              <c:numCache>
                <c:formatCode>General</c:formatCode>
                <c:ptCount val="41"/>
                <c:pt idx="0">
                  <c:v>1.8</c:v>
                </c:pt>
                <c:pt idx="1">
                  <c:v>1.85</c:v>
                </c:pt>
                <c:pt idx="2">
                  <c:v>1.9</c:v>
                </c:pt>
                <c:pt idx="3">
                  <c:v>1.95</c:v>
                </c:pt>
                <c:pt idx="4">
                  <c:v>2</c:v>
                </c:pt>
                <c:pt idx="5">
                  <c:v>2.0499999999999998</c:v>
                </c:pt>
                <c:pt idx="6">
                  <c:v>2.1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2.25</c:v>
                </c:pt>
                <c:pt idx="10">
                  <c:v>2.2999999999999998</c:v>
                </c:pt>
                <c:pt idx="11">
                  <c:v>2.35</c:v>
                </c:pt>
                <c:pt idx="12">
                  <c:v>2.4</c:v>
                </c:pt>
                <c:pt idx="13">
                  <c:v>2.4500000000000002</c:v>
                </c:pt>
                <c:pt idx="14">
                  <c:v>2.5</c:v>
                </c:pt>
                <c:pt idx="15">
                  <c:v>2.5499999999999998</c:v>
                </c:pt>
                <c:pt idx="16">
                  <c:v>2.6</c:v>
                </c:pt>
                <c:pt idx="17">
                  <c:v>2.65</c:v>
                </c:pt>
                <c:pt idx="18">
                  <c:v>2.7</c:v>
                </c:pt>
                <c:pt idx="19">
                  <c:v>2.75</c:v>
                </c:pt>
                <c:pt idx="20">
                  <c:v>2.8</c:v>
                </c:pt>
                <c:pt idx="21">
                  <c:v>2.85</c:v>
                </c:pt>
                <c:pt idx="22">
                  <c:v>2.9</c:v>
                </c:pt>
                <c:pt idx="23">
                  <c:v>2.95</c:v>
                </c:pt>
                <c:pt idx="24">
                  <c:v>3</c:v>
                </c:pt>
                <c:pt idx="25">
                  <c:v>3.05</c:v>
                </c:pt>
                <c:pt idx="26">
                  <c:v>3.1</c:v>
                </c:pt>
                <c:pt idx="27">
                  <c:v>3.15</c:v>
                </c:pt>
                <c:pt idx="28">
                  <c:v>3.2</c:v>
                </c:pt>
                <c:pt idx="29">
                  <c:v>3.25</c:v>
                </c:pt>
                <c:pt idx="30">
                  <c:v>3.3</c:v>
                </c:pt>
                <c:pt idx="31">
                  <c:v>3.35</c:v>
                </c:pt>
                <c:pt idx="32">
                  <c:v>3.4</c:v>
                </c:pt>
                <c:pt idx="33">
                  <c:v>3.45</c:v>
                </c:pt>
                <c:pt idx="34">
                  <c:v>3.5</c:v>
                </c:pt>
                <c:pt idx="35">
                  <c:v>3.55</c:v>
                </c:pt>
                <c:pt idx="36">
                  <c:v>3.6</c:v>
                </c:pt>
                <c:pt idx="37">
                  <c:v>3.65</c:v>
                </c:pt>
                <c:pt idx="38">
                  <c:v>3.7</c:v>
                </c:pt>
                <c:pt idx="39">
                  <c:v>3.75</c:v>
                </c:pt>
                <c:pt idx="40">
                  <c:v>3.8</c:v>
                </c:pt>
              </c:numCache>
            </c:numRef>
          </c:xVal>
          <c:yVal>
            <c:numRef>
              <c:f>'868'!$D$433:$AR$433</c:f>
              <c:numCache>
                <c:formatCode>General</c:formatCode>
                <c:ptCount val="41"/>
                <c:pt idx="0">
                  <c:v>14.001619</c:v>
                </c:pt>
                <c:pt idx="1">
                  <c:v>13.997548</c:v>
                </c:pt>
                <c:pt idx="2">
                  <c:v>14.003778000000002</c:v>
                </c:pt>
                <c:pt idx="3">
                  <c:v>13.992457999999999</c:v>
                </c:pt>
                <c:pt idx="4">
                  <c:v>13.089413</c:v>
                </c:pt>
                <c:pt idx="5">
                  <c:v>12.461793333333333</c:v>
                </c:pt>
                <c:pt idx="6">
                  <c:v>12.122881</c:v>
                </c:pt>
                <c:pt idx="7">
                  <c:v>11.961288333333334</c:v>
                </c:pt>
                <c:pt idx="8">
                  <c:v>11.632294</c:v>
                </c:pt>
                <c:pt idx="9">
                  <c:v>11.461590666666666</c:v>
                </c:pt>
                <c:pt idx="10">
                  <c:v>11.191167666666667</c:v>
                </c:pt>
                <c:pt idx="11">
                  <c:v>10.956996666666667</c:v>
                </c:pt>
                <c:pt idx="12">
                  <c:v>10.977844666666664</c:v>
                </c:pt>
                <c:pt idx="13">
                  <c:v>10.537926333333333</c:v>
                </c:pt>
                <c:pt idx="14">
                  <c:v>10.511609</c:v>
                </c:pt>
                <c:pt idx="15">
                  <c:v>10.357783</c:v>
                </c:pt>
                <c:pt idx="16">
                  <c:v>10.209201333333333</c:v>
                </c:pt>
                <c:pt idx="17">
                  <c:v>9.9189633333333322</c:v>
                </c:pt>
                <c:pt idx="18">
                  <c:v>9.767631999999999</c:v>
                </c:pt>
                <c:pt idx="19">
                  <c:v>9.6321876666666668</c:v>
                </c:pt>
                <c:pt idx="20">
                  <c:v>9.5032476666666668</c:v>
                </c:pt>
                <c:pt idx="21">
                  <c:v>9.3707196666666661</c:v>
                </c:pt>
                <c:pt idx="22">
                  <c:v>9.1285726666666669</c:v>
                </c:pt>
                <c:pt idx="23">
                  <c:v>9.0023720000000012</c:v>
                </c:pt>
                <c:pt idx="24">
                  <c:v>9.0205183333333334</c:v>
                </c:pt>
                <c:pt idx="25">
                  <c:v>8.9039053333333325</c:v>
                </c:pt>
                <c:pt idx="26">
                  <c:v>8.790974666666667</c:v>
                </c:pt>
                <c:pt idx="27">
                  <c:v>8.6444133333333326</c:v>
                </c:pt>
                <c:pt idx="28">
                  <c:v>8.4588313333333343</c:v>
                </c:pt>
                <c:pt idx="29">
                  <c:v>8.3617433333333313</c:v>
                </c:pt>
                <c:pt idx="30">
                  <c:v>8.2475246666666653</c:v>
                </c:pt>
                <c:pt idx="31">
                  <c:v>8.1604989999999997</c:v>
                </c:pt>
                <c:pt idx="32">
                  <c:v>8.0609926666666656</c:v>
                </c:pt>
                <c:pt idx="33">
                  <c:v>7.9692146666666668</c:v>
                </c:pt>
                <c:pt idx="34">
                  <c:v>7.8689123333333333</c:v>
                </c:pt>
                <c:pt idx="35">
                  <c:v>7.7955533333333333</c:v>
                </c:pt>
                <c:pt idx="36">
                  <c:v>7.6946593333333331</c:v>
                </c:pt>
                <c:pt idx="37">
                  <c:v>7.6221393333333332</c:v>
                </c:pt>
                <c:pt idx="38">
                  <c:v>7.5361163333333332</c:v>
                </c:pt>
                <c:pt idx="39">
                  <c:v>7.4560540000000008</c:v>
                </c:pt>
                <c:pt idx="40">
                  <c:v>7.3862036666666668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83488"/>
        <c:axId val="149189376"/>
      </c:scatterChart>
      <c:valAx>
        <c:axId val="14918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189376"/>
        <c:crosses val="autoZero"/>
        <c:crossBetween val="midCat"/>
      </c:valAx>
      <c:valAx>
        <c:axId val="14918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83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 conv_dev'!$C$2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4559995625546808"/>
                  <c:y val="-0.21027595508894723"/>
                </c:manualLayout>
              </c:layout>
              <c:numFmt formatCode="General" sourceLinked="0"/>
            </c:trendlineLbl>
          </c:trendline>
          <c:xVal>
            <c:numRef>
              <c:f>'868 conv_dev'!$B$3:$B$17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 conv_dev'!$C$3:$C$17</c:f>
              <c:numCache>
                <c:formatCode>General</c:formatCode>
                <c:ptCount val="15"/>
                <c:pt idx="0">
                  <c:v>23.7</c:v>
                </c:pt>
                <c:pt idx="1">
                  <c:v>17.3</c:v>
                </c:pt>
                <c:pt idx="2">
                  <c:v>16.2</c:v>
                </c:pt>
                <c:pt idx="3">
                  <c:v>14.8</c:v>
                </c:pt>
                <c:pt idx="4">
                  <c:v>13.5</c:v>
                </c:pt>
                <c:pt idx="5">
                  <c:v>12.7</c:v>
                </c:pt>
                <c:pt idx="6">
                  <c:v>12</c:v>
                </c:pt>
                <c:pt idx="7">
                  <c:v>11.2</c:v>
                </c:pt>
                <c:pt idx="8">
                  <c:v>10.4</c:v>
                </c:pt>
                <c:pt idx="9">
                  <c:v>9.5</c:v>
                </c:pt>
                <c:pt idx="10">
                  <c:v>9.1999999999999993</c:v>
                </c:pt>
                <c:pt idx="11">
                  <c:v>8.5</c:v>
                </c:pt>
                <c:pt idx="12">
                  <c:v>8.1999999999999993</c:v>
                </c:pt>
                <c:pt idx="13">
                  <c:v>7.8</c:v>
                </c:pt>
                <c:pt idx="14">
                  <c:v>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45920"/>
        <c:axId val="159747456"/>
      </c:scatterChart>
      <c:valAx>
        <c:axId val="159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747456"/>
        <c:crosses val="autoZero"/>
        <c:crossBetween val="midCat"/>
      </c:valAx>
      <c:valAx>
        <c:axId val="1597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45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 conv_dev'!$C$2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020216535433071"/>
                  <c:y val="-0.18554425488480605"/>
                </c:manualLayout>
              </c:layout>
              <c:numFmt formatCode="General" sourceLinked="0"/>
            </c:trendlineLbl>
          </c:trendline>
          <c:xVal>
            <c:numRef>
              <c:f>'868 conv_dev'!$B$17:$B$21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 conv_dev'!$C$17:$C$21</c:f>
              <c:numCache>
                <c:formatCode>General</c:formatCode>
                <c:ptCount val="5"/>
                <c:pt idx="0">
                  <c:v>7.5</c:v>
                </c:pt>
                <c:pt idx="1">
                  <c:v>6</c:v>
                </c:pt>
                <c:pt idx="2">
                  <c:v>5.2</c:v>
                </c:pt>
                <c:pt idx="3">
                  <c:v>4.8</c:v>
                </c:pt>
                <c:pt idx="4">
                  <c:v>4.5999999999999996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36896"/>
        <c:axId val="159938432"/>
      </c:scatterChart>
      <c:valAx>
        <c:axId val="15993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938432"/>
        <c:crosses val="autoZero"/>
        <c:crossBetween val="midCat"/>
      </c:valAx>
      <c:valAx>
        <c:axId val="15993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36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 conv_dev'!$C$23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115551181102361"/>
                  <c:y val="-0.27318059200933215"/>
                </c:manualLayout>
              </c:layout>
              <c:numFmt formatCode="General" sourceLinked="0"/>
            </c:trendlineLbl>
          </c:trendline>
          <c:xVal>
            <c:numRef>
              <c:f>'868 conv_dev'!$B$24:$B$38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 conv_dev'!$C$24:$C$38</c:f>
              <c:numCache>
                <c:formatCode>General</c:formatCode>
                <c:ptCount val="15"/>
                <c:pt idx="0">
                  <c:v>24.7</c:v>
                </c:pt>
                <c:pt idx="1">
                  <c:v>17.899999999999999</c:v>
                </c:pt>
                <c:pt idx="2">
                  <c:v>16.7</c:v>
                </c:pt>
                <c:pt idx="3">
                  <c:v>15.1</c:v>
                </c:pt>
                <c:pt idx="4">
                  <c:v>13.8</c:v>
                </c:pt>
                <c:pt idx="5">
                  <c:v>13</c:v>
                </c:pt>
                <c:pt idx="6">
                  <c:v>12.2</c:v>
                </c:pt>
                <c:pt idx="7">
                  <c:v>11.2</c:v>
                </c:pt>
                <c:pt idx="8">
                  <c:v>10.4</c:v>
                </c:pt>
                <c:pt idx="9">
                  <c:v>9.5</c:v>
                </c:pt>
                <c:pt idx="10">
                  <c:v>9.1999999999999993</c:v>
                </c:pt>
                <c:pt idx="11">
                  <c:v>8.6</c:v>
                </c:pt>
                <c:pt idx="12">
                  <c:v>8.1999999999999993</c:v>
                </c:pt>
                <c:pt idx="13">
                  <c:v>7.9</c:v>
                </c:pt>
                <c:pt idx="14">
                  <c:v>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55584"/>
        <c:axId val="159957376"/>
      </c:scatterChart>
      <c:valAx>
        <c:axId val="15995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957376"/>
        <c:crosses val="autoZero"/>
        <c:crossBetween val="midCat"/>
      </c:valAx>
      <c:valAx>
        <c:axId val="15995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55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 conv_dev'!$C$23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5910542432196"/>
                  <c:y val="-0.18091462525517643"/>
                </c:manualLayout>
              </c:layout>
              <c:numFmt formatCode="General" sourceLinked="0"/>
            </c:trendlineLbl>
          </c:trendline>
          <c:xVal>
            <c:numRef>
              <c:f>'868 conv_dev'!$B$38:$B$42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 conv_dev'!$C$38:$C$42</c:f>
              <c:numCache>
                <c:formatCode>General</c:formatCode>
                <c:ptCount val="5"/>
                <c:pt idx="0">
                  <c:v>7.5</c:v>
                </c:pt>
                <c:pt idx="1">
                  <c:v>6</c:v>
                </c:pt>
                <c:pt idx="2">
                  <c:v>5.2</c:v>
                </c:pt>
                <c:pt idx="3">
                  <c:v>4.9000000000000004</c:v>
                </c:pt>
                <c:pt idx="4">
                  <c:v>4.5999999999999996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7296"/>
        <c:axId val="160008832"/>
      </c:scatterChart>
      <c:valAx>
        <c:axId val="16000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008832"/>
        <c:crosses val="autoZero"/>
        <c:crossBetween val="midCat"/>
      </c:valAx>
      <c:valAx>
        <c:axId val="16000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07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 conv_dev'!$C$44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4837773403324584"/>
                  <c:y val="-0.26486293379994169"/>
                </c:manualLayout>
              </c:layout>
              <c:numFmt formatCode="General" sourceLinked="0"/>
            </c:trendlineLbl>
          </c:trendline>
          <c:xVal>
            <c:numRef>
              <c:f>'868 conv_dev'!$B$45:$B$59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 conv_dev'!$C$45:$C$59</c:f>
              <c:numCache>
                <c:formatCode>General</c:formatCode>
                <c:ptCount val="15"/>
                <c:pt idx="0">
                  <c:v>24.9</c:v>
                </c:pt>
                <c:pt idx="1">
                  <c:v>18.3</c:v>
                </c:pt>
                <c:pt idx="2">
                  <c:v>17.3</c:v>
                </c:pt>
                <c:pt idx="3">
                  <c:v>15.9</c:v>
                </c:pt>
                <c:pt idx="4">
                  <c:v>14.6</c:v>
                </c:pt>
                <c:pt idx="5">
                  <c:v>13.6</c:v>
                </c:pt>
                <c:pt idx="6">
                  <c:v>12.8</c:v>
                </c:pt>
                <c:pt idx="7">
                  <c:v>11.9</c:v>
                </c:pt>
                <c:pt idx="8">
                  <c:v>11</c:v>
                </c:pt>
                <c:pt idx="9">
                  <c:v>10.199999999999999</c:v>
                </c:pt>
                <c:pt idx="10">
                  <c:v>9.8000000000000007</c:v>
                </c:pt>
                <c:pt idx="11">
                  <c:v>9.1</c:v>
                </c:pt>
                <c:pt idx="12">
                  <c:v>8.8000000000000007</c:v>
                </c:pt>
                <c:pt idx="13">
                  <c:v>8.4</c:v>
                </c:pt>
                <c:pt idx="14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30080"/>
        <c:axId val="160035968"/>
      </c:scatterChart>
      <c:valAx>
        <c:axId val="16003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035968"/>
        <c:crosses val="autoZero"/>
        <c:crossBetween val="midCat"/>
      </c:valAx>
      <c:valAx>
        <c:axId val="16003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30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 conv_dev'!$C$44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5910542432196"/>
                  <c:y val="-0.17628499562554681"/>
                </c:manualLayout>
              </c:layout>
              <c:numFmt formatCode="General" sourceLinked="0"/>
            </c:trendlineLbl>
          </c:trendline>
          <c:xVal>
            <c:numRef>
              <c:f>'868 conv_dev'!$B$59:$B$63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 conv_dev'!$C$59:$C$63</c:f>
              <c:numCache>
                <c:formatCode>General</c:formatCode>
                <c:ptCount val="5"/>
                <c:pt idx="0">
                  <c:v>8</c:v>
                </c:pt>
                <c:pt idx="1">
                  <c:v>6.4</c:v>
                </c:pt>
                <c:pt idx="2">
                  <c:v>5.5</c:v>
                </c:pt>
                <c:pt idx="3">
                  <c:v>5.0999999999999996</c:v>
                </c:pt>
                <c:pt idx="4">
                  <c:v>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20064"/>
        <c:axId val="160521600"/>
      </c:scatterChart>
      <c:valAx>
        <c:axId val="16052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521600"/>
        <c:crosses val="autoZero"/>
        <c:crossBetween val="midCat"/>
      </c:valAx>
      <c:valAx>
        <c:axId val="16052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20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rxCurr!$H$1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29947440944881892"/>
                  <c:y val="-0.44268773694954799"/>
                </c:manualLayout>
              </c:layout>
              <c:numFmt formatCode="General" sourceLinked="0"/>
            </c:trendlineLbl>
          </c:trendline>
          <c:xVal>
            <c:numRef>
              <c:f>rxCurr!$G$2:$G$14</c:f>
              <c:numCache>
                <c:formatCode>General</c:formatCode>
                <c:ptCount val="1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2.4</c:v>
                </c:pt>
                <c:pt idx="6">
                  <c:v>2.6</c:v>
                </c:pt>
                <c:pt idx="7">
                  <c:v>2.8</c:v>
                </c:pt>
                <c:pt idx="8">
                  <c:v>3</c:v>
                </c:pt>
                <c:pt idx="9">
                  <c:v>3.2</c:v>
                </c:pt>
                <c:pt idx="10">
                  <c:v>3.4</c:v>
                </c:pt>
                <c:pt idx="11">
                  <c:v>3.6</c:v>
                </c:pt>
                <c:pt idx="12">
                  <c:v>3.8</c:v>
                </c:pt>
              </c:numCache>
            </c:numRef>
          </c:xVal>
          <c:yVal>
            <c:numRef>
              <c:f>rxCurr!$H$2:$H$14</c:f>
              <c:numCache>
                <c:formatCode>General</c:formatCode>
                <c:ptCount val="13"/>
                <c:pt idx="0">
                  <c:v>11.1</c:v>
                </c:pt>
                <c:pt idx="1">
                  <c:v>11.1</c:v>
                </c:pt>
                <c:pt idx="2">
                  <c:v>10.5</c:v>
                </c:pt>
                <c:pt idx="3">
                  <c:v>9.5</c:v>
                </c:pt>
                <c:pt idx="4">
                  <c:v>9.1</c:v>
                </c:pt>
                <c:pt idx="5">
                  <c:v>8.4</c:v>
                </c:pt>
                <c:pt idx="6">
                  <c:v>7.8</c:v>
                </c:pt>
                <c:pt idx="7">
                  <c:v>7.3</c:v>
                </c:pt>
                <c:pt idx="8">
                  <c:v>6.8</c:v>
                </c:pt>
                <c:pt idx="9">
                  <c:v>6.45</c:v>
                </c:pt>
                <c:pt idx="10">
                  <c:v>6.15</c:v>
                </c:pt>
                <c:pt idx="11">
                  <c:v>5.8</c:v>
                </c:pt>
                <c:pt idx="12">
                  <c:v>5.55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89920"/>
        <c:axId val="160291456"/>
      </c:scatterChart>
      <c:valAx>
        <c:axId val="16028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291456"/>
        <c:crosses val="autoZero"/>
        <c:crossBetween val="midCat"/>
      </c:valAx>
      <c:valAx>
        <c:axId val="16029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289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rxCurr!$H$1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3002996500437443"/>
                  <c:y val="-0.45836614173228346"/>
                </c:manualLayout>
              </c:layout>
              <c:numFmt formatCode="General" sourceLinked="0"/>
            </c:trendlineLbl>
          </c:trendline>
          <c:xVal>
            <c:numRef>
              <c:f>rxCurr!$G$4:$G$14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</c:numCache>
            </c:numRef>
          </c:xVal>
          <c:yVal>
            <c:numRef>
              <c:f>rxCurr!$H$4:$H$14</c:f>
              <c:numCache>
                <c:formatCode>General</c:formatCode>
                <c:ptCount val="11"/>
                <c:pt idx="0">
                  <c:v>10.5</c:v>
                </c:pt>
                <c:pt idx="1">
                  <c:v>9.5</c:v>
                </c:pt>
                <c:pt idx="2">
                  <c:v>9.1</c:v>
                </c:pt>
                <c:pt idx="3">
                  <c:v>8.4</c:v>
                </c:pt>
                <c:pt idx="4">
                  <c:v>7.8</c:v>
                </c:pt>
                <c:pt idx="5">
                  <c:v>7.3</c:v>
                </c:pt>
                <c:pt idx="6">
                  <c:v>6.8</c:v>
                </c:pt>
                <c:pt idx="7">
                  <c:v>6.45</c:v>
                </c:pt>
                <c:pt idx="8">
                  <c:v>6.15</c:v>
                </c:pt>
                <c:pt idx="9">
                  <c:v>5.8</c:v>
                </c:pt>
                <c:pt idx="10">
                  <c:v>5.55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3888"/>
        <c:axId val="160615424"/>
      </c:scatterChart>
      <c:valAx>
        <c:axId val="16061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615424"/>
        <c:crosses val="autoZero"/>
        <c:crossBetween val="midCat"/>
      </c:valAx>
      <c:valAx>
        <c:axId val="16061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13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rxCurr!$C$1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32204505686789153"/>
                  <c:y val="-0.46047499270924469"/>
                </c:manualLayout>
              </c:layout>
              <c:numFmt formatCode="General" sourceLinked="0"/>
            </c:trendlineLbl>
          </c:trendline>
          <c:xVal>
            <c:numRef>
              <c:f>rxCurr!$B$3:$B$13</c:f>
              <c:numCache>
                <c:formatCode>General</c:formatCode>
                <c:ptCount val="11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  <c:pt idx="3">
                  <c:v>2.2000000000000002</c:v>
                </c:pt>
                <c:pt idx="4">
                  <c:v>2.4</c:v>
                </c:pt>
                <c:pt idx="5">
                  <c:v>2.6</c:v>
                </c:pt>
                <c:pt idx="6">
                  <c:v>2.8</c:v>
                </c:pt>
                <c:pt idx="7">
                  <c:v>3</c:v>
                </c:pt>
                <c:pt idx="8">
                  <c:v>3.2</c:v>
                </c:pt>
                <c:pt idx="9">
                  <c:v>3.4</c:v>
                </c:pt>
                <c:pt idx="10">
                  <c:v>3.6</c:v>
                </c:pt>
              </c:numCache>
            </c:numRef>
          </c:xVal>
          <c:yVal>
            <c:numRef>
              <c:f>rxCurr!$C$3:$C$13</c:f>
              <c:numCache>
                <c:formatCode>General</c:formatCode>
                <c:ptCount val="11"/>
                <c:pt idx="0">
                  <c:v>11.3</c:v>
                </c:pt>
                <c:pt idx="1">
                  <c:v>9.9</c:v>
                </c:pt>
                <c:pt idx="2">
                  <c:v>9.5</c:v>
                </c:pt>
                <c:pt idx="3">
                  <c:v>9.1</c:v>
                </c:pt>
                <c:pt idx="4">
                  <c:v>8.4</c:v>
                </c:pt>
                <c:pt idx="5">
                  <c:v>7.8</c:v>
                </c:pt>
                <c:pt idx="6">
                  <c:v>7.3</c:v>
                </c:pt>
                <c:pt idx="7">
                  <c:v>6.8</c:v>
                </c:pt>
                <c:pt idx="8">
                  <c:v>6.5</c:v>
                </c:pt>
                <c:pt idx="9">
                  <c:v>6.1</c:v>
                </c:pt>
                <c:pt idx="10">
                  <c:v>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09856"/>
        <c:axId val="160423936"/>
      </c:scatterChart>
      <c:valAx>
        <c:axId val="16040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423936"/>
        <c:crosses val="autoZero"/>
        <c:crossBetween val="midCat"/>
      </c:valAx>
      <c:valAx>
        <c:axId val="16042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09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'868'!$C$465</c:f>
              <c:strCache>
                <c:ptCount val="1"/>
                <c:pt idx="0">
                  <c:v>avg 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0128489263489655"/>
                  <c:y val="-4.2276385625979237E-3"/>
                </c:manualLayout>
              </c:layout>
              <c:numFmt formatCode="General" sourceLinked="0"/>
            </c:trendlineLbl>
          </c:trendline>
          <c:xVal>
            <c:numRef>
              <c:f>'868'!$D$461:$AR$461</c:f>
              <c:numCache>
                <c:formatCode>General</c:formatCode>
                <c:ptCount val="41"/>
                <c:pt idx="0">
                  <c:v>1.8</c:v>
                </c:pt>
                <c:pt idx="1">
                  <c:v>1.85</c:v>
                </c:pt>
                <c:pt idx="2">
                  <c:v>1.9</c:v>
                </c:pt>
                <c:pt idx="3">
                  <c:v>1.95</c:v>
                </c:pt>
                <c:pt idx="4">
                  <c:v>2</c:v>
                </c:pt>
                <c:pt idx="5">
                  <c:v>2.0499999999999998</c:v>
                </c:pt>
                <c:pt idx="6">
                  <c:v>2.1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2.25</c:v>
                </c:pt>
                <c:pt idx="10">
                  <c:v>2.2999999999999998</c:v>
                </c:pt>
                <c:pt idx="11">
                  <c:v>2.35</c:v>
                </c:pt>
                <c:pt idx="12">
                  <c:v>2.4</c:v>
                </c:pt>
                <c:pt idx="13">
                  <c:v>2.4500000000000002</c:v>
                </c:pt>
                <c:pt idx="14">
                  <c:v>2.5</c:v>
                </c:pt>
                <c:pt idx="15">
                  <c:v>2.5499999999999998</c:v>
                </c:pt>
                <c:pt idx="16">
                  <c:v>2.6</c:v>
                </c:pt>
                <c:pt idx="17">
                  <c:v>2.65</c:v>
                </c:pt>
                <c:pt idx="18">
                  <c:v>2.7</c:v>
                </c:pt>
                <c:pt idx="19">
                  <c:v>2.75</c:v>
                </c:pt>
                <c:pt idx="20">
                  <c:v>2.8</c:v>
                </c:pt>
                <c:pt idx="21">
                  <c:v>2.85</c:v>
                </c:pt>
                <c:pt idx="22">
                  <c:v>2.9</c:v>
                </c:pt>
                <c:pt idx="23">
                  <c:v>2.95</c:v>
                </c:pt>
                <c:pt idx="24">
                  <c:v>3</c:v>
                </c:pt>
                <c:pt idx="25">
                  <c:v>3.05</c:v>
                </c:pt>
                <c:pt idx="26">
                  <c:v>3.1</c:v>
                </c:pt>
                <c:pt idx="27">
                  <c:v>3.15</c:v>
                </c:pt>
                <c:pt idx="28">
                  <c:v>3.2</c:v>
                </c:pt>
                <c:pt idx="29">
                  <c:v>3.25</c:v>
                </c:pt>
                <c:pt idx="30">
                  <c:v>3.3</c:v>
                </c:pt>
                <c:pt idx="31">
                  <c:v>3.35</c:v>
                </c:pt>
                <c:pt idx="32">
                  <c:v>3.4</c:v>
                </c:pt>
                <c:pt idx="33">
                  <c:v>3.45</c:v>
                </c:pt>
                <c:pt idx="34">
                  <c:v>3.5</c:v>
                </c:pt>
                <c:pt idx="35">
                  <c:v>3.55</c:v>
                </c:pt>
                <c:pt idx="36">
                  <c:v>3.6</c:v>
                </c:pt>
                <c:pt idx="37">
                  <c:v>3.65</c:v>
                </c:pt>
                <c:pt idx="38">
                  <c:v>3.7</c:v>
                </c:pt>
                <c:pt idx="39">
                  <c:v>3.75</c:v>
                </c:pt>
                <c:pt idx="40">
                  <c:v>3.8</c:v>
                </c:pt>
              </c:numCache>
            </c:numRef>
          </c:xVal>
          <c:yVal>
            <c:numRef>
              <c:f>'868'!$D$465:$AR$465</c:f>
              <c:numCache>
                <c:formatCode>General</c:formatCode>
                <c:ptCount val="41"/>
                <c:pt idx="0">
                  <c:v>13.343617</c:v>
                </c:pt>
                <c:pt idx="1">
                  <c:v>13.344852000000001</c:v>
                </c:pt>
                <c:pt idx="2">
                  <c:v>13.338241333333334</c:v>
                </c:pt>
                <c:pt idx="3">
                  <c:v>13.334875333333335</c:v>
                </c:pt>
                <c:pt idx="4">
                  <c:v>12.476101333333332</c:v>
                </c:pt>
                <c:pt idx="5">
                  <c:v>11.880570333333333</c:v>
                </c:pt>
                <c:pt idx="6">
                  <c:v>11.551936</c:v>
                </c:pt>
                <c:pt idx="7">
                  <c:v>11.396954000000001</c:v>
                </c:pt>
                <c:pt idx="8">
                  <c:v>11.080706333333334</c:v>
                </c:pt>
                <c:pt idx="9">
                  <c:v>10.924082333333333</c:v>
                </c:pt>
                <c:pt idx="10">
                  <c:v>10.658399666666666</c:v>
                </c:pt>
                <c:pt idx="11">
                  <c:v>10.442193666666666</c:v>
                </c:pt>
                <c:pt idx="12">
                  <c:v>10.471332333333335</c:v>
                </c:pt>
                <c:pt idx="13">
                  <c:v>10.045021999999999</c:v>
                </c:pt>
                <c:pt idx="14">
                  <c:v>10.026696000000001</c:v>
                </c:pt>
                <c:pt idx="15">
                  <c:v>9.8837759999999992</c:v>
                </c:pt>
                <c:pt idx="16">
                  <c:v>9.745530333333333</c:v>
                </c:pt>
                <c:pt idx="17">
                  <c:v>9.4626483333333322</c:v>
                </c:pt>
                <c:pt idx="18">
                  <c:v>9.3224186666666657</c:v>
                </c:pt>
                <c:pt idx="19">
                  <c:v>9.1939630000000019</c:v>
                </c:pt>
                <c:pt idx="20">
                  <c:v>9.0690499999999989</c:v>
                </c:pt>
                <c:pt idx="21">
                  <c:v>8.9391030000000011</c:v>
                </c:pt>
                <c:pt idx="22">
                  <c:v>8.7066976666666651</c:v>
                </c:pt>
                <c:pt idx="23">
                  <c:v>8.5931063333333331</c:v>
                </c:pt>
                <c:pt idx="24">
                  <c:v>8.6122426666666669</c:v>
                </c:pt>
                <c:pt idx="25">
                  <c:v>8.5052616666666676</c:v>
                </c:pt>
                <c:pt idx="26">
                  <c:v>8.3881023333333342</c:v>
                </c:pt>
                <c:pt idx="27">
                  <c:v>8.254331333333333</c:v>
                </c:pt>
                <c:pt idx="28">
                  <c:v>8.083613999999999</c:v>
                </c:pt>
                <c:pt idx="29">
                  <c:v>7.9852406666666669</c:v>
                </c:pt>
                <c:pt idx="30">
                  <c:v>7.8822563333333333</c:v>
                </c:pt>
                <c:pt idx="31">
                  <c:v>7.7946833333333343</c:v>
                </c:pt>
                <c:pt idx="32">
                  <c:v>7.698560333333333</c:v>
                </c:pt>
                <c:pt idx="33">
                  <c:v>7.6109576666666667</c:v>
                </c:pt>
                <c:pt idx="34">
                  <c:v>7.5215330000000007</c:v>
                </c:pt>
                <c:pt idx="35">
                  <c:v>7.4406433333333339</c:v>
                </c:pt>
                <c:pt idx="36">
                  <c:v>7.3509553333333342</c:v>
                </c:pt>
                <c:pt idx="37">
                  <c:v>7.2757053333333337</c:v>
                </c:pt>
                <c:pt idx="38">
                  <c:v>7.19855</c:v>
                </c:pt>
                <c:pt idx="39">
                  <c:v>7.1215876666666666</c:v>
                </c:pt>
                <c:pt idx="40">
                  <c:v>7.0555563333333327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24768"/>
        <c:axId val="149434752"/>
      </c:scatterChart>
      <c:valAx>
        <c:axId val="14942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434752"/>
        <c:crosses val="autoZero"/>
        <c:crossBetween val="midCat"/>
      </c:valAx>
      <c:valAx>
        <c:axId val="14943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424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'868'!$C$496</c:f>
              <c:strCache>
                <c:ptCount val="1"/>
                <c:pt idx="0">
                  <c:v>avg 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18434180872005798"/>
                  <c:y val="3.3848023157468404E-2"/>
                </c:manualLayout>
              </c:layout>
              <c:numFmt formatCode="General" sourceLinked="0"/>
            </c:trendlineLbl>
          </c:trendline>
          <c:xVal>
            <c:numRef>
              <c:f>'868'!$D$492:$AR$492</c:f>
              <c:numCache>
                <c:formatCode>General</c:formatCode>
                <c:ptCount val="41"/>
                <c:pt idx="0">
                  <c:v>1.8</c:v>
                </c:pt>
                <c:pt idx="1">
                  <c:v>1.85</c:v>
                </c:pt>
                <c:pt idx="2">
                  <c:v>1.9</c:v>
                </c:pt>
                <c:pt idx="3">
                  <c:v>1.95</c:v>
                </c:pt>
                <c:pt idx="4">
                  <c:v>2</c:v>
                </c:pt>
                <c:pt idx="5">
                  <c:v>2.0499999999999998</c:v>
                </c:pt>
                <c:pt idx="6">
                  <c:v>2.1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2.25</c:v>
                </c:pt>
                <c:pt idx="10">
                  <c:v>2.2999999999999998</c:v>
                </c:pt>
                <c:pt idx="11">
                  <c:v>2.35</c:v>
                </c:pt>
                <c:pt idx="12">
                  <c:v>2.4</c:v>
                </c:pt>
                <c:pt idx="13">
                  <c:v>2.4500000000000002</c:v>
                </c:pt>
                <c:pt idx="14">
                  <c:v>2.5</c:v>
                </c:pt>
                <c:pt idx="15">
                  <c:v>2.5499999999999998</c:v>
                </c:pt>
                <c:pt idx="16">
                  <c:v>2.6</c:v>
                </c:pt>
                <c:pt idx="17">
                  <c:v>2.65</c:v>
                </c:pt>
                <c:pt idx="18">
                  <c:v>2.7</c:v>
                </c:pt>
                <c:pt idx="19">
                  <c:v>2.75</c:v>
                </c:pt>
                <c:pt idx="20">
                  <c:v>2.8</c:v>
                </c:pt>
                <c:pt idx="21">
                  <c:v>2.85</c:v>
                </c:pt>
                <c:pt idx="22">
                  <c:v>2.9</c:v>
                </c:pt>
                <c:pt idx="23">
                  <c:v>2.95</c:v>
                </c:pt>
                <c:pt idx="24">
                  <c:v>3</c:v>
                </c:pt>
                <c:pt idx="25">
                  <c:v>3.05</c:v>
                </c:pt>
                <c:pt idx="26">
                  <c:v>3.1</c:v>
                </c:pt>
                <c:pt idx="27">
                  <c:v>3.15</c:v>
                </c:pt>
                <c:pt idx="28">
                  <c:v>3.2</c:v>
                </c:pt>
                <c:pt idx="29">
                  <c:v>3.25</c:v>
                </c:pt>
                <c:pt idx="30">
                  <c:v>3.3</c:v>
                </c:pt>
                <c:pt idx="31">
                  <c:v>3.35</c:v>
                </c:pt>
                <c:pt idx="32">
                  <c:v>3.4</c:v>
                </c:pt>
                <c:pt idx="33">
                  <c:v>3.45</c:v>
                </c:pt>
                <c:pt idx="34">
                  <c:v>3.5</c:v>
                </c:pt>
                <c:pt idx="35">
                  <c:v>3.55</c:v>
                </c:pt>
                <c:pt idx="36">
                  <c:v>3.6</c:v>
                </c:pt>
                <c:pt idx="37">
                  <c:v>3.65</c:v>
                </c:pt>
                <c:pt idx="38">
                  <c:v>3.7</c:v>
                </c:pt>
                <c:pt idx="39">
                  <c:v>3.75</c:v>
                </c:pt>
                <c:pt idx="40">
                  <c:v>3.8</c:v>
                </c:pt>
              </c:numCache>
            </c:numRef>
          </c:xVal>
          <c:yVal>
            <c:numRef>
              <c:f>'868'!$D$496:$AR$496</c:f>
              <c:numCache>
                <c:formatCode>General</c:formatCode>
                <c:ptCount val="41"/>
                <c:pt idx="0">
                  <c:v>10.476361666666667</c:v>
                </c:pt>
                <c:pt idx="1">
                  <c:v>10.483366666666667</c:v>
                </c:pt>
                <c:pt idx="2">
                  <c:v>10.483325333333333</c:v>
                </c:pt>
                <c:pt idx="3">
                  <c:v>10.475117666666668</c:v>
                </c:pt>
                <c:pt idx="4">
                  <c:v>9.805829666666666</c:v>
                </c:pt>
                <c:pt idx="5">
                  <c:v>9.3328480000000003</c:v>
                </c:pt>
                <c:pt idx="6">
                  <c:v>9.0830956666666669</c:v>
                </c:pt>
                <c:pt idx="7">
                  <c:v>8.9551443333333349</c:v>
                </c:pt>
                <c:pt idx="8">
                  <c:v>8.7092193333333334</c:v>
                </c:pt>
                <c:pt idx="9">
                  <c:v>8.5787653333333349</c:v>
                </c:pt>
                <c:pt idx="10">
                  <c:v>8.3735476666666671</c:v>
                </c:pt>
                <c:pt idx="11">
                  <c:v>8.2038796666666656</c:v>
                </c:pt>
                <c:pt idx="12">
                  <c:v>8.2662546666666668</c:v>
                </c:pt>
                <c:pt idx="13">
                  <c:v>7.8970960000000003</c:v>
                </c:pt>
                <c:pt idx="14">
                  <c:v>7.9218183333333334</c:v>
                </c:pt>
                <c:pt idx="15">
                  <c:v>7.8085673333333334</c:v>
                </c:pt>
                <c:pt idx="16">
                  <c:v>7.5241276666666677</c:v>
                </c:pt>
                <c:pt idx="17">
                  <c:v>7.4826839999999999</c:v>
                </c:pt>
                <c:pt idx="18">
                  <c:v>7.3686466666666668</c:v>
                </c:pt>
                <c:pt idx="19">
                  <c:v>7.262721</c:v>
                </c:pt>
                <c:pt idx="20">
                  <c:v>7.1632083333333334</c:v>
                </c:pt>
                <c:pt idx="21">
                  <c:v>7.0705186666666657</c:v>
                </c:pt>
                <c:pt idx="22">
                  <c:v>6.8776066666666678</c:v>
                </c:pt>
                <c:pt idx="23">
                  <c:v>6.7982966666666655</c:v>
                </c:pt>
                <c:pt idx="24">
                  <c:v>6.8648746666666662</c:v>
                </c:pt>
                <c:pt idx="25">
                  <c:v>6.7761349999999991</c:v>
                </c:pt>
                <c:pt idx="26">
                  <c:v>6.6775073333333337</c:v>
                </c:pt>
                <c:pt idx="27">
                  <c:v>6.5770876666666664</c:v>
                </c:pt>
                <c:pt idx="28">
                  <c:v>6.4351966666666662</c:v>
                </c:pt>
                <c:pt idx="29">
                  <c:v>6.3555113333333324</c:v>
                </c:pt>
                <c:pt idx="30">
                  <c:v>6.276647333333333</c:v>
                </c:pt>
                <c:pt idx="31">
                  <c:v>6.2085466666666669</c:v>
                </c:pt>
                <c:pt idx="32">
                  <c:v>6.1279539999999999</c:v>
                </c:pt>
                <c:pt idx="33">
                  <c:v>6.0656740000000005</c:v>
                </c:pt>
                <c:pt idx="34">
                  <c:v>5.9902896666666665</c:v>
                </c:pt>
                <c:pt idx="35">
                  <c:v>5.9277629999999997</c:v>
                </c:pt>
                <c:pt idx="36">
                  <c:v>5.8582426666666665</c:v>
                </c:pt>
                <c:pt idx="37">
                  <c:v>5.8012729999999992</c:v>
                </c:pt>
                <c:pt idx="38">
                  <c:v>5.741743333333333</c:v>
                </c:pt>
                <c:pt idx="39">
                  <c:v>5.6675723333333323</c:v>
                </c:pt>
                <c:pt idx="40">
                  <c:v>5.6215070000000003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8576"/>
        <c:axId val="149450112"/>
      </c:scatterChart>
      <c:valAx>
        <c:axId val="14944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450112"/>
        <c:crosses val="autoZero"/>
        <c:crossBetween val="midCat"/>
      </c:valAx>
      <c:valAx>
        <c:axId val="14945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448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'868'!$C$528</c:f>
              <c:strCache>
                <c:ptCount val="1"/>
                <c:pt idx="0">
                  <c:v>avg 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2130103084386923"/>
                  <c:y val="2.5927410507737461E-2"/>
                </c:manualLayout>
              </c:layout>
              <c:numFmt formatCode="General" sourceLinked="0"/>
            </c:trendlineLbl>
          </c:trendline>
          <c:xVal>
            <c:numRef>
              <c:f>'868'!$D$524:$AR$524</c:f>
              <c:numCache>
                <c:formatCode>General</c:formatCode>
                <c:ptCount val="41"/>
                <c:pt idx="0">
                  <c:v>1.8</c:v>
                </c:pt>
                <c:pt idx="1">
                  <c:v>1.85</c:v>
                </c:pt>
                <c:pt idx="2">
                  <c:v>1.9</c:v>
                </c:pt>
                <c:pt idx="3">
                  <c:v>1.95</c:v>
                </c:pt>
                <c:pt idx="4">
                  <c:v>2</c:v>
                </c:pt>
                <c:pt idx="5">
                  <c:v>2.0499999999999998</c:v>
                </c:pt>
                <c:pt idx="6">
                  <c:v>2.1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2.25</c:v>
                </c:pt>
                <c:pt idx="10">
                  <c:v>2.2999999999999998</c:v>
                </c:pt>
                <c:pt idx="11">
                  <c:v>2.35</c:v>
                </c:pt>
                <c:pt idx="12">
                  <c:v>2.4</c:v>
                </c:pt>
                <c:pt idx="13">
                  <c:v>2.4500000000000002</c:v>
                </c:pt>
                <c:pt idx="14">
                  <c:v>2.5</c:v>
                </c:pt>
                <c:pt idx="15">
                  <c:v>2.5499999999999998</c:v>
                </c:pt>
                <c:pt idx="16">
                  <c:v>2.6</c:v>
                </c:pt>
                <c:pt idx="17">
                  <c:v>2.65</c:v>
                </c:pt>
                <c:pt idx="18">
                  <c:v>2.7</c:v>
                </c:pt>
                <c:pt idx="19">
                  <c:v>2.75</c:v>
                </c:pt>
                <c:pt idx="20">
                  <c:v>2.8</c:v>
                </c:pt>
                <c:pt idx="21">
                  <c:v>2.85</c:v>
                </c:pt>
                <c:pt idx="22">
                  <c:v>2.9</c:v>
                </c:pt>
                <c:pt idx="23">
                  <c:v>2.95</c:v>
                </c:pt>
                <c:pt idx="24">
                  <c:v>3</c:v>
                </c:pt>
                <c:pt idx="25">
                  <c:v>3.05</c:v>
                </c:pt>
                <c:pt idx="26">
                  <c:v>3.1</c:v>
                </c:pt>
                <c:pt idx="27">
                  <c:v>3.15</c:v>
                </c:pt>
                <c:pt idx="28">
                  <c:v>3.2</c:v>
                </c:pt>
                <c:pt idx="29">
                  <c:v>3.25</c:v>
                </c:pt>
                <c:pt idx="30">
                  <c:v>3.3</c:v>
                </c:pt>
                <c:pt idx="31">
                  <c:v>3.35</c:v>
                </c:pt>
                <c:pt idx="32">
                  <c:v>3.4</c:v>
                </c:pt>
                <c:pt idx="33">
                  <c:v>3.45</c:v>
                </c:pt>
                <c:pt idx="34">
                  <c:v>3.5</c:v>
                </c:pt>
                <c:pt idx="35">
                  <c:v>3.55</c:v>
                </c:pt>
                <c:pt idx="36">
                  <c:v>3.6</c:v>
                </c:pt>
                <c:pt idx="37">
                  <c:v>3.65</c:v>
                </c:pt>
                <c:pt idx="38">
                  <c:v>3.7</c:v>
                </c:pt>
                <c:pt idx="39">
                  <c:v>3.75</c:v>
                </c:pt>
                <c:pt idx="40">
                  <c:v>3.8</c:v>
                </c:pt>
              </c:numCache>
            </c:numRef>
          </c:xVal>
          <c:yVal>
            <c:numRef>
              <c:f>'868'!$D$528:$AR$528</c:f>
              <c:numCache>
                <c:formatCode>General</c:formatCode>
                <c:ptCount val="41"/>
                <c:pt idx="0">
                  <c:v>9.1222076666666663</c:v>
                </c:pt>
                <c:pt idx="1">
                  <c:v>9.1417699999999993</c:v>
                </c:pt>
                <c:pt idx="2">
                  <c:v>9.1287336666666672</c:v>
                </c:pt>
                <c:pt idx="3">
                  <c:v>9.1283216666666664</c:v>
                </c:pt>
                <c:pt idx="4">
                  <c:v>8.541131666666665</c:v>
                </c:pt>
                <c:pt idx="5">
                  <c:v>8.1356766666666669</c:v>
                </c:pt>
                <c:pt idx="6">
                  <c:v>7.9102059999999996</c:v>
                </c:pt>
                <c:pt idx="7">
                  <c:v>7.8005389999999997</c:v>
                </c:pt>
                <c:pt idx="8">
                  <c:v>7.5870103333333345</c:v>
                </c:pt>
                <c:pt idx="9">
                  <c:v>7.4826473333333325</c:v>
                </c:pt>
                <c:pt idx="10">
                  <c:v>7.2895520000000005</c:v>
                </c:pt>
                <c:pt idx="11">
                  <c:v>7.1453073333333323</c:v>
                </c:pt>
                <c:pt idx="12">
                  <c:v>7.0345443333333337</c:v>
                </c:pt>
                <c:pt idx="13">
                  <c:v>6.8846800000000004</c:v>
                </c:pt>
                <c:pt idx="14">
                  <c:v>6.9219826666666675</c:v>
                </c:pt>
                <c:pt idx="15">
                  <c:v>6.8273359999999998</c:v>
                </c:pt>
                <c:pt idx="16">
                  <c:v>6.5575826666666659</c:v>
                </c:pt>
                <c:pt idx="17">
                  <c:v>6.532077666666666</c:v>
                </c:pt>
                <c:pt idx="18">
                  <c:v>6.438655999999999</c:v>
                </c:pt>
                <c:pt idx="19">
                  <c:v>6.3454603333333326</c:v>
                </c:pt>
                <c:pt idx="20">
                  <c:v>6.2588986666666671</c:v>
                </c:pt>
                <c:pt idx="21">
                  <c:v>6.1772823333333342</c:v>
                </c:pt>
                <c:pt idx="22">
                  <c:v>6.0103343333333328</c:v>
                </c:pt>
                <c:pt idx="23">
                  <c:v>5.9422676666666661</c:v>
                </c:pt>
                <c:pt idx="24">
                  <c:v>5.9933370000000004</c:v>
                </c:pt>
                <c:pt idx="25">
                  <c:v>5.9211010000000002</c:v>
                </c:pt>
                <c:pt idx="26">
                  <c:v>5.8392936666666664</c:v>
                </c:pt>
                <c:pt idx="27">
                  <c:v>5.7494809999999994</c:v>
                </c:pt>
                <c:pt idx="28">
                  <c:v>5.6296986666666662</c:v>
                </c:pt>
                <c:pt idx="29">
                  <c:v>5.5572583333333334</c:v>
                </c:pt>
                <c:pt idx="30">
                  <c:v>5.4876589999999998</c:v>
                </c:pt>
                <c:pt idx="31">
                  <c:v>5.424382333333333</c:v>
                </c:pt>
                <c:pt idx="32">
                  <c:v>5.358820333333334</c:v>
                </c:pt>
                <c:pt idx="33">
                  <c:v>5.300192</c:v>
                </c:pt>
                <c:pt idx="34">
                  <c:v>5.2336186666666666</c:v>
                </c:pt>
                <c:pt idx="35">
                  <c:v>5.1745106666666665</c:v>
                </c:pt>
                <c:pt idx="36">
                  <c:v>5.118152666666667</c:v>
                </c:pt>
                <c:pt idx="37">
                  <c:v>5.0674273333333337</c:v>
                </c:pt>
                <c:pt idx="38">
                  <c:v>5.0137770000000002</c:v>
                </c:pt>
                <c:pt idx="39">
                  <c:v>4.9530326666666671</c:v>
                </c:pt>
                <c:pt idx="40">
                  <c:v>4.914880666666666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6960"/>
        <c:axId val="149498496"/>
      </c:scatterChart>
      <c:valAx>
        <c:axId val="1494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498496"/>
        <c:crosses val="autoZero"/>
        <c:crossBetween val="midCat"/>
      </c:valAx>
      <c:valAx>
        <c:axId val="14949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496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'868'!$C$560</c:f>
              <c:strCache>
                <c:ptCount val="1"/>
                <c:pt idx="0">
                  <c:v>avg 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3325996459744858"/>
                  <c:y val="-1.2613787225951468E-3"/>
                </c:manualLayout>
              </c:layout>
              <c:numFmt formatCode="General" sourceLinked="0"/>
            </c:trendlineLbl>
          </c:trendline>
          <c:xVal>
            <c:numRef>
              <c:f>'868'!$D$556:$AR$556</c:f>
              <c:numCache>
                <c:formatCode>General</c:formatCode>
                <c:ptCount val="41"/>
                <c:pt idx="0">
                  <c:v>1.8</c:v>
                </c:pt>
                <c:pt idx="1">
                  <c:v>1.85</c:v>
                </c:pt>
                <c:pt idx="2">
                  <c:v>1.9</c:v>
                </c:pt>
                <c:pt idx="3">
                  <c:v>1.95</c:v>
                </c:pt>
                <c:pt idx="4">
                  <c:v>2</c:v>
                </c:pt>
                <c:pt idx="5">
                  <c:v>2.0499999999999998</c:v>
                </c:pt>
                <c:pt idx="6">
                  <c:v>2.1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2.25</c:v>
                </c:pt>
                <c:pt idx="10">
                  <c:v>2.2999999999999998</c:v>
                </c:pt>
                <c:pt idx="11">
                  <c:v>2.35</c:v>
                </c:pt>
                <c:pt idx="12">
                  <c:v>2.4</c:v>
                </c:pt>
                <c:pt idx="13">
                  <c:v>2.4500000000000002</c:v>
                </c:pt>
                <c:pt idx="14">
                  <c:v>2.5</c:v>
                </c:pt>
                <c:pt idx="15">
                  <c:v>2.5499999999999998</c:v>
                </c:pt>
                <c:pt idx="16">
                  <c:v>2.6</c:v>
                </c:pt>
                <c:pt idx="17">
                  <c:v>2.65</c:v>
                </c:pt>
                <c:pt idx="18">
                  <c:v>2.7</c:v>
                </c:pt>
                <c:pt idx="19">
                  <c:v>2.75</c:v>
                </c:pt>
                <c:pt idx="20">
                  <c:v>2.8</c:v>
                </c:pt>
                <c:pt idx="21">
                  <c:v>2.85</c:v>
                </c:pt>
                <c:pt idx="22">
                  <c:v>2.9</c:v>
                </c:pt>
                <c:pt idx="23">
                  <c:v>2.95</c:v>
                </c:pt>
                <c:pt idx="24">
                  <c:v>3</c:v>
                </c:pt>
                <c:pt idx="25">
                  <c:v>3.05</c:v>
                </c:pt>
                <c:pt idx="26">
                  <c:v>3.1</c:v>
                </c:pt>
                <c:pt idx="27">
                  <c:v>3.15</c:v>
                </c:pt>
                <c:pt idx="28">
                  <c:v>3.2</c:v>
                </c:pt>
                <c:pt idx="29">
                  <c:v>3.25</c:v>
                </c:pt>
                <c:pt idx="30">
                  <c:v>3.3</c:v>
                </c:pt>
                <c:pt idx="31">
                  <c:v>3.35</c:v>
                </c:pt>
                <c:pt idx="32">
                  <c:v>3.4</c:v>
                </c:pt>
                <c:pt idx="33">
                  <c:v>3.45</c:v>
                </c:pt>
                <c:pt idx="34">
                  <c:v>3.5</c:v>
                </c:pt>
                <c:pt idx="35">
                  <c:v>3.55</c:v>
                </c:pt>
                <c:pt idx="36">
                  <c:v>3.6</c:v>
                </c:pt>
                <c:pt idx="37">
                  <c:v>3.65</c:v>
                </c:pt>
                <c:pt idx="38">
                  <c:v>3.7</c:v>
                </c:pt>
                <c:pt idx="39">
                  <c:v>3.75</c:v>
                </c:pt>
                <c:pt idx="40">
                  <c:v>3.8</c:v>
                </c:pt>
              </c:numCache>
            </c:numRef>
          </c:xVal>
          <c:yVal>
            <c:numRef>
              <c:f>'868'!$D$560:$AR$560</c:f>
              <c:numCache>
                <c:formatCode>General</c:formatCode>
                <c:ptCount val="41"/>
                <c:pt idx="0">
                  <c:v>8.5305759999999982</c:v>
                </c:pt>
                <c:pt idx="1">
                  <c:v>8.5405866666666679</c:v>
                </c:pt>
                <c:pt idx="2">
                  <c:v>8.525916333333333</c:v>
                </c:pt>
                <c:pt idx="3">
                  <c:v>8.527330000000001</c:v>
                </c:pt>
                <c:pt idx="4">
                  <c:v>7.9858169999999999</c:v>
                </c:pt>
                <c:pt idx="5">
                  <c:v>7.5979393333333327</c:v>
                </c:pt>
                <c:pt idx="6">
                  <c:v>7.3919136666666674</c:v>
                </c:pt>
                <c:pt idx="7">
                  <c:v>7.2855083333333326</c:v>
                </c:pt>
                <c:pt idx="8">
                  <c:v>7.0921619999999992</c:v>
                </c:pt>
                <c:pt idx="9">
                  <c:v>6.9902716666666675</c:v>
                </c:pt>
                <c:pt idx="10">
                  <c:v>6.806385333333334</c:v>
                </c:pt>
                <c:pt idx="11">
                  <c:v>6.6757116666666674</c:v>
                </c:pt>
                <c:pt idx="12">
                  <c:v>6.575016333333334</c:v>
                </c:pt>
                <c:pt idx="13">
                  <c:v>6.4281446666666673</c:v>
                </c:pt>
                <c:pt idx="14">
                  <c:v>6.4588936666666674</c:v>
                </c:pt>
                <c:pt idx="15">
                  <c:v>6.3680373333333335</c:v>
                </c:pt>
                <c:pt idx="16">
                  <c:v>6.2798566666666673</c:v>
                </c:pt>
                <c:pt idx="17">
                  <c:v>6.094850666666666</c:v>
                </c:pt>
                <c:pt idx="18">
                  <c:v>6.0144833333333336</c:v>
                </c:pt>
                <c:pt idx="19">
                  <c:v>5.9227460000000001</c:v>
                </c:pt>
                <c:pt idx="20">
                  <c:v>5.8370239999999995</c:v>
                </c:pt>
                <c:pt idx="21">
                  <c:v>5.7685470000000008</c:v>
                </c:pt>
                <c:pt idx="22">
                  <c:v>5.6068620000000005</c:v>
                </c:pt>
                <c:pt idx="23">
                  <c:v>5.6771330000000004</c:v>
                </c:pt>
                <c:pt idx="24">
                  <c:v>5.6019949999999996</c:v>
                </c:pt>
                <c:pt idx="25">
                  <c:v>5.5324646666666668</c:v>
                </c:pt>
                <c:pt idx="26">
                  <c:v>5.4544250000000005</c:v>
                </c:pt>
                <c:pt idx="27">
                  <c:v>5.3725180000000003</c:v>
                </c:pt>
                <c:pt idx="28">
                  <c:v>5.2572723333333329</c:v>
                </c:pt>
                <c:pt idx="29">
                  <c:v>5.1884540000000001</c:v>
                </c:pt>
                <c:pt idx="30">
                  <c:v>5.1305020000000008</c:v>
                </c:pt>
                <c:pt idx="31">
                  <c:v>5.0690256666666675</c:v>
                </c:pt>
                <c:pt idx="32">
                  <c:v>5.0109436666666669</c:v>
                </c:pt>
                <c:pt idx="33">
                  <c:v>4.9554989999999997</c:v>
                </c:pt>
                <c:pt idx="34">
                  <c:v>4.8930463333333334</c:v>
                </c:pt>
                <c:pt idx="35">
                  <c:v>4.8357426666666674</c:v>
                </c:pt>
                <c:pt idx="36">
                  <c:v>4.7838413333333341</c:v>
                </c:pt>
                <c:pt idx="37">
                  <c:v>4.7349329999999998</c:v>
                </c:pt>
                <c:pt idx="38">
                  <c:v>4.6839476666666666</c:v>
                </c:pt>
                <c:pt idx="39">
                  <c:v>4.6303143333333336</c:v>
                </c:pt>
                <c:pt idx="40">
                  <c:v>4.596503666666667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45344"/>
        <c:axId val="149546880"/>
      </c:scatterChart>
      <c:valAx>
        <c:axId val="14954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546880"/>
        <c:crosses val="autoZero"/>
        <c:crossBetween val="midCat"/>
      </c:valAx>
      <c:valAx>
        <c:axId val="14954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545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'868'!$C$592</c:f>
              <c:strCache>
                <c:ptCount val="1"/>
                <c:pt idx="0">
                  <c:v>avg 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2580177088758846"/>
                  <c:y val="-3.9954797803749796E-3"/>
                </c:manualLayout>
              </c:layout>
              <c:numFmt formatCode="General" sourceLinked="0"/>
            </c:trendlineLbl>
          </c:trendline>
          <c:xVal>
            <c:numRef>
              <c:f>'868'!$D$588:$AR$588</c:f>
              <c:numCache>
                <c:formatCode>General</c:formatCode>
                <c:ptCount val="41"/>
                <c:pt idx="0">
                  <c:v>1.8</c:v>
                </c:pt>
                <c:pt idx="1">
                  <c:v>1.85</c:v>
                </c:pt>
                <c:pt idx="2">
                  <c:v>1.9</c:v>
                </c:pt>
                <c:pt idx="3">
                  <c:v>1.95</c:v>
                </c:pt>
                <c:pt idx="4">
                  <c:v>2</c:v>
                </c:pt>
                <c:pt idx="5">
                  <c:v>2.0499999999999998</c:v>
                </c:pt>
                <c:pt idx="6">
                  <c:v>2.1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2.25</c:v>
                </c:pt>
                <c:pt idx="10">
                  <c:v>2.2999999999999998</c:v>
                </c:pt>
                <c:pt idx="11">
                  <c:v>2.35</c:v>
                </c:pt>
                <c:pt idx="12">
                  <c:v>2.4</c:v>
                </c:pt>
                <c:pt idx="13">
                  <c:v>2.4500000000000002</c:v>
                </c:pt>
                <c:pt idx="14">
                  <c:v>2.5</c:v>
                </c:pt>
                <c:pt idx="15">
                  <c:v>2.5499999999999998</c:v>
                </c:pt>
                <c:pt idx="16">
                  <c:v>2.6</c:v>
                </c:pt>
                <c:pt idx="17">
                  <c:v>2.65</c:v>
                </c:pt>
                <c:pt idx="18">
                  <c:v>2.7</c:v>
                </c:pt>
                <c:pt idx="19">
                  <c:v>2.75</c:v>
                </c:pt>
                <c:pt idx="20">
                  <c:v>2.8</c:v>
                </c:pt>
                <c:pt idx="21">
                  <c:v>2.85</c:v>
                </c:pt>
                <c:pt idx="22">
                  <c:v>2.9</c:v>
                </c:pt>
                <c:pt idx="23">
                  <c:v>2.95</c:v>
                </c:pt>
                <c:pt idx="24">
                  <c:v>3</c:v>
                </c:pt>
                <c:pt idx="25">
                  <c:v>3.05</c:v>
                </c:pt>
                <c:pt idx="26">
                  <c:v>3.1</c:v>
                </c:pt>
                <c:pt idx="27">
                  <c:v>3.15</c:v>
                </c:pt>
                <c:pt idx="28">
                  <c:v>3.2</c:v>
                </c:pt>
                <c:pt idx="29">
                  <c:v>3.25</c:v>
                </c:pt>
                <c:pt idx="30">
                  <c:v>3.3</c:v>
                </c:pt>
                <c:pt idx="31">
                  <c:v>3.35</c:v>
                </c:pt>
                <c:pt idx="32">
                  <c:v>3.4</c:v>
                </c:pt>
                <c:pt idx="33">
                  <c:v>3.45</c:v>
                </c:pt>
                <c:pt idx="34">
                  <c:v>3.5</c:v>
                </c:pt>
                <c:pt idx="35">
                  <c:v>3.55</c:v>
                </c:pt>
                <c:pt idx="36">
                  <c:v>3.6</c:v>
                </c:pt>
                <c:pt idx="37">
                  <c:v>3.65</c:v>
                </c:pt>
                <c:pt idx="38">
                  <c:v>3.7</c:v>
                </c:pt>
                <c:pt idx="39">
                  <c:v>3.75</c:v>
                </c:pt>
                <c:pt idx="40">
                  <c:v>3.8</c:v>
                </c:pt>
              </c:numCache>
            </c:numRef>
          </c:xVal>
          <c:yVal>
            <c:numRef>
              <c:f>'868'!$D$592:$AR$592</c:f>
              <c:numCache>
                <c:formatCode>General</c:formatCode>
                <c:ptCount val="41"/>
                <c:pt idx="0">
                  <c:v>8.5193483333333333</c:v>
                </c:pt>
                <c:pt idx="1">
                  <c:v>8.5393550000000005</c:v>
                </c:pt>
                <c:pt idx="2">
                  <c:v>8.5349986666666666</c:v>
                </c:pt>
                <c:pt idx="3">
                  <c:v>8.5231433333333335</c:v>
                </c:pt>
                <c:pt idx="4">
                  <c:v>7.985803999999999</c:v>
                </c:pt>
                <c:pt idx="5">
                  <c:v>7.5999669999999995</c:v>
                </c:pt>
                <c:pt idx="6">
                  <c:v>7.3876816666666665</c:v>
                </c:pt>
                <c:pt idx="7">
                  <c:v>7.2845893333333338</c:v>
                </c:pt>
                <c:pt idx="8">
                  <c:v>7.0891476666666664</c:v>
                </c:pt>
                <c:pt idx="9">
                  <c:v>6.9900679999999999</c:v>
                </c:pt>
                <c:pt idx="10">
                  <c:v>6.8083303333333332</c:v>
                </c:pt>
                <c:pt idx="11">
                  <c:v>6.6773983333333335</c:v>
                </c:pt>
                <c:pt idx="12">
                  <c:v>6.579457333333333</c:v>
                </c:pt>
                <c:pt idx="13">
                  <c:v>6.4314333333333336</c:v>
                </c:pt>
                <c:pt idx="14">
                  <c:v>6.3094440000000001</c:v>
                </c:pt>
                <c:pt idx="15">
                  <c:v>6.2189233333333336</c:v>
                </c:pt>
                <c:pt idx="16">
                  <c:v>6.1273519999999992</c:v>
                </c:pt>
                <c:pt idx="17">
                  <c:v>5.9534053333333334</c:v>
                </c:pt>
                <c:pt idx="18">
                  <c:v>5.872640333333333</c:v>
                </c:pt>
                <c:pt idx="19">
                  <c:v>5.7887626666666669</c:v>
                </c:pt>
                <c:pt idx="20">
                  <c:v>5.7054853333333329</c:v>
                </c:pt>
                <c:pt idx="21">
                  <c:v>5.6283286666666674</c:v>
                </c:pt>
                <c:pt idx="22">
                  <c:v>5.4742256666666664</c:v>
                </c:pt>
                <c:pt idx="23">
                  <c:v>5.413451666666667</c:v>
                </c:pt>
                <c:pt idx="24">
                  <c:v>5.3379599999999998</c:v>
                </c:pt>
                <c:pt idx="25">
                  <c:v>5.2731563333333336</c:v>
                </c:pt>
                <c:pt idx="26">
                  <c:v>5.1986546666666671</c:v>
                </c:pt>
                <c:pt idx="27">
                  <c:v>5.1217986666666659</c:v>
                </c:pt>
                <c:pt idx="28">
                  <c:v>5.014138</c:v>
                </c:pt>
                <c:pt idx="29">
                  <c:v>4.9491456666666664</c:v>
                </c:pt>
                <c:pt idx="30">
                  <c:v>4.8938946666666672</c:v>
                </c:pt>
                <c:pt idx="31">
                  <c:v>4.8338556666666657</c:v>
                </c:pt>
                <c:pt idx="32">
                  <c:v>4.7806160000000002</c:v>
                </c:pt>
                <c:pt idx="33">
                  <c:v>4.7263633333333335</c:v>
                </c:pt>
                <c:pt idx="34">
                  <c:v>4.6688106666666664</c:v>
                </c:pt>
                <c:pt idx="35">
                  <c:v>4.6100656666666673</c:v>
                </c:pt>
                <c:pt idx="36">
                  <c:v>4.5645893333333341</c:v>
                </c:pt>
                <c:pt idx="37">
                  <c:v>4.5149863333333329</c:v>
                </c:pt>
                <c:pt idx="38">
                  <c:v>4.4694906666666663</c:v>
                </c:pt>
                <c:pt idx="39">
                  <c:v>4.4180959999999994</c:v>
                </c:pt>
                <c:pt idx="40">
                  <c:v>4.3830090000000004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4800"/>
        <c:axId val="149582976"/>
      </c:scatterChart>
      <c:valAx>
        <c:axId val="14956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582976"/>
        <c:crosses val="autoZero"/>
        <c:crossBetween val="midCat"/>
      </c:valAx>
      <c:valAx>
        <c:axId val="14958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564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'868'!$C$39</c:f>
              <c:strCache>
                <c:ptCount val="1"/>
                <c:pt idx="0">
                  <c:v>avg 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35707462493114289"/>
                  <c:y val="-1.5857466969171227E-2"/>
                </c:manualLayout>
              </c:layout>
              <c:numFmt formatCode="General" sourceLinked="0"/>
            </c:trendlineLbl>
          </c:trendline>
          <c:xVal>
            <c:numRef>
              <c:f>'868'!$D$35:$AR$35</c:f>
              <c:numCache>
                <c:formatCode>General</c:formatCode>
                <c:ptCount val="41"/>
                <c:pt idx="0">
                  <c:v>1.8</c:v>
                </c:pt>
                <c:pt idx="1">
                  <c:v>1.85</c:v>
                </c:pt>
                <c:pt idx="2">
                  <c:v>1.9</c:v>
                </c:pt>
                <c:pt idx="3">
                  <c:v>1.95</c:v>
                </c:pt>
                <c:pt idx="4">
                  <c:v>2</c:v>
                </c:pt>
                <c:pt idx="5">
                  <c:v>2.0499999999999998</c:v>
                </c:pt>
                <c:pt idx="6">
                  <c:v>2.1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2.25</c:v>
                </c:pt>
                <c:pt idx="10">
                  <c:v>2.2999999999999998</c:v>
                </c:pt>
                <c:pt idx="11">
                  <c:v>2.35</c:v>
                </c:pt>
                <c:pt idx="12">
                  <c:v>2.4</c:v>
                </c:pt>
                <c:pt idx="13">
                  <c:v>2.4500000000000002</c:v>
                </c:pt>
                <c:pt idx="14">
                  <c:v>2.5</c:v>
                </c:pt>
                <c:pt idx="15">
                  <c:v>2.5499999999999998</c:v>
                </c:pt>
                <c:pt idx="16">
                  <c:v>2.6</c:v>
                </c:pt>
                <c:pt idx="17">
                  <c:v>2.65</c:v>
                </c:pt>
                <c:pt idx="18">
                  <c:v>2.7</c:v>
                </c:pt>
                <c:pt idx="19">
                  <c:v>2.75</c:v>
                </c:pt>
                <c:pt idx="20">
                  <c:v>2.8</c:v>
                </c:pt>
                <c:pt idx="21">
                  <c:v>2.85</c:v>
                </c:pt>
                <c:pt idx="22">
                  <c:v>2.9</c:v>
                </c:pt>
                <c:pt idx="23">
                  <c:v>2.95</c:v>
                </c:pt>
                <c:pt idx="24">
                  <c:v>3</c:v>
                </c:pt>
                <c:pt idx="25">
                  <c:v>3.05</c:v>
                </c:pt>
                <c:pt idx="26">
                  <c:v>3.1</c:v>
                </c:pt>
                <c:pt idx="27">
                  <c:v>3.15</c:v>
                </c:pt>
                <c:pt idx="28">
                  <c:v>3.2</c:v>
                </c:pt>
                <c:pt idx="29">
                  <c:v>3.25</c:v>
                </c:pt>
                <c:pt idx="30">
                  <c:v>3.3</c:v>
                </c:pt>
                <c:pt idx="31">
                  <c:v>3.35</c:v>
                </c:pt>
                <c:pt idx="32">
                  <c:v>3.4</c:v>
                </c:pt>
                <c:pt idx="33">
                  <c:v>3.45</c:v>
                </c:pt>
                <c:pt idx="34">
                  <c:v>3.5</c:v>
                </c:pt>
                <c:pt idx="35">
                  <c:v>3.55</c:v>
                </c:pt>
                <c:pt idx="36">
                  <c:v>3.6</c:v>
                </c:pt>
                <c:pt idx="37">
                  <c:v>3.65</c:v>
                </c:pt>
                <c:pt idx="38">
                  <c:v>3.7</c:v>
                </c:pt>
                <c:pt idx="39">
                  <c:v>3.75</c:v>
                </c:pt>
                <c:pt idx="40">
                  <c:v>3.8</c:v>
                </c:pt>
              </c:numCache>
            </c:numRef>
          </c:xVal>
          <c:yVal>
            <c:numRef>
              <c:f>'868'!$D$39:$AR$39</c:f>
              <c:numCache>
                <c:formatCode>General</c:formatCode>
                <c:ptCount val="41"/>
                <c:pt idx="0">
                  <c:v>32.734858333333335</c:v>
                </c:pt>
                <c:pt idx="1">
                  <c:v>32.739729666666669</c:v>
                </c:pt>
                <c:pt idx="2">
                  <c:v>32.73251166666666</c:v>
                </c:pt>
                <c:pt idx="3">
                  <c:v>32.738568333333326</c:v>
                </c:pt>
                <c:pt idx="4">
                  <c:v>32.71994466666667</c:v>
                </c:pt>
                <c:pt idx="5">
                  <c:v>29.315123666666665</c:v>
                </c:pt>
                <c:pt idx="6">
                  <c:v>28.651600666666667</c:v>
                </c:pt>
                <c:pt idx="7">
                  <c:v>28.105602000000001</c:v>
                </c:pt>
                <c:pt idx="8">
                  <c:v>27.328849666666667</c:v>
                </c:pt>
                <c:pt idx="9">
                  <c:v>26.932879333333332</c:v>
                </c:pt>
                <c:pt idx="10">
                  <c:v>26.286276000000001</c:v>
                </c:pt>
                <c:pt idx="11">
                  <c:v>25.737975666666667</c:v>
                </c:pt>
                <c:pt idx="12">
                  <c:v>25.352446333333333</c:v>
                </c:pt>
                <c:pt idx="13">
                  <c:v>24.743072999999999</c:v>
                </c:pt>
                <c:pt idx="14">
                  <c:v>24.256003000000003</c:v>
                </c:pt>
                <c:pt idx="15">
                  <c:v>23.913701</c:v>
                </c:pt>
                <c:pt idx="16">
                  <c:v>23.560609333333332</c:v>
                </c:pt>
                <c:pt idx="17">
                  <c:v>23.017751000000001</c:v>
                </c:pt>
                <c:pt idx="18">
                  <c:v>22.556697333333332</c:v>
                </c:pt>
                <c:pt idx="19">
                  <c:v>22.244591666666665</c:v>
                </c:pt>
                <c:pt idx="20">
                  <c:v>21.920625999999999</c:v>
                </c:pt>
                <c:pt idx="21">
                  <c:v>21.611054333333332</c:v>
                </c:pt>
                <c:pt idx="22">
                  <c:v>21.136592000000004</c:v>
                </c:pt>
                <c:pt idx="23">
                  <c:v>20.736746333333333</c:v>
                </c:pt>
                <c:pt idx="24">
                  <c:v>20.473337333333333</c:v>
                </c:pt>
                <c:pt idx="25">
                  <c:v>20.205960000000001</c:v>
                </c:pt>
                <c:pt idx="26">
                  <c:v>19.951739333333332</c:v>
                </c:pt>
                <c:pt idx="27">
                  <c:v>19.711607000000001</c:v>
                </c:pt>
                <c:pt idx="28">
                  <c:v>19.180538666666667</c:v>
                </c:pt>
                <c:pt idx="29">
                  <c:v>18.945658666666667</c:v>
                </c:pt>
                <c:pt idx="30">
                  <c:v>18.699385000000003</c:v>
                </c:pt>
                <c:pt idx="31">
                  <c:v>18.48409666666667</c:v>
                </c:pt>
                <c:pt idx="32">
                  <c:v>18.250974333333332</c:v>
                </c:pt>
                <c:pt idx="33">
                  <c:v>18.056816999999999</c:v>
                </c:pt>
                <c:pt idx="34">
                  <c:v>17.847119333333335</c:v>
                </c:pt>
                <c:pt idx="35">
                  <c:v>17.641558333333332</c:v>
                </c:pt>
                <c:pt idx="36">
                  <c:v>17.441726333333335</c:v>
                </c:pt>
                <c:pt idx="37">
                  <c:v>17.25112</c:v>
                </c:pt>
                <c:pt idx="38">
                  <c:v>17.084015666666669</c:v>
                </c:pt>
                <c:pt idx="39">
                  <c:v>16.906970333333334</c:v>
                </c:pt>
                <c:pt idx="40">
                  <c:v>16.745926666666669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5520"/>
        <c:axId val="147917056"/>
      </c:scatterChart>
      <c:valAx>
        <c:axId val="14791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917056"/>
        <c:crosses val="autoZero"/>
        <c:crossBetween val="midCat"/>
      </c:valAx>
      <c:valAx>
        <c:axId val="14791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915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'868v2'!$C$387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093328958880138"/>
                  <c:y val="-0.1901738845144357"/>
                </c:manualLayout>
              </c:layout>
              <c:numFmt formatCode="General" sourceLinked="0"/>
            </c:trendlineLbl>
          </c:trendline>
          <c:xVal>
            <c:numRef>
              <c:f>'868v2'!$B$388:$B$402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'868v2'!$C$388:$C$402</c:f>
              <c:numCache>
                <c:formatCode>General</c:formatCode>
                <c:ptCount val="15"/>
                <c:pt idx="0">
                  <c:v>18.465062333333332</c:v>
                </c:pt>
                <c:pt idx="1">
                  <c:v>17.441726333333332</c:v>
                </c:pt>
                <c:pt idx="2">
                  <c:v>16.412344999999998</c:v>
                </c:pt>
                <c:pt idx="3">
                  <c:v>14.917305666666666</c:v>
                </c:pt>
                <c:pt idx="4">
                  <c:v>13.650369333333332</c:v>
                </c:pt>
                <c:pt idx="5">
                  <c:v>12.737344999999999</c:v>
                </c:pt>
                <c:pt idx="6">
                  <c:v>11.949089333333333</c:v>
                </c:pt>
                <c:pt idx="7">
                  <c:v>11.033325999999997</c:v>
                </c:pt>
                <c:pt idx="8">
                  <c:v>10.250321666666666</c:v>
                </c:pt>
                <c:pt idx="9">
                  <c:v>9.3794079999999997</c:v>
                </c:pt>
                <c:pt idx="10">
                  <c:v>9.0686013333333335</c:v>
                </c:pt>
                <c:pt idx="11">
                  <c:v>8.3962606666666666</c:v>
                </c:pt>
                <c:pt idx="12">
                  <c:v>8.0565073333333341</c:v>
                </c:pt>
                <c:pt idx="13">
                  <c:v>7.6946593333333331</c:v>
                </c:pt>
                <c:pt idx="14">
                  <c:v>7.3509553333333324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19680"/>
        <c:axId val="149725568"/>
      </c:scatterChart>
      <c:valAx>
        <c:axId val="14971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725568"/>
        <c:crosses val="autoZero"/>
        <c:crossBetween val="midCat"/>
      </c:valAx>
      <c:valAx>
        <c:axId val="1497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19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'868v2'!$C$387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0479943132108487"/>
                  <c:y val="-0.26980334354757379"/>
                </c:manualLayout>
              </c:layout>
              <c:numFmt formatCode="General" sourceLinked="0"/>
            </c:trendlineLbl>
          </c:trendline>
          <c:xVal>
            <c:numRef>
              <c:f>'868v2'!$B$402:$B$406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'868v2'!$C$402:$C$406</c:f>
              <c:numCache>
                <c:formatCode>General</c:formatCode>
                <c:ptCount val="5"/>
                <c:pt idx="0">
                  <c:v>7.3509553333333324</c:v>
                </c:pt>
                <c:pt idx="1">
                  <c:v>5.8582426666666665</c:v>
                </c:pt>
                <c:pt idx="2">
                  <c:v>5.118152666666667</c:v>
                </c:pt>
                <c:pt idx="3">
                  <c:v>4.7838413333333332</c:v>
                </c:pt>
                <c:pt idx="4">
                  <c:v>4.5645893333333332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51072"/>
        <c:axId val="148052608"/>
      </c:scatterChart>
      <c:valAx>
        <c:axId val="14805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052608"/>
        <c:crosses val="autoZero"/>
        <c:crossBetween val="midCat"/>
      </c:valAx>
      <c:valAx>
        <c:axId val="14805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51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897222222222218"/>
          <c:y val="3.86473429951690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'868v2'!$Q$387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7.4723159605049369E-2"/>
                  <c:y val="-0.33882612499524517"/>
                </c:manualLayout>
              </c:layout>
              <c:numFmt formatCode="General" sourceLinked="0"/>
            </c:trendlineLbl>
          </c:trendline>
          <c:xVal>
            <c:numRef>
              <c:f>'868v2'!$P$388:$P$402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'868v2'!$Q$388:$Q$402</c:f>
              <c:numCache>
                <c:formatCode>General</c:formatCode>
                <c:ptCount val="15"/>
                <c:pt idx="0">
                  <c:v>24.2</c:v>
                </c:pt>
                <c:pt idx="1">
                  <c:v>17.600000000000001</c:v>
                </c:pt>
                <c:pt idx="2">
                  <c:v>16.399999999999999</c:v>
                </c:pt>
                <c:pt idx="3">
                  <c:v>14.9</c:v>
                </c:pt>
                <c:pt idx="4">
                  <c:v>13.5</c:v>
                </c:pt>
                <c:pt idx="5">
                  <c:v>12.7</c:v>
                </c:pt>
                <c:pt idx="6">
                  <c:v>11.9</c:v>
                </c:pt>
                <c:pt idx="7">
                  <c:v>11</c:v>
                </c:pt>
                <c:pt idx="8">
                  <c:v>10.199999999999999</c:v>
                </c:pt>
                <c:pt idx="9">
                  <c:v>9.3000000000000007</c:v>
                </c:pt>
                <c:pt idx="10">
                  <c:v>9</c:v>
                </c:pt>
                <c:pt idx="11">
                  <c:v>8.3000000000000007</c:v>
                </c:pt>
                <c:pt idx="12">
                  <c:v>8</c:v>
                </c:pt>
                <c:pt idx="13">
                  <c:v>7.6</c:v>
                </c:pt>
                <c:pt idx="14">
                  <c:v>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65664"/>
        <c:axId val="148075648"/>
      </c:scatterChart>
      <c:valAx>
        <c:axId val="14806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075648"/>
        <c:crosses val="autoZero"/>
        <c:crossBetween val="midCat"/>
      </c:valAx>
      <c:valAx>
        <c:axId val="14807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65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'868v2'!$Q$387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"/>
                  <c:y val="-0.29133020606466747"/>
                </c:manualLayout>
              </c:layout>
              <c:numFmt formatCode="General" sourceLinked="0"/>
            </c:trendlineLbl>
          </c:trendline>
          <c:xVal>
            <c:numRef>
              <c:f>'868v2'!$P$402:$P$406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'868v2'!$Q$402:$Q$406</c:f>
              <c:numCache>
                <c:formatCode>General</c:formatCode>
                <c:ptCount val="5"/>
                <c:pt idx="0">
                  <c:v>7.3</c:v>
                </c:pt>
                <c:pt idx="1">
                  <c:v>5.8</c:v>
                </c:pt>
                <c:pt idx="2">
                  <c:v>5.0999999999999996</c:v>
                </c:pt>
                <c:pt idx="3">
                  <c:v>4.8</c:v>
                </c:pt>
                <c:pt idx="4">
                  <c:v>4.5999999999999996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00992"/>
        <c:axId val="148102528"/>
      </c:scatterChart>
      <c:valAx>
        <c:axId val="1481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102528"/>
        <c:crosses val="autoZero"/>
        <c:crossBetween val="midCat"/>
      </c:valAx>
      <c:valAx>
        <c:axId val="14810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00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286111111111109"/>
          <c:y val="3.827751196172248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'868v2'!$C$411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926662292213474"/>
                  <c:y val="-0.26205779301510757"/>
                </c:manualLayout>
              </c:layout>
              <c:numFmt formatCode="General" sourceLinked="0"/>
            </c:trendlineLbl>
          </c:trendline>
          <c:xVal>
            <c:numRef>
              <c:f>'868v2'!$B$412:$B$426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'868v2'!$C$412:$C$426</c:f>
              <c:numCache>
                <c:formatCode>General</c:formatCode>
                <c:ptCount val="15"/>
                <c:pt idx="0">
                  <c:v>18.000882666666666</c:v>
                </c:pt>
                <c:pt idx="1">
                  <c:v>17.024152666666669</c:v>
                </c:pt>
                <c:pt idx="2">
                  <c:v>16.032515333333333</c:v>
                </c:pt>
                <c:pt idx="3">
                  <c:v>14.537094666666666</c:v>
                </c:pt>
                <c:pt idx="4">
                  <c:v>13.312048333333335</c:v>
                </c:pt>
                <c:pt idx="5">
                  <c:v>12.422448000000001</c:v>
                </c:pt>
                <c:pt idx="6">
                  <c:v>11.653011333333334</c:v>
                </c:pt>
                <c:pt idx="7">
                  <c:v>10.764873666666666</c:v>
                </c:pt>
                <c:pt idx="8">
                  <c:v>10.003240666666667</c:v>
                </c:pt>
                <c:pt idx="9">
                  <c:v>9.1541110000000003</c:v>
                </c:pt>
                <c:pt idx="10">
                  <c:v>8.8440309999999993</c:v>
                </c:pt>
                <c:pt idx="11">
                  <c:v>8.1904210000000006</c:v>
                </c:pt>
                <c:pt idx="12">
                  <c:v>7.8547556666666667</c:v>
                </c:pt>
                <c:pt idx="13">
                  <c:v>7.5119443333333331</c:v>
                </c:pt>
                <c:pt idx="14">
                  <c:v>7.1765839999999992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20480"/>
        <c:axId val="150022016"/>
      </c:scatterChart>
      <c:valAx>
        <c:axId val="15002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022016"/>
        <c:crosses val="autoZero"/>
        <c:crossBetween val="midCat"/>
      </c:valAx>
      <c:valAx>
        <c:axId val="15002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20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'868v2'!$C$411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9646609798775151"/>
                  <c:y val="-0.26448432524614623"/>
                </c:manualLayout>
              </c:layout>
              <c:numFmt formatCode="General" sourceLinked="0"/>
            </c:trendlineLbl>
          </c:trendline>
          <c:xVal>
            <c:numRef>
              <c:f>'868v2'!$B$426:$B$430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'868v2'!$C$426:$C$430</c:f>
              <c:numCache>
                <c:formatCode>General</c:formatCode>
                <c:ptCount val="5"/>
                <c:pt idx="0">
                  <c:v>7.1765839999999992</c:v>
                </c:pt>
                <c:pt idx="1">
                  <c:v>5.7192633333333331</c:v>
                </c:pt>
                <c:pt idx="2">
                  <c:v>4.9973086666666662</c:v>
                </c:pt>
                <c:pt idx="3">
                  <c:v>4.670339666666667</c:v>
                </c:pt>
                <c:pt idx="4">
                  <c:v>4.4557966666666671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39552"/>
        <c:axId val="150057728"/>
      </c:scatterChart>
      <c:valAx>
        <c:axId val="15003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057728"/>
        <c:crosses val="autoZero"/>
        <c:crossBetween val="midCat"/>
      </c:valAx>
      <c:valAx>
        <c:axId val="15005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39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'868v2'!$C$435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093328958880138"/>
                  <c:y val="-0.24461695809150616"/>
                </c:manualLayout>
              </c:layout>
              <c:numFmt formatCode="General" sourceLinked="0"/>
            </c:trendlineLbl>
          </c:trendline>
          <c:xVal>
            <c:numRef>
              <c:f>'868v2'!$B$436:$B$450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'868v2'!$C$436:$C$450</c:f>
              <c:numCache>
                <c:formatCode>General</c:formatCode>
                <c:ptCount val="15"/>
                <c:pt idx="0">
                  <c:v>17.68393833333333</c:v>
                </c:pt>
                <c:pt idx="1">
                  <c:v>16.745926666666666</c:v>
                </c:pt>
                <c:pt idx="2">
                  <c:v>15.755603666666666</c:v>
                </c:pt>
                <c:pt idx="3">
                  <c:v>14.294899333333333</c:v>
                </c:pt>
                <c:pt idx="4">
                  <c:v>13.090558333333334</c:v>
                </c:pt>
                <c:pt idx="5">
                  <c:v>12.221234999999998</c:v>
                </c:pt>
                <c:pt idx="6">
                  <c:v>11.465501333333334</c:v>
                </c:pt>
                <c:pt idx="7">
                  <c:v>10.594182333333334</c:v>
                </c:pt>
                <c:pt idx="8">
                  <c:v>9.8418673333333331</c:v>
                </c:pt>
                <c:pt idx="9">
                  <c:v>9.0069643333333342</c:v>
                </c:pt>
                <c:pt idx="10">
                  <c:v>8.7062860000000004</c:v>
                </c:pt>
                <c:pt idx="11">
                  <c:v>8.0611673333333318</c:v>
                </c:pt>
                <c:pt idx="12">
                  <c:v>7.7255250000000002</c:v>
                </c:pt>
                <c:pt idx="13">
                  <c:v>7.3862036666666668</c:v>
                </c:pt>
                <c:pt idx="14">
                  <c:v>7.0555563333333327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44128"/>
        <c:axId val="150145664"/>
      </c:scatterChart>
      <c:valAx>
        <c:axId val="15014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145664"/>
        <c:crosses val="autoZero"/>
        <c:crossBetween val="midCat"/>
      </c:valAx>
      <c:valAx>
        <c:axId val="15014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144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'868v2'!$C$435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5910542432196"/>
                  <c:y val="-0.28575799682793662"/>
                </c:manualLayout>
              </c:layout>
              <c:numFmt formatCode="General" sourceLinked="0"/>
            </c:trendlineLbl>
          </c:trendline>
          <c:xVal>
            <c:numRef>
              <c:f>'868v2'!$B$450:$B$454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'868v2'!$C$450:$C$454</c:f>
              <c:numCache>
                <c:formatCode>General</c:formatCode>
                <c:ptCount val="5"/>
                <c:pt idx="0">
                  <c:v>7.0555563333333327</c:v>
                </c:pt>
                <c:pt idx="1">
                  <c:v>5.6215070000000003</c:v>
                </c:pt>
                <c:pt idx="2">
                  <c:v>4.914880666666666</c:v>
                </c:pt>
                <c:pt idx="3">
                  <c:v>4.5965036666666661</c:v>
                </c:pt>
                <c:pt idx="4">
                  <c:v>4.3830090000000004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83296"/>
        <c:axId val="150189184"/>
      </c:scatterChart>
      <c:valAx>
        <c:axId val="15018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189184"/>
        <c:crosses val="autoZero"/>
        <c:crossBetween val="midCat"/>
      </c:valAx>
      <c:valAx>
        <c:axId val="15018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183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'868v2'!$C$363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4240551181102363"/>
                  <c:y val="-0.2513706209259054"/>
                </c:manualLayout>
              </c:layout>
              <c:numFmt formatCode="General" sourceLinked="0"/>
            </c:trendlineLbl>
          </c:trendline>
          <c:xVal>
            <c:numRef>
              <c:f>'868v2'!$B$364:$B$378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'868v2'!$C$364:$C$378</c:f>
              <c:numCache>
                <c:formatCode>General</c:formatCode>
                <c:ptCount val="15"/>
                <c:pt idx="0">
                  <c:v>18.879956333333336</c:v>
                </c:pt>
                <c:pt idx="1">
                  <c:v>17.847119333333335</c:v>
                </c:pt>
                <c:pt idx="2">
                  <c:v>16.794097666666666</c:v>
                </c:pt>
                <c:pt idx="3">
                  <c:v>15.262153666666668</c:v>
                </c:pt>
                <c:pt idx="4">
                  <c:v>13.968011333333331</c:v>
                </c:pt>
                <c:pt idx="5">
                  <c:v>13.028790666666666</c:v>
                </c:pt>
                <c:pt idx="6">
                  <c:v>12.221636666666667</c:v>
                </c:pt>
                <c:pt idx="7">
                  <c:v>11.288220333333333</c:v>
                </c:pt>
                <c:pt idx="8">
                  <c:v>10.483440666666667</c:v>
                </c:pt>
                <c:pt idx="9">
                  <c:v>9.5900256666666674</c:v>
                </c:pt>
                <c:pt idx="10">
                  <c:v>9.2711439999999996</c:v>
                </c:pt>
                <c:pt idx="11">
                  <c:v>8.5875350000000008</c:v>
                </c:pt>
                <c:pt idx="12">
                  <c:v>8.2324616666666657</c:v>
                </c:pt>
                <c:pt idx="13">
                  <c:v>7.8689123333333342</c:v>
                </c:pt>
                <c:pt idx="14">
                  <c:v>7.5215330000000007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18624"/>
        <c:axId val="150220160"/>
      </c:scatterChart>
      <c:valAx>
        <c:axId val="15021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220160"/>
        <c:crosses val="autoZero"/>
        <c:crossBetween val="midCat"/>
      </c:valAx>
      <c:valAx>
        <c:axId val="1502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218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'868v2'!$C$363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03549868766404"/>
                  <c:y val="-0.29684345012429003"/>
                </c:manualLayout>
              </c:layout>
              <c:numFmt formatCode="General" sourceLinked="0"/>
            </c:trendlineLbl>
          </c:trendline>
          <c:xVal>
            <c:numRef>
              <c:f>'868v2'!$B$378:$B$382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'868v2'!$C$378:$C$382</c:f>
              <c:numCache>
                <c:formatCode>General</c:formatCode>
                <c:ptCount val="5"/>
                <c:pt idx="0">
                  <c:v>7.5215330000000007</c:v>
                </c:pt>
                <c:pt idx="1">
                  <c:v>5.9902896666666665</c:v>
                </c:pt>
                <c:pt idx="2">
                  <c:v>5.2336186666666666</c:v>
                </c:pt>
                <c:pt idx="3">
                  <c:v>4.8930463333333334</c:v>
                </c:pt>
                <c:pt idx="4">
                  <c:v>4.6688106666666664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1664"/>
        <c:axId val="150243200"/>
      </c:scatterChart>
      <c:valAx>
        <c:axId val="15024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243200"/>
        <c:crosses val="autoZero"/>
        <c:crossBetween val="midCat"/>
      </c:valAx>
      <c:valAx>
        <c:axId val="15024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241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'868'!$C$72</c:f>
              <c:strCache>
                <c:ptCount val="1"/>
                <c:pt idx="0">
                  <c:v>avg 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33985251843519559"/>
                  <c:y val="7.9789138408438903E-2"/>
                </c:manualLayout>
              </c:layout>
              <c:numFmt formatCode="General" sourceLinked="0"/>
            </c:trendlineLbl>
          </c:trendline>
          <c:xVal>
            <c:numRef>
              <c:f>'868'!$D$68:$AR$68</c:f>
              <c:numCache>
                <c:formatCode>General</c:formatCode>
                <c:ptCount val="41"/>
                <c:pt idx="0">
                  <c:v>1.8</c:v>
                </c:pt>
                <c:pt idx="1">
                  <c:v>1.85</c:v>
                </c:pt>
                <c:pt idx="2">
                  <c:v>1.9</c:v>
                </c:pt>
                <c:pt idx="3">
                  <c:v>1.95</c:v>
                </c:pt>
                <c:pt idx="4">
                  <c:v>2</c:v>
                </c:pt>
                <c:pt idx="5">
                  <c:v>2.0499999999999998</c:v>
                </c:pt>
                <c:pt idx="6">
                  <c:v>2.1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2.25</c:v>
                </c:pt>
                <c:pt idx="10">
                  <c:v>2.2999999999999998</c:v>
                </c:pt>
                <c:pt idx="11">
                  <c:v>2.35</c:v>
                </c:pt>
                <c:pt idx="12">
                  <c:v>2.4</c:v>
                </c:pt>
                <c:pt idx="13">
                  <c:v>2.4500000000000002</c:v>
                </c:pt>
                <c:pt idx="14">
                  <c:v>2.5</c:v>
                </c:pt>
                <c:pt idx="15">
                  <c:v>2.5499999999999998</c:v>
                </c:pt>
                <c:pt idx="16">
                  <c:v>2.6</c:v>
                </c:pt>
                <c:pt idx="17">
                  <c:v>2.65</c:v>
                </c:pt>
                <c:pt idx="18">
                  <c:v>2.7</c:v>
                </c:pt>
                <c:pt idx="19">
                  <c:v>2.75</c:v>
                </c:pt>
                <c:pt idx="20">
                  <c:v>2.8</c:v>
                </c:pt>
                <c:pt idx="21">
                  <c:v>2.85</c:v>
                </c:pt>
                <c:pt idx="22">
                  <c:v>2.9</c:v>
                </c:pt>
                <c:pt idx="23">
                  <c:v>2.95</c:v>
                </c:pt>
                <c:pt idx="24">
                  <c:v>3</c:v>
                </c:pt>
                <c:pt idx="25">
                  <c:v>3.05</c:v>
                </c:pt>
                <c:pt idx="26">
                  <c:v>3.1</c:v>
                </c:pt>
                <c:pt idx="27">
                  <c:v>3.15</c:v>
                </c:pt>
                <c:pt idx="28">
                  <c:v>3.2</c:v>
                </c:pt>
                <c:pt idx="29">
                  <c:v>3.25</c:v>
                </c:pt>
                <c:pt idx="30">
                  <c:v>3.3</c:v>
                </c:pt>
                <c:pt idx="31">
                  <c:v>3.35</c:v>
                </c:pt>
                <c:pt idx="32">
                  <c:v>3.4</c:v>
                </c:pt>
                <c:pt idx="33">
                  <c:v>3.45</c:v>
                </c:pt>
                <c:pt idx="34">
                  <c:v>3.5</c:v>
                </c:pt>
                <c:pt idx="35">
                  <c:v>3.55</c:v>
                </c:pt>
                <c:pt idx="36">
                  <c:v>3.6</c:v>
                </c:pt>
                <c:pt idx="37">
                  <c:v>3.65</c:v>
                </c:pt>
                <c:pt idx="38">
                  <c:v>3.7</c:v>
                </c:pt>
                <c:pt idx="39">
                  <c:v>3.75</c:v>
                </c:pt>
                <c:pt idx="40">
                  <c:v>3.8</c:v>
                </c:pt>
              </c:numCache>
            </c:numRef>
          </c:xVal>
          <c:yVal>
            <c:numRef>
              <c:f>'868'!$D$72:$AR$72</c:f>
              <c:numCache>
                <c:formatCode>General</c:formatCode>
                <c:ptCount val="41"/>
                <c:pt idx="0">
                  <c:v>30.690391000000002</c:v>
                </c:pt>
                <c:pt idx="1">
                  <c:v>30.684126000000003</c:v>
                </c:pt>
                <c:pt idx="2">
                  <c:v>30.674154666666666</c:v>
                </c:pt>
                <c:pt idx="3">
                  <c:v>30.683615000000003</c:v>
                </c:pt>
                <c:pt idx="4">
                  <c:v>30.664769333333336</c:v>
                </c:pt>
                <c:pt idx="5">
                  <c:v>27.457072666666665</c:v>
                </c:pt>
                <c:pt idx="6">
                  <c:v>26.702331333333333</c:v>
                </c:pt>
                <c:pt idx="7">
                  <c:v>26.310574666666668</c:v>
                </c:pt>
                <c:pt idx="8">
                  <c:v>25.578404333333335</c:v>
                </c:pt>
                <c:pt idx="9">
                  <c:v>25.237384333333335</c:v>
                </c:pt>
                <c:pt idx="10">
                  <c:v>24.733773333333332</c:v>
                </c:pt>
                <c:pt idx="11">
                  <c:v>24.107235666666668</c:v>
                </c:pt>
                <c:pt idx="12">
                  <c:v>23.790565666666666</c:v>
                </c:pt>
                <c:pt idx="13">
                  <c:v>23.177946666666667</c:v>
                </c:pt>
                <c:pt idx="14">
                  <c:v>22.752510000000001</c:v>
                </c:pt>
                <c:pt idx="15">
                  <c:v>22.422793333333331</c:v>
                </c:pt>
                <c:pt idx="16">
                  <c:v>22.092990333333336</c:v>
                </c:pt>
                <c:pt idx="17">
                  <c:v>21.608767999999998</c:v>
                </c:pt>
                <c:pt idx="18">
                  <c:v>21.17949066666667</c:v>
                </c:pt>
                <c:pt idx="19">
                  <c:v>20.876359333333333</c:v>
                </c:pt>
                <c:pt idx="20">
                  <c:v>20.583049666666664</c:v>
                </c:pt>
                <c:pt idx="21">
                  <c:v>20.30188866666667</c:v>
                </c:pt>
                <c:pt idx="22">
                  <c:v>19.844711666666665</c:v>
                </c:pt>
                <c:pt idx="23">
                  <c:v>19.474254999999999</c:v>
                </c:pt>
                <c:pt idx="24">
                  <c:v>19.239754666666666</c:v>
                </c:pt>
                <c:pt idx="25">
                  <c:v>18.994465333333334</c:v>
                </c:pt>
                <c:pt idx="26">
                  <c:v>18.746918666666669</c:v>
                </c:pt>
                <c:pt idx="27">
                  <c:v>18.519384333333335</c:v>
                </c:pt>
                <c:pt idx="28">
                  <c:v>18.026276333333332</c:v>
                </c:pt>
                <c:pt idx="29">
                  <c:v>17.801256666666667</c:v>
                </c:pt>
                <c:pt idx="30">
                  <c:v>17.575948</c:v>
                </c:pt>
                <c:pt idx="31">
                  <c:v>17.371086999999999</c:v>
                </c:pt>
                <c:pt idx="32">
                  <c:v>17.152488000000002</c:v>
                </c:pt>
                <c:pt idx="33">
                  <c:v>16.992168666666668</c:v>
                </c:pt>
                <c:pt idx="34">
                  <c:v>16.794097666666662</c:v>
                </c:pt>
                <c:pt idx="35">
                  <c:v>16.598685333333332</c:v>
                </c:pt>
                <c:pt idx="36">
                  <c:v>16.412344999999998</c:v>
                </c:pt>
                <c:pt idx="37">
                  <c:v>16.228538</c:v>
                </c:pt>
                <c:pt idx="38">
                  <c:v>16.091545666666665</c:v>
                </c:pt>
                <c:pt idx="39">
                  <c:v>15.911248333333333</c:v>
                </c:pt>
                <c:pt idx="40">
                  <c:v>15.755603666666666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51616"/>
        <c:axId val="147953152"/>
      </c:scatterChart>
      <c:valAx>
        <c:axId val="14795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953152"/>
        <c:crosses val="autoZero"/>
        <c:crossBetween val="midCat"/>
      </c:valAx>
      <c:valAx>
        <c:axId val="14795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951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'868v2'!$C$339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093328958880138"/>
                  <c:y val="-0.26080989876265465"/>
                </c:manualLayout>
              </c:layout>
              <c:numFmt formatCode="General" sourceLinked="0"/>
            </c:trendlineLbl>
          </c:trendline>
          <c:xVal>
            <c:numRef>
              <c:f>'868v2'!$B$340:$B$354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'868v2'!$C$340:$C$354</c:f>
              <c:numCache>
                <c:formatCode>General</c:formatCode>
                <c:ptCount val="15"/>
                <c:pt idx="0">
                  <c:v>19.330591333333334</c:v>
                </c:pt>
                <c:pt idx="1">
                  <c:v>18.250974333333335</c:v>
                </c:pt>
                <c:pt idx="2">
                  <c:v>17.152488000000002</c:v>
                </c:pt>
                <c:pt idx="3">
                  <c:v>15.618146333333334</c:v>
                </c:pt>
                <c:pt idx="4">
                  <c:v>14.295427000000002</c:v>
                </c:pt>
                <c:pt idx="5">
                  <c:v>13.337869</c:v>
                </c:pt>
                <c:pt idx="6">
                  <c:v>12.509846333333334</c:v>
                </c:pt>
                <c:pt idx="7">
                  <c:v>11.561268333333333</c:v>
                </c:pt>
                <c:pt idx="8">
                  <c:v>10.736245666666667</c:v>
                </c:pt>
                <c:pt idx="9">
                  <c:v>9.8255056666666665</c:v>
                </c:pt>
                <c:pt idx="10">
                  <c:v>9.497656666666666</c:v>
                </c:pt>
                <c:pt idx="11">
                  <c:v>8.7989053333333338</c:v>
                </c:pt>
                <c:pt idx="12">
                  <c:v>8.4378443333333326</c:v>
                </c:pt>
                <c:pt idx="13">
                  <c:v>8.0609926666666674</c:v>
                </c:pt>
                <c:pt idx="14">
                  <c:v>7.698560333333333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8864"/>
        <c:axId val="154562944"/>
      </c:scatterChart>
      <c:valAx>
        <c:axId val="15454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562944"/>
        <c:crosses val="autoZero"/>
        <c:crossBetween val="midCat"/>
      </c:valAx>
      <c:valAx>
        <c:axId val="15456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48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'868v2'!$C$339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5910542432196"/>
                  <c:y val="-0.27422848459732008"/>
                </c:manualLayout>
              </c:layout>
              <c:numFmt formatCode="General" sourceLinked="0"/>
            </c:trendlineLbl>
          </c:trendline>
          <c:xVal>
            <c:numRef>
              <c:f>'868v2'!$B$354:$B$358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'868v2'!$C$354:$C$358</c:f>
              <c:numCache>
                <c:formatCode>General</c:formatCode>
                <c:ptCount val="5"/>
                <c:pt idx="0">
                  <c:v>7.698560333333333</c:v>
                </c:pt>
                <c:pt idx="1">
                  <c:v>6.1279539999999999</c:v>
                </c:pt>
                <c:pt idx="2">
                  <c:v>5.358820333333334</c:v>
                </c:pt>
                <c:pt idx="3">
                  <c:v>5.010943666666666</c:v>
                </c:pt>
                <c:pt idx="4">
                  <c:v>4.7806160000000011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76000"/>
        <c:axId val="154577536"/>
      </c:scatterChart>
      <c:valAx>
        <c:axId val="15457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577536"/>
        <c:crosses val="autoZero"/>
        <c:crossBetween val="midCat"/>
      </c:valAx>
      <c:valAx>
        <c:axId val="15457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76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'868v2'!$C$315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3426662292213472"/>
                  <c:y val="-0.25922095558950653"/>
                </c:manualLayout>
              </c:layout>
              <c:numFmt formatCode="General" sourceLinked="0"/>
            </c:trendlineLbl>
          </c:trendline>
          <c:xVal>
            <c:numRef>
              <c:f>'868v2'!$B$316:$B$330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'868v2'!$C$316:$C$330</c:f>
              <c:numCache>
                <c:formatCode>General</c:formatCode>
                <c:ptCount val="15"/>
                <c:pt idx="0">
                  <c:v>19.808617666666667</c:v>
                </c:pt>
                <c:pt idx="1">
                  <c:v>18.699384999999999</c:v>
                </c:pt>
                <c:pt idx="2">
                  <c:v>17.575948</c:v>
                </c:pt>
                <c:pt idx="3">
                  <c:v>15.997381333333335</c:v>
                </c:pt>
                <c:pt idx="4">
                  <c:v>14.644425</c:v>
                </c:pt>
                <c:pt idx="5">
                  <c:v>13.662933666666667</c:v>
                </c:pt>
                <c:pt idx="6">
                  <c:v>12.815648000000001</c:v>
                </c:pt>
                <c:pt idx="7">
                  <c:v>11.839997666666667</c:v>
                </c:pt>
                <c:pt idx="8">
                  <c:v>10.995005666666666</c:v>
                </c:pt>
                <c:pt idx="9">
                  <c:v>10.055736333333334</c:v>
                </c:pt>
                <c:pt idx="10">
                  <c:v>9.7249056666666664</c:v>
                </c:pt>
                <c:pt idx="11">
                  <c:v>8.9967353333333335</c:v>
                </c:pt>
                <c:pt idx="12">
                  <c:v>8.6300973333333335</c:v>
                </c:pt>
                <c:pt idx="13">
                  <c:v>8.2475246666666653</c:v>
                </c:pt>
                <c:pt idx="14">
                  <c:v>7.8822563333333333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65312"/>
        <c:axId val="154371200"/>
      </c:scatterChart>
      <c:valAx>
        <c:axId val="1543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371200"/>
        <c:crosses val="autoZero"/>
        <c:crossBetween val="midCat"/>
      </c:valAx>
      <c:valAx>
        <c:axId val="15437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65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'868v2'!$C$315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0479943132108487"/>
                  <c:y val="-0.25512602381988686"/>
                </c:manualLayout>
              </c:layout>
              <c:numFmt formatCode="General" sourceLinked="0"/>
            </c:trendlineLbl>
          </c:trendline>
          <c:xVal>
            <c:numRef>
              <c:f>'868v2'!$B$330:$B$334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'868v2'!$C$330:$C$334</c:f>
              <c:numCache>
                <c:formatCode>General</c:formatCode>
                <c:ptCount val="5"/>
                <c:pt idx="0">
                  <c:v>7.8822563333333333</c:v>
                </c:pt>
                <c:pt idx="1">
                  <c:v>6.276647333333333</c:v>
                </c:pt>
                <c:pt idx="2">
                  <c:v>5.4876590000000007</c:v>
                </c:pt>
                <c:pt idx="3">
                  <c:v>5.1305020000000008</c:v>
                </c:pt>
                <c:pt idx="4">
                  <c:v>4.8938946666666663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92448"/>
        <c:axId val="154393984"/>
      </c:scatterChart>
      <c:valAx>
        <c:axId val="1543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393984"/>
        <c:crosses val="autoZero"/>
        <c:crossBetween val="midCat"/>
      </c:valAx>
      <c:valAx>
        <c:axId val="15439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9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'868v2'!$C$291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283221784776903"/>
                  <c:y val="-0.2738503937007874"/>
                </c:manualLayout>
              </c:layout>
              <c:numFmt formatCode="General" sourceLinked="0"/>
            </c:trendlineLbl>
          </c:trendline>
          <c:xVal>
            <c:numRef>
              <c:f>'868v2'!$B$292:$B$306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'868v2'!$C$292:$C$306</c:f>
              <c:numCache>
                <c:formatCode>General</c:formatCode>
                <c:ptCount val="15"/>
                <c:pt idx="0">
                  <c:v>20.407627000000002</c:v>
                </c:pt>
                <c:pt idx="1">
                  <c:v>19.180538666666667</c:v>
                </c:pt>
                <c:pt idx="2">
                  <c:v>18.026276333333332</c:v>
                </c:pt>
                <c:pt idx="3">
                  <c:v>16.399183666666669</c:v>
                </c:pt>
                <c:pt idx="4">
                  <c:v>15.017227</c:v>
                </c:pt>
                <c:pt idx="5">
                  <c:v>14.006330666666665</c:v>
                </c:pt>
                <c:pt idx="6">
                  <c:v>13.145580333333333</c:v>
                </c:pt>
                <c:pt idx="7">
                  <c:v>12.141953000000001</c:v>
                </c:pt>
                <c:pt idx="8">
                  <c:v>11.268817333333333</c:v>
                </c:pt>
                <c:pt idx="9">
                  <c:v>10.315300333333335</c:v>
                </c:pt>
                <c:pt idx="10">
                  <c:v>9.962673333333333</c:v>
                </c:pt>
                <c:pt idx="11">
                  <c:v>9.2278529999999996</c:v>
                </c:pt>
                <c:pt idx="12">
                  <c:v>8.8471680000000017</c:v>
                </c:pt>
                <c:pt idx="13">
                  <c:v>8.4588313333333343</c:v>
                </c:pt>
                <c:pt idx="14">
                  <c:v>8.083613999999999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88512"/>
        <c:axId val="154290048"/>
      </c:scatterChart>
      <c:valAx>
        <c:axId val="15428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290048"/>
        <c:crosses val="autoZero"/>
        <c:crossBetween val="midCat"/>
      </c:valAx>
      <c:valAx>
        <c:axId val="15429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88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'868v2'!$C$291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0757720909886264"/>
                  <c:y val="-0.26718372703412074"/>
                </c:manualLayout>
              </c:layout>
              <c:numFmt formatCode="General" sourceLinked="0"/>
            </c:trendlineLbl>
          </c:trendline>
          <c:xVal>
            <c:numRef>
              <c:f>'868v2'!$B$306:$B$310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'868v2'!$C$306:$C$310</c:f>
              <c:numCache>
                <c:formatCode>General</c:formatCode>
                <c:ptCount val="5"/>
                <c:pt idx="0">
                  <c:v>8.083613999999999</c:v>
                </c:pt>
                <c:pt idx="1">
                  <c:v>6.4351966666666671</c:v>
                </c:pt>
                <c:pt idx="2">
                  <c:v>5.6296986666666662</c:v>
                </c:pt>
                <c:pt idx="3">
                  <c:v>5.2572723333333329</c:v>
                </c:pt>
                <c:pt idx="4">
                  <c:v>5.014138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35872"/>
        <c:axId val="154403200"/>
      </c:scatterChart>
      <c:valAx>
        <c:axId val="15433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403200"/>
        <c:crosses val="autoZero"/>
        <c:crossBetween val="midCat"/>
      </c:valAx>
      <c:valAx>
        <c:axId val="15440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35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'868v2'!$C$267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093328958880138"/>
                  <c:y val="-0.23724335859886672"/>
                </c:manualLayout>
              </c:layout>
              <c:numFmt formatCode="General" sourceLinked="0"/>
            </c:trendlineLbl>
          </c:trendline>
          <c:xVal>
            <c:numRef>
              <c:f>'868v2'!$B$268:$B$282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'868v2'!$C$268:$C$282</c:f>
              <c:numCache>
                <c:formatCode>General</c:formatCode>
                <c:ptCount val="15"/>
                <c:pt idx="0">
                  <c:v>21.124721999999998</c:v>
                </c:pt>
                <c:pt idx="1">
                  <c:v>19.951739333333332</c:v>
                </c:pt>
                <c:pt idx="2">
                  <c:v>18.746918666666666</c:v>
                </c:pt>
                <c:pt idx="3">
                  <c:v>17.059552666666665</c:v>
                </c:pt>
                <c:pt idx="4">
                  <c:v>15.610906333333332</c:v>
                </c:pt>
                <c:pt idx="5">
                  <c:v>14.561148333333334</c:v>
                </c:pt>
                <c:pt idx="6">
                  <c:v>13.655964333333332</c:v>
                </c:pt>
                <c:pt idx="7">
                  <c:v>12.605503666666669</c:v>
                </c:pt>
                <c:pt idx="8">
                  <c:v>11.706249</c:v>
                </c:pt>
                <c:pt idx="9">
                  <c:v>10.711290666666665</c:v>
                </c:pt>
                <c:pt idx="10">
                  <c:v>10.351469</c:v>
                </c:pt>
                <c:pt idx="11">
                  <c:v>9.5843013333333342</c:v>
                </c:pt>
                <c:pt idx="12">
                  <c:v>9.1922456666666665</c:v>
                </c:pt>
                <c:pt idx="13">
                  <c:v>8.790974666666667</c:v>
                </c:pt>
                <c:pt idx="14">
                  <c:v>8.3881023333333342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28544"/>
        <c:axId val="154430080"/>
      </c:scatterChart>
      <c:valAx>
        <c:axId val="1544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430080"/>
        <c:crosses val="autoZero"/>
        <c:crossBetween val="midCat"/>
      </c:valAx>
      <c:valAx>
        <c:axId val="15443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28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'868v2'!$C$267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5910542432196"/>
                  <c:y val="-0.28471809876224491"/>
                </c:manualLayout>
              </c:layout>
              <c:numFmt formatCode="General" sourceLinked="0"/>
            </c:trendlineLbl>
          </c:trendline>
          <c:xVal>
            <c:numRef>
              <c:f>'868v2'!$B$282:$B$286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'868v2'!$C$282:$C$286</c:f>
              <c:numCache>
                <c:formatCode>General</c:formatCode>
                <c:ptCount val="5"/>
                <c:pt idx="0">
                  <c:v>8.3881023333333342</c:v>
                </c:pt>
                <c:pt idx="1">
                  <c:v>6.6775073333333337</c:v>
                </c:pt>
                <c:pt idx="2">
                  <c:v>5.8392936666666673</c:v>
                </c:pt>
                <c:pt idx="3">
                  <c:v>5.4544250000000005</c:v>
                </c:pt>
                <c:pt idx="4">
                  <c:v>5.1986546666666662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9520"/>
        <c:axId val="154600576"/>
      </c:scatterChart>
      <c:valAx>
        <c:axId val="15445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600576"/>
        <c:crosses val="autoZero"/>
        <c:crossBetween val="midCat"/>
      </c:valAx>
      <c:valAx>
        <c:axId val="15460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59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'868v2'!$C$243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073884514435694"/>
                  <c:y val="-0.26080989876265465"/>
                </c:manualLayout>
              </c:layout>
              <c:numFmt formatCode="General" sourceLinked="0"/>
            </c:trendlineLbl>
          </c:trendline>
          <c:xVal>
            <c:numRef>
              <c:f>'868v2'!$B$244:$B$258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'868v2'!$C$244:$C$258</c:f>
              <c:numCache>
                <c:formatCode>General</c:formatCode>
                <c:ptCount val="15"/>
                <c:pt idx="0">
                  <c:v>21.686786000000001</c:v>
                </c:pt>
                <c:pt idx="1">
                  <c:v>20.473337333333333</c:v>
                </c:pt>
                <c:pt idx="2">
                  <c:v>19.239754666666666</c:v>
                </c:pt>
                <c:pt idx="3">
                  <c:v>17.454620666666667</c:v>
                </c:pt>
                <c:pt idx="4">
                  <c:v>16.025889333333335</c:v>
                </c:pt>
                <c:pt idx="5">
                  <c:v>14.937897333333334</c:v>
                </c:pt>
                <c:pt idx="6">
                  <c:v>14.006478333333334</c:v>
                </c:pt>
                <c:pt idx="7">
                  <c:v>12.939681666666667</c:v>
                </c:pt>
                <c:pt idx="8">
                  <c:v>12.017670666666666</c:v>
                </c:pt>
                <c:pt idx="9">
                  <c:v>10.995321333333335</c:v>
                </c:pt>
                <c:pt idx="10">
                  <c:v>10.626788666666668</c:v>
                </c:pt>
                <c:pt idx="11">
                  <c:v>9.8475196666666669</c:v>
                </c:pt>
                <c:pt idx="12">
                  <c:v>9.4383896666666676</c:v>
                </c:pt>
                <c:pt idx="13">
                  <c:v>9.0205183333333334</c:v>
                </c:pt>
                <c:pt idx="14">
                  <c:v>8.6122426666666669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30016"/>
        <c:axId val="154631552"/>
      </c:scatterChart>
      <c:valAx>
        <c:axId val="15463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631552"/>
        <c:crosses val="autoZero"/>
        <c:crossBetween val="midCat"/>
      </c:valAx>
      <c:valAx>
        <c:axId val="15463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63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'868v2'!$C$243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9368832020997374"/>
                  <c:y val="-0.27422848459732008"/>
                </c:manualLayout>
              </c:layout>
              <c:numFmt formatCode="General" sourceLinked="0"/>
            </c:trendlineLbl>
          </c:trendline>
          <c:xVal>
            <c:numRef>
              <c:f>'868v2'!$B$258:$B$262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'868v2'!$C$258:$C$262</c:f>
              <c:numCache>
                <c:formatCode>General</c:formatCode>
                <c:ptCount val="5"/>
                <c:pt idx="0">
                  <c:v>8.6122426666666669</c:v>
                </c:pt>
                <c:pt idx="1">
                  <c:v>6.8648746666666662</c:v>
                </c:pt>
                <c:pt idx="2">
                  <c:v>5.9933369999999995</c:v>
                </c:pt>
                <c:pt idx="3">
                  <c:v>5.6019949999999996</c:v>
                </c:pt>
                <c:pt idx="4">
                  <c:v>5.3379599999999998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69440"/>
        <c:axId val="154670976"/>
      </c:scatterChart>
      <c:valAx>
        <c:axId val="1546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670976"/>
        <c:crosses val="autoZero"/>
        <c:crossBetween val="midCat"/>
      </c:valAx>
      <c:valAx>
        <c:axId val="15467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669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'868'!$C$106</c:f>
              <c:strCache>
                <c:ptCount val="1"/>
                <c:pt idx="0">
                  <c:v>avg 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'868'!$D$102:$AR$102</c:f>
              <c:numCache>
                <c:formatCode>General</c:formatCode>
                <c:ptCount val="41"/>
                <c:pt idx="0">
                  <c:v>1.8</c:v>
                </c:pt>
                <c:pt idx="1">
                  <c:v>1.85</c:v>
                </c:pt>
                <c:pt idx="2">
                  <c:v>1.9</c:v>
                </c:pt>
                <c:pt idx="3">
                  <c:v>1.95</c:v>
                </c:pt>
                <c:pt idx="4">
                  <c:v>2</c:v>
                </c:pt>
                <c:pt idx="5">
                  <c:v>2.0499999999999998</c:v>
                </c:pt>
                <c:pt idx="6">
                  <c:v>2.1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2.25</c:v>
                </c:pt>
                <c:pt idx="10">
                  <c:v>2.2999999999999998</c:v>
                </c:pt>
                <c:pt idx="11">
                  <c:v>2.35</c:v>
                </c:pt>
                <c:pt idx="12">
                  <c:v>2.4</c:v>
                </c:pt>
                <c:pt idx="13">
                  <c:v>2.4500000000000002</c:v>
                </c:pt>
                <c:pt idx="14">
                  <c:v>2.5</c:v>
                </c:pt>
                <c:pt idx="15">
                  <c:v>2.5499999999999998</c:v>
                </c:pt>
                <c:pt idx="16">
                  <c:v>2.6</c:v>
                </c:pt>
                <c:pt idx="17">
                  <c:v>2.65</c:v>
                </c:pt>
                <c:pt idx="18">
                  <c:v>2.7</c:v>
                </c:pt>
                <c:pt idx="19">
                  <c:v>2.75</c:v>
                </c:pt>
                <c:pt idx="20">
                  <c:v>2.8</c:v>
                </c:pt>
                <c:pt idx="21">
                  <c:v>2.85</c:v>
                </c:pt>
                <c:pt idx="22">
                  <c:v>2.9</c:v>
                </c:pt>
                <c:pt idx="23">
                  <c:v>2.95</c:v>
                </c:pt>
                <c:pt idx="24">
                  <c:v>3</c:v>
                </c:pt>
                <c:pt idx="25">
                  <c:v>3.05</c:v>
                </c:pt>
                <c:pt idx="26">
                  <c:v>3.1</c:v>
                </c:pt>
                <c:pt idx="27">
                  <c:v>3.15</c:v>
                </c:pt>
                <c:pt idx="28">
                  <c:v>3.2</c:v>
                </c:pt>
                <c:pt idx="29">
                  <c:v>3.25</c:v>
                </c:pt>
                <c:pt idx="30">
                  <c:v>3.3</c:v>
                </c:pt>
                <c:pt idx="31">
                  <c:v>3.35</c:v>
                </c:pt>
                <c:pt idx="32">
                  <c:v>3.4</c:v>
                </c:pt>
                <c:pt idx="33">
                  <c:v>3.45</c:v>
                </c:pt>
                <c:pt idx="34">
                  <c:v>3.5</c:v>
                </c:pt>
                <c:pt idx="35">
                  <c:v>3.55</c:v>
                </c:pt>
                <c:pt idx="36">
                  <c:v>3.6</c:v>
                </c:pt>
                <c:pt idx="37">
                  <c:v>3.65</c:v>
                </c:pt>
                <c:pt idx="38">
                  <c:v>3.7</c:v>
                </c:pt>
                <c:pt idx="39">
                  <c:v>3.75</c:v>
                </c:pt>
                <c:pt idx="40">
                  <c:v>3.8</c:v>
                </c:pt>
              </c:numCache>
            </c:numRef>
          </c:xVal>
          <c:yVal>
            <c:numRef>
              <c:f>'868'!$D$106:$AR$106</c:f>
              <c:numCache>
                <c:formatCode>General</c:formatCode>
                <c:ptCount val="41"/>
                <c:pt idx="0">
                  <c:v>27.785217666666668</c:v>
                </c:pt>
                <c:pt idx="1">
                  <c:v>27.850285</c:v>
                </c:pt>
                <c:pt idx="2">
                  <c:v>27.837951666666669</c:v>
                </c:pt>
                <c:pt idx="3">
                  <c:v>27.856018666666667</c:v>
                </c:pt>
                <c:pt idx="4">
                  <c:v>27.832573999999997</c:v>
                </c:pt>
                <c:pt idx="5">
                  <c:v>24.904298333333333</c:v>
                </c:pt>
                <c:pt idx="6">
                  <c:v>24.219609333333334</c:v>
                </c:pt>
                <c:pt idx="7">
                  <c:v>23.857372666666667</c:v>
                </c:pt>
                <c:pt idx="8">
                  <c:v>23.202244333333336</c:v>
                </c:pt>
                <c:pt idx="9">
                  <c:v>22.846239000000001</c:v>
                </c:pt>
                <c:pt idx="10">
                  <c:v>22.296557333333336</c:v>
                </c:pt>
                <c:pt idx="11">
                  <c:v>21.836799333333332</c:v>
                </c:pt>
                <c:pt idx="12">
                  <c:v>21.524537999999996</c:v>
                </c:pt>
                <c:pt idx="13">
                  <c:v>20.995831666666664</c:v>
                </c:pt>
                <c:pt idx="14">
                  <c:v>20.648190666666668</c:v>
                </c:pt>
                <c:pt idx="15">
                  <c:v>20.292357333333332</c:v>
                </c:pt>
                <c:pt idx="16">
                  <c:v>19.987898666666666</c:v>
                </c:pt>
                <c:pt idx="17">
                  <c:v>19.461640333333335</c:v>
                </c:pt>
                <c:pt idx="18">
                  <c:v>19.175588000000001</c:v>
                </c:pt>
                <c:pt idx="19">
                  <c:v>18.911131666666666</c:v>
                </c:pt>
                <c:pt idx="20">
                  <c:v>18.642485666666669</c:v>
                </c:pt>
                <c:pt idx="21">
                  <c:v>18.385150333333332</c:v>
                </c:pt>
                <c:pt idx="22">
                  <c:v>17.892671333333336</c:v>
                </c:pt>
                <c:pt idx="23">
                  <c:v>17.643255</c:v>
                </c:pt>
                <c:pt idx="24">
                  <c:v>17.454620666666667</c:v>
                </c:pt>
                <c:pt idx="25">
                  <c:v>17.232199666666663</c:v>
                </c:pt>
                <c:pt idx="26">
                  <c:v>17.059552666666665</c:v>
                </c:pt>
                <c:pt idx="27">
                  <c:v>16.781001666666668</c:v>
                </c:pt>
                <c:pt idx="28">
                  <c:v>16.399183666666669</c:v>
                </c:pt>
                <c:pt idx="29">
                  <c:v>16.205453000000002</c:v>
                </c:pt>
                <c:pt idx="30">
                  <c:v>15.997381333333335</c:v>
                </c:pt>
                <c:pt idx="31">
                  <c:v>15.815606000000001</c:v>
                </c:pt>
                <c:pt idx="32">
                  <c:v>15.618146333333334</c:v>
                </c:pt>
                <c:pt idx="33">
                  <c:v>15.441896999999999</c:v>
                </c:pt>
                <c:pt idx="34">
                  <c:v>15.262153666666668</c:v>
                </c:pt>
                <c:pt idx="35">
                  <c:v>15.091090666666666</c:v>
                </c:pt>
                <c:pt idx="36">
                  <c:v>14.917305666666669</c:v>
                </c:pt>
                <c:pt idx="37">
                  <c:v>14.750439666666667</c:v>
                </c:pt>
                <c:pt idx="38">
                  <c:v>14.589826</c:v>
                </c:pt>
                <c:pt idx="39">
                  <c:v>14.433191333333333</c:v>
                </c:pt>
                <c:pt idx="40">
                  <c:v>14.294899333333333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71072"/>
        <c:axId val="148833024"/>
      </c:scatterChart>
      <c:valAx>
        <c:axId val="14797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833024"/>
        <c:crosses val="autoZero"/>
        <c:crossBetween val="midCat"/>
      </c:valAx>
      <c:valAx>
        <c:axId val="1488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971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'868v2'!$C$219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093328958880138"/>
                  <c:y val="-0.2429190370342463"/>
                </c:manualLayout>
              </c:layout>
              <c:numFmt formatCode="General" sourceLinked="0"/>
            </c:trendlineLbl>
          </c:trendline>
          <c:xVal>
            <c:numRef>
              <c:f>'868v2'!$B$220:$B$234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'868v2'!$C$220:$C$234</c:f>
              <c:numCache>
                <c:formatCode>General</c:formatCode>
                <c:ptCount val="15"/>
                <c:pt idx="0">
                  <c:v>22.402557666666667</c:v>
                </c:pt>
                <c:pt idx="1">
                  <c:v>21.136591999999997</c:v>
                </c:pt>
                <c:pt idx="2">
                  <c:v>19.844711666666665</c:v>
                </c:pt>
                <c:pt idx="3">
                  <c:v>17.892671333333336</c:v>
                </c:pt>
                <c:pt idx="4">
                  <c:v>16.463489333333332</c:v>
                </c:pt>
                <c:pt idx="5">
                  <c:v>15.282762333333332</c:v>
                </c:pt>
                <c:pt idx="6">
                  <c:v>14.322709666666666</c:v>
                </c:pt>
                <c:pt idx="7">
                  <c:v>13.202461333333332</c:v>
                </c:pt>
                <c:pt idx="8">
                  <c:v>12.244930000000002</c:v>
                </c:pt>
                <c:pt idx="9">
                  <c:v>11.184448333333334</c:v>
                </c:pt>
                <c:pt idx="10">
                  <c:v>10.793852333333334</c:v>
                </c:pt>
                <c:pt idx="11">
                  <c:v>9.979846666666667</c:v>
                </c:pt>
                <c:pt idx="12">
                  <c:v>9.5610400000000002</c:v>
                </c:pt>
                <c:pt idx="13">
                  <c:v>9.1285726666666669</c:v>
                </c:pt>
                <c:pt idx="14">
                  <c:v>8.7066976666666651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96704"/>
        <c:axId val="154710784"/>
      </c:scatterChart>
      <c:valAx>
        <c:axId val="15469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710784"/>
        <c:crosses val="autoZero"/>
        <c:crossBetween val="midCat"/>
      </c:valAx>
      <c:valAx>
        <c:axId val="15471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69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'868v2'!$C$219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016054243219596"/>
                  <c:y val="-0.27714580890154689"/>
                </c:manualLayout>
              </c:layout>
              <c:numFmt formatCode="General" sourceLinked="0"/>
            </c:trendlineLbl>
          </c:trendline>
          <c:xVal>
            <c:numRef>
              <c:f>'868v2'!$B$234:$B$238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'868v2'!$C$234:$C$238</c:f>
              <c:numCache>
                <c:formatCode>General</c:formatCode>
                <c:ptCount val="5"/>
                <c:pt idx="0">
                  <c:v>8.7066976666666651</c:v>
                </c:pt>
                <c:pt idx="1">
                  <c:v>6.8776066666666678</c:v>
                </c:pt>
                <c:pt idx="2">
                  <c:v>6.0103343333333328</c:v>
                </c:pt>
                <c:pt idx="3">
                  <c:v>5.6068619999999996</c:v>
                </c:pt>
                <c:pt idx="4">
                  <c:v>5.4742256666666664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63808"/>
        <c:axId val="155065344"/>
      </c:scatterChart>
      <c:valAx>
        <c:axId val="15506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065344"/>
        <c:crosses val="autoZero"/>
        <c:crossBetween val="midCat"/>
      </c:valAx>
      <c:valAx>
        <c:axId val="15506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63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'868v2'!$C$195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648884514435697"/>
                  <c:y val="-0.26587416864154118"/>
                </c:manualLayout>
              </c:layout>
              <c:numFmt formatCode="General" sourceLinked="0"/>
            </c:trendlineLbl>
          </c:trendline>
          <c:xVal>
            <c:numRef>
              <c:f>'868v2'!$B$196:$B$210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'868v2'!$C$196:$C$210</c:f>
              <c:numCache>
                <c:formatCode>General</c:formatCode>
                <c:ptCount val="15"/>
                <c:pt idx="0">
                  <c:v>23.232158666666663</c:v>
                </c:pt>
                <c:pt idx="1">
                  <c:v>21.920625999999999</c:v>
                </c:pt>
                <c:pt idx="2">
                  <c:v>20.583049666666668</c:v>
                </c:pt>
                <c:pt idx="3">
                  <c:v>18.642485666666669</c:v>
                </c:pt>
                <c:pt idx="4">
                  <c:v>17.076356000000001</c:v>
                </c:pt>
                <c:pt idx="5">
                  <c:v>15.917413000000002</c:v>
                </c:pt>
                <c:pt idx="6">
                  <c:v>14.916240666666667</c:v>
                </c:pt>
                <c:pt idx="7">
                  <c:v>13.747217999999998</c:v>
                </c:pt>
                <c:pt idx="8">
                  <c:v>12.751970333333333</c:v>
                </c:pt>
                <c:pt idx="9">
                  <c:v>11.652535666666667</c:v>
                </c:pt>
                <c:pt idx="10">
                  <c:v>11.245836666666667</c:v>
                </c:pt>
                <c:pt idx="11">
                  <c:v>10.40062</c:v>
                </c:pt>
                <c:pt idx="12">
                  <c:v>9.9538626666666676</c:v>
                </c:pt>
                <c:pt idx="13">
                  <c:v>9.5032476666666668</c:v>
                </c:pt>
                <c:pt idx="14">
                  <c:v>9.0690499999999989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07328"/>
        <c:axId val="155108864"/>
      </c:scatterChart>
      <c:valAx>
        <c:axId val="15510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108864"/>
        <c:crosses val="autoZero"/>
        <c:crossBetween val="midCat"/>
      </c:valAx>
      <c:valAx>
        <c:axId val="15510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07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'868v2'!$C$195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68832020997376"/>
                  <c:y val="-0.28729433014421585"/>
                </c:manualLayout>
              </c:layout>
              <c:numFmt formatCode="General" sourceLinked="0"/>
            </c:trendlineLbl>
          </c:trendline>
          <c:xVal>
            <c:numRef>
              <c:f>'868v2'!$B$210:$B$214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'868v2'!$C$210:$C$214</c:f>
              <c:numCache>
                <c:formatCode>General</c:formatCode>
                <c:ptCount val="5"/>
                <c:pt idx="0">
                  <c:v>9.0690499999999989</c:v>
                </c:pt>
                <c:pt idx="1">
                  <c:v>7.1632083333333334</c:v>
                </c:pt>
                <c:pt idx="2">
                  <c:v>6.2588986666666671</c:v>
                </c:pt>
                <c:pt idx="3">
                  <c:v>5.8370239999999995</c:v>
                </c:pt>
                <c:pt idx="4">
                  <c:v>5.7054853333333329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0624"/>
        <c:axId val="154812416"/>
      </c:scatterChart>
      <c:valAx>
        <c:axId val="15481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812416"/>
        <c:crosses val="autoZero"/>
        <c:crossBetween val="midCat"/>
      </c:valAx>
      <c:valAx>
        <c:axId val="1548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10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'868v2'!$C$171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7037773403324586"/>
                  <c:y val="-0.2710309762004387"/>
                </c:manualLayout>
              </c:layout>
              <c:numFmt formatCode="General" sourceLinked="0"/>
            </c:trendlineLbl>
          </c:trendline>
          <c:xVal>
            <c:numRef>
              <c:f>'868v2'!$B$172:$B$186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'868v2'!$C$172:$C$186</c:f>
              <c:numCache>
                <c:formatCode>General</c:formatCode>
                <c:ptCount val="15"/>
                <c:pt idx="0">
                  <c:v>23.917695999999996</c:v>
                </c:pt>
                <c:pt idx="1">
                  <c:v>22.556697333333332</c:v>
                </c:pt>
                <c:pt idx="2">
                  <c:v>21.179490666666666</c:v>
                </c:pt>
                <c:pt idx="3">
                  <c:v>19.175588000000001</c:v>
                </c:pt>
                <c:pt idx="4">
                  <c:v>17.566038333333335</c:v>
                </c:pt>
                <c:pt idx="5">
                  <c:v>16.374410999999998</c:v>
                </c:pt>
                <c:pt idx="6">
                  <c:v>15.341161666666666</c:v>
                </c:pt>
                <c:pt idx="7">
                  <c:v>14.138458999999999</c:v>
                </c:pt>
                <c:pt idx="8">
                  <c:v>13.113214333333332</c:v>
                </c:pt>
                <c:pt idx="9">
                  <c:v>11.978489999999999</c:v>
                </c:pt>
                <c:pt idx="10">
                  <c:v>11.555272666666667</c:v>
                </c:pt>
                <c:pt idx="11">
                  <c:v>10.681738666666666</c:v>
                </c:pt>
                <c:pt idx="12">
                  <c:v>10.236683666666666</c:v>
                </c:pt>
                <c:pt idx="13">
                  <c:v>9.767631999999999</c:v>
                </c:pt>
                <c:pt idx="14">
                  <c:v>9.3224186666666657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3760"/>
        <c:axId val="154855296"/>
      </c:scatterChart>
      <c:valAx>
        <c:axId val="15485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855296"/>
        <c:crosses val="autoZero"/>
        <c:crossBetween val="midCat"/>
      </c:valAx>
      <c:valAx>
        <c:axId val="15485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53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'868v2'!$C$171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242438757655293"/>
                  <c:y val="-0.28675433895370406"/>
                </c:manualLayout>
              </c:layout>
              <c:numFmt formatCode="General" sourceLinked="0"/>
            </c:trendlineLbl>
          </c:trendline>
          <c:xVal>
            <c:numRef>
              <c:f>'868v2'!$B$186:$B$190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'868v2'!$C$186:$C$190</c:f>
              <c:numCache>
                <c:formatCode>General</c:formatCode>
                <c:ptCount val="5"/>
                <c:pt idx="0">
                  <c:v>9.3224186666666657</c:v>
                </c:pt>
                <c:pt idx="1">
                  <c:v>7.3686466666666659</c:v>
                </c:pt>
                <c:pt idx="2">
                  <c:v>6.438655999999999</c:v>
                </c:pt>
                <c:pt idx="3">
                  <c:v>6.0144833333333336</c:v>
                </c:pt>
                <c:pt idx="4">
                  <c:v>5.8726403333333339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6544"/>
        <c:axId val="154894720"/>
      </c:scatterChart>
      <c:valAx>
        <c:axId val="15487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894720"/>
        <c:crosses val="autoZero"/>
        <c:crossBetween val="midCat"/>
      </c:valAx>
      <c:valAx>
        <c:axId val="15489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76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'868v2'!$C$147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3962773403324586"/>
                  <c:y val="-0.25239667622192385"/>
                </c:manualLayout>
              </c:layout>
              <c:numFmt formatCode="General" sourceLinked="0"/>
            </c:trendlineLbl>
          </c:trendline>
          <c:xVal>
            <c:numRef>
              <c:f>'868v2'!$B$148:$B$162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'868v2'!$C$148:$C$162</c:f>
              <c:numCache>
                <c:formatCode>General</c:formatCode>
                <c:ptCount val="15"/>
                <c:pt idx="0">
                  <c:v>25.002994000000001</c:v>
                </c:pt>
                <c:pt idx="1">
                  <c:v>23.560609333333332</c:v>
                </c:pt>
                <c:pt idx="2">
                  <c:v>22.092990333333333</c:v>
                </c:pt>
                <c:pt idx="3">
                  <c:v>19.987898666666666</c:v>
                </c:pt>
                <c:pt idx="4">
                  <c:v>18.349395333333334</c:v>
                </c:pt>
                <c:pt idx="5">
                  <c:v>17.103703666666664</c:v>
                </c:pt>
                <c:pt idx="6">
                  <c:v>16.035585000000001</c:v>
                </c:pt>
                <c:pt idx="7">
                  <c:v>14.779756000000001</c:v>
                </c:pt>
                <c:pt idx="8">
                  <c:v>13.706564999999999</c:v>
                </c:pt>
                <c:pt idx="9">
                  <c:v>12.373771</c:v>
                </c:pt>
                <c:pt idx="10">
                  <c:v>12.085628999999999</c:v>
                </c:pt>
                <c:pt idx="11">
                  <c:v>11.170658666666668</c:v>
                </c:pt>
                <c:pt idx="12">
                  <c:v>10.697878333333334</c:v>
                </c:pt>
                <c:pt idx="13">
                  <c:v>10.209201333333333</c:v>
                </c:pt>
                <c:pt idx="14">
                  <c:v>9.745530333333333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15968"/>
        <c:axId val="154917504"/>
      </c:scatterChart>
      <c:valAx>
        <c:axId val="15491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917504"/>
        <c:crosses val="autoZero"/>
        <c:crossBetween val="midCat"/>
      </c:valAx>
      <c:valAx>
        <c:axId val="1549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1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'868v2'!$C$147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020216535433071"/>
                  <c:y val="-0.33181804146139487"/>
                </c:manualLayout>
              </c:layout>
              <c:numFmt formatCode="General" sourceLinked="0"/>
            </c:trendlineLbl>
          </c:trendline>
          <c:xVal>
            <c:numRef>
              <c:f>'868v2'!$B$162:$B$166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'868v2'!$C$162:$C$166</c:f>
              <c:numCache>
                <c:formatCode>General</c:formatCode>
                <c:ptCount val="5"/>
                <c:pt idx="0">
                  <c:v>9.745530333333333</c:v>
                </c:pt>
                <c:pt idx="1">
                  <c:v>7.5241276666666659</c:v>
                </c:pt>
                <c:pt idx="2">
                  <c:v>6.5575826666666659</c:v>
                </c:pt>
                <c:pt idx="3">
                  <c:v>6.2798566666666673</c:v>
                </c:pt>
                <c:pt idx="4">
                  <c:v>6.1273519999999992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55776"/>
        <c:axId val="154957312"/>
      </c:scatterChart>
      <c:valAx>
        <c:axId val="15495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957312"/>
        <c:crosses val="autoZero"/>
        <c:crossBetween val="midCat"/>
      </c:valAx>
      <c:valAx>
        <c:axId val="15495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55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'868v2'!$C$123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482217847769027"/>
                  <c:y val="-0.24234145150460842"/>
                </c:manualLayout>
              </c:layout>
              <c:numFmt formatCode="General" sourceLinked="0"/>
            </c:trendlineLbl>
          </c:trendline>
          <c:xVal>
            <c:numRef>
              <c:f>'868v2'!$B$124:$B$138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'868v2'!$C$124:$C$138</c:f>
              <c:numCache>
                <c:formatCode>General</c:formatCode>
                <c:ptCount val="15"/>
                <c:pt idx="0">
                  <c:v>25.758956999999999</c:v>
                </c:pt>
                <c:pt idx="1">
                  <c:v>24.256002999999996</c:v>
                </c:pt>
                <c:pt idx="2">
                  <c:v>22.752510000000001</c:v>
                </c:pt>
                <c:pt idx="3">
                  <c:v>20.648190666666668</c:v>
                </c:pt>
                <c:pt idx="4">
                  <c:v>18.903992666666667</c:v>
                </c:pt>
                <c:pt idx="5">
                  <c:v>17.613710666666666</c:v>
                </c:pt>
                <c:pt idx="6">
                  <c:v>16.405876333333335</c:v>
                </c:pt>
                <c:pt idx="7">
                  <c:v>15.204537333333334</c:v>
                </c:pt>
                <c:pt idx="8">
                  <c:v>14.102730333333334</c:v>
                </c:pt>
                <c:pt idx="9">
                  <c:v>12.881004333333332</c:v>
                </c:pt>
                <c:pt idx="10">
                  <c:v>12.429928666666667</c:v>
                </c:pt>
                <c:pt idx="11">
                  <c:v>11.340010666666666</c:v>
                </c:pt>
                <c:pt idx="12">
                  <c:v>11.017094999999999</c:v>
                </c:pt>
                <c:pt idx="13">
                  <c:v>10.511609</c:v>
                </c:pt>
                <c:pt idx="14">
                  <c:v>10.026695999999999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4464"/>
        <c:axId val="154988544"/>
      </c:scatterChart>
      <c:valAx>
        <c:axId val="1549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988544"/>
        <c:crosses val="autoZero"/>
        <c:crossBetween val="midCat"/>
      </c:valAx>
      <c:valAx>
        <c:axId val="15498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74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'868v2'!$C$123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03549868766404"/>
                  <c:y val="-0.33526988474266806"/>
                </c:manualLayout>
              </c:layout>
              <c:numFmt formatCode="General" sourceLinked="0"/>
            </c:trendlineLbl>
          </c:trendline>
          <c:xVal>
            <c:numRef>
              <c:f>'868v2'!$B$138:$B$142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'868v2'!$C$138:$C$142</c:f>
              <c:numCache>
                <c:formatCode>General</c:formatCode>
                <c:ptCount val="5"/>
                <c:pt idx="0">
                  <c:v>10.026695999999999</c:v>
                </c:pt>
                <c:pt idx="1">
                  <c:v>7.9218183333333334</c:v>
                </c:pt>
                <c:pt idx="2">
                  <c:v>6.9219826666666675</c:v>
                </c:pt>
                <c:pt idx="3">
                  <c:v>6.4588936666666674</c:v>
                </c:pt>
                <c:pt idx="4">
                  <c:v>6.3094440000000001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4960"/>
        <c:axId val="155146496"/>
      </c:scatterChart>
      <c:valAx>
        <c:axId val="15514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146496"/>
        <c:crosses val="autoZero"/>
        <c:crossBetween val="midCat"/>
      </c:valAx>
      <c:valAx>
        <c:axId val="1551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44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'868'!$C$140</c:f>
              <c:strCache>
                <c:ptCount val="1"/>
                <c:pt idx="0">
                  <c:v>avg 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3491005060831485"/>
                  <c:y val="1.6532278958692394E-2"/>
                </c:manualLayout>
              </c:layout>
              <c:numFmt formatCode="General" sourceLinked="0"/>
            </c:trendlineLbl>
          </c:trendline>
          <c:xVal>
            <c:numRef>
              <c:f>'868'!$D$136:$AR$136</c:f>
              <c:numCache>
                <c:formatCode>General</c:formatCode>
                <c:ptCount val="41"/>
                <c:pt idx="0">
                  <c:v>1.8</c:v>
                </c:pt>
                <c:pt idx="1">
                  <c:v>1.85</c:v>
                </c:pt>
                <c:pt idx="2">
                  <c:v>1.9</c:v>
                </c:pt>
                <c:pt idx="3">
                  <c:v>1.95</c:v>
                </c:pt>
                <c:pt idx="4">
                  <c:v>2</c:v>
                </c:pt>
                <c:pt idx="5">
                  <c:v>2.0499999999999998</c:v>
                </c:pt>
                <c:pt idx="6">
                  <c:v>2.1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2.25</c:v>
                </c:pt>
                <c:pt idx="10">
                  <c:v>2.2999999999999998</c:v>
                </c:pt>
                <c:pt idx="11">
                  <c:v>2.35</c:v>
                </c:pt>
                <c:pt idx="12">
                  <c:v>2.4</c:v>
                </c:pt>
                <c:pt idx="13">
                  <c:v>2.4500000000000002</c:v>
                </c:pt>
                <c:pt idx="14">
                  <c:v>2.5</c:v>
                </c:pt>
                <c:pt idx="15">
                  <c:v>2.5499999999999998</c:v>
                </c:pt>
                <c:pt idx="16">
                  <c:v>2.6</c:v>
                </c:pt>
                <c:pt idx="17">
                  <c:v>2.65</c:v>
                </c:pt>
                <c:pt idx="18">
                  <c:v>2.7</c:v>
                </c:pt>
                <c:pt idx="19">
                  <c:v>2.75</c:v>
                </c:pt>
                <c:pt idx="20">
                  <c:v>2.8</c:v>
                </c:pt>
                <c:pt idx="21">
                  <c:v>2.85</c:v>
                </c:pt>
                <c:pt idx="22">
                  <c:v>2.9</c:v>
                </c:pt>
                <c:pt idx="23">
                  <c:v>2.95</c:v>
                </c:pt>
                <c:pt idx="24">
                  <c:v>3</c:v>
                </c:pt>
                <c:pt idx="25">
                  <c:v>3.05</c:v>
                </c:pt>
                <c:pt idx="26">
                  <c:v>3.1</c:v>
                </c:pt>
                <c:pt idx="27">
                  <c:v>3.15</c:v>
                </c:pt>
                <c:pt idx="28">
                  <c:v>3.2</c:v>
                </c:pt>
                <c:pt idx="29">
                  <c:v>3.25</c:v>
                </c:pt>
                <c:pt idx="30">
                  <c:v>3.3</c:v>
                </c:pt>
                <c:pt idx="31">
                  <c:v>3.35</c:v>
                </c:pt>
                <c:pt idx="32">
                  <c:v>3.4</c:v>
                </c:pt>
                <c:pt idx="33">
                  <c:v>3.45</c:v>
                </c:pt>
                <c:pt idx="34">
                  <c:v>3.5</c:v>
                </c:pt>
                <c:pt idx="35">
                  <c:v>3.55</c:v>
                </c:pt>
                <c:pt idx="36">
                  <c:v>3.6</c:v>
                </c:pt>
                <c:pt idx="37">
                  <c:v>3.65</c:v>
                </c:pt>
                <c:pt idx="38">
                  <c:v>3.7</c:v>
                </c:pt>
                <c:pt idx="39">
                  <c:v>3.75</c:v>
                </c:pt>
                <c:pt idx="40">
                  <c:v>3.8</c:v>
                </c:pt>
              </c:numCache>
            </c:numRef>
          </c:xVal>
          <c:yVal>
            <c:numRef>
              <c:f>'868'!$D$140:$AR$140</c:f>
              <c:numCache>
                <c:formatCode>General</c:formatCode>
                <c:ptCount val="41"/>
                <c:pt idx="0">
                  <c:v>25.309455333333336</c:v>
                </c:pt>
                <c:pt idx="1">
                  <c:v>25.304699666666664</c:v>
                </c:pt>
                <c:pt idx="2">
                  <c:v>25.287425000000002</c:v>
                </c:pt>
                <c:pt idx="3">
                  <c:v>25.294630333333334</c:v>
                </c:pt>
                <c:pt idx="4">
                  <c:v>24.506889666666666</c:v>
                </c:pt>
                <c:pt idx="5">
                  <c:v>22.610489666666666</c:v>
                </c:pt>
                <c:pt idx="6">
                  <c:v>22.112529333333331</c:v>
                </c:pt>
                <c:pt idx="7">
                  <c:v>21.784159666666667</c:v>
                </c:pt>
                <c:pt idx="8">
                  <c:v>21.188711999999999</c:v>
                </c:pt>
                <c:pt idx="9">
                  <c:v>20.860986</c:v>
                </c:pt>
                <c:pt idx="10">
                  <c:v>20.360568666666666</c:v>
                </c:pt>
                <c:pt idx="11">
                  <c:v>19.948452333333332</c:v>
                </c:pt>
                <c:pt idx="12">
                  <c:v>19.755445333333338</c:v>
                </c:pt>
                <c:pt idx="13">
                  <c:v>19.17388133333333</c:v>
                </c:pt>
                <c:pt idx="14">
                  <c:v>18.903992666666667</c:v>
                </c:pt>
                <c:pt idx="15">
                  <c:v>18.642488333333333</c:v>
                </c:pt>
                <c:pt idx="16">
                  <c:v>18.349395333333334</c:v>
                </c:pt>
                <c:pt idx="17">
                  <c:v>17.923481666666664</c:v>
                </c:pt>
                <c:pt idx="18">
                  <c:v>17.566038333333335</c:v>
                </c:pt>
                <c:pt idx="19">
                  <c:v>17.322284333333332</c:v>
                </c:pt>
                <c:pt idx="20">
                  <c:v>17.076356000000001</c:v>
                </c:pt>
                <c:pt idx="21">
                  <c:v>16.831480666666668</c:v>
                </c:pt>
                <c:pt idx="22">
                  <c:v>16.463489333333332</c:v>
                </c:pt>
                <c:pt idx="23">
                  <c:v>16.156837666666664</c:v>
                </c:pt>
                <c:pt idx="24">
                  <c:v>16.025889333333335</c:v>
                </c:pt>
                <c:pt idx="25">
                  <c:v>15.820393666666666</c:v>
                </c:pt>
                <c:pt idx="26">
                  <c:v>15.610906333333334</c:v>
                </c:pt>
                <c:pt idx="27">
                  <c:v>15.353264000000001</c:v>
                </c:pt>
                <c:pt idx="28">
                  <c:v>15.017227</c:v>
                </c:pt>
                <c:pt idx="29">
                  <c:v>14.834218333333332</c:v>
                </c:pt>
                <c:pt idx="30">
                  <c:v>14.644424999999998</c:v>
                </c:pt>
                <c:pt idx="31">
                  <c:v>14.475121333333334</c:v>
                </c:pt>
                <c:pt idx="32">
                  <c:v>14.295427000000002</c:v>
                </c:pt>
                <c:pt idx="33">
                  <c:v>14.131284333333333</c:v>
                </c:pt>
                <c:pt idx="34">
                  <c:v>13.968011333333335</c:v>
                </c:pt>
                <c:pt idx="35">
                  <c:v>13.812220333333334</c:v>
                </c:pt>
                <c:pt idx="36">
                  <c:v>13.650369333333336</c:v>
                </c:pt>
                <c:pt idx="37">
                  <c:v>13.504183333333332</c:v>
                </c:pt>
                <c:pt idx="38">
                  <c:v>13.360540333333333</c:v>
                </c:pt>
                <c:pt idx="39">
                  <c:v>13.21558766666667</c:v>
                </c:pt>
                <c:pt idx="40">
                  <c:v>13.090558333333334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5024"/>
        <c:axId val="148866560"/>
      </c:scatterChart>
      <c:valAx>
        <c:axId val="1488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866560"/>
        <c:crosses val="autoZero"/>
        <c:crossBetween val="midCat"/>
      </c:valAx>
      <c:valAx>
        <c:axId val="1488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865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'868v2'!$C$99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7037773403324586"/>
                  <c:y val="-0.25735510125454503"/>
                </c:manualLayout>
              </c:layout>
              <c:numFmt formatCode="General" sourceLinked="0"/>
            </c:trendlineLbl>
          </c:trendline>
          <c:xVal>
            <c:numRef>
              <c:f>'868v2'!$B$100:$B$114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'868v2'!$C$100:$C$114</c:f>
              <c:numCache>
                <c:formatCode>General</c:formatCode>
                <c:ptCount val="15"/>
                <c:pt idx="0">
                  <c:v>26.905884666666669</c:v>
                </c:pt>
                <c:pt idx="1">
                  <c:v>25.352446333333333</c:v>
                </c:pt>
                <c:pt idx="2">
                  <c:v>23.790565666666666</c:v>
                </c:pt>
                <c:pt idx="3">
                  <c:v>21.524537999999996</c:v>
                </c:pt>
                <c:pt idx="4">
                  <c:v>19.755445333333338</c:v>
                </c:pt>
                <c:pt idx="5">
                  <c:v>18.311969000000001</c:v>
                </c:pt>
                <c:pt idx="6">
                  <c:v>17.137798666666669</c:v>
                </c:pt>
                <c:pt idx="7">
                  <c:v>15.771399000000001</c:v>
                </c:pt>
                <c:pt idx="8">
                  <c:v>14.598145333333335</c:v>
                </c:pt>
                <c:pt idx="9">
                  <c:v>13.303146666666665</c:v>
                </c:pt>
                <c:pt idx="10">
                  <c:v>12.994282</c:v>
                </c:pt>
                <c:pt idx="11">
                  <c:v>11.838203666666667</c:v>
                </c:pt>
                <c:pt idx="12">
                  <c:v>11.504480333333333</c:v>
                </c:pt>
                <c:pt idx="13">
                  <c:v>10.977844666666664</c:v>
                </c:pt>
                <c:pt idx="14">
                  <c:v>10.471332333333333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88224"/>
        <c:axId val="155194112"/>
      </c:scatterChart>
      <c:valAx>
        <c:axId val="15518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194112"/>
        <c:crosses val="autoZero"/>
        <c:crossBetween val="midCat"/>
      </c:valAx>
      <c:valAx>
        <c:axId val="15519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88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'868v2'!$C$99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313276465441817"/>
                  <c:y val="-0.32705678835600094"/>
                </c:manualLayout>
              </c:layout>
              <c:numFmt formatCode="General" sourceLinked="0"/>
            </c:trendlineLbl>
          </c:trendline>
          <c:xVal>
            <c:numRef>
              <c:f>'868v2'!$B$114:$B$118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'868v2'!$C$114:$C$118</c:f>
              <c:numCache>
                <c:formatCode>General</c:formatCode>
                <c:ptCount val="5"/>
                <c:pt idx="0">
                  <c:v>10.471332333333333</c:v>
                </c:pt>
                <c:pt idx="1">
                  <c:v>8.2662546666666668</c:v>
                </c:pt>
                <c:pt idx="2">
                  <c:v>7.0345443333333337</c:v>
                </c:pt>
                <c:pt idx="3">
                  <c:v>6.5750163333333331</c:v>
                </c:pt>
                <c:pt idx="4">
                  <c:v>6.579457333333333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23552"/>
        <c:axId val="155225088"/>
      </c:scatterChart>
      <c:valAx>
        <c:axId val="1552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225088"/>
        <c:crosses val="autoZero"/>
        <c:crossBetween val="midCat"/>
      </c:valAx>
      <c:valAx>
        <c:axId val="15522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23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'868v2'!$C$75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093328958880138"/>
                  <c:y val="-0.26339630081451088"/>
                </c:manualLayout>
              </c:layout>
              <c:numFmt formatCode="General" sourceLinked="0"/>
            </c:trendlineLbl>
          </c:trendline>
          <c:xVal>
            <c:numRef>
              <c:f>'868v2'!$B$76:$B$90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'868v2'!$C$76:$C$90</c:f>
              <c:numCache>
                <c:formatCode>General</c:formatCode>
                <c:ptCount val="15"/>
                <c:pt idx="0">
                  <c:v>28.039180333333334</c:v>
                </c:pt>
                <c:pt idx="1">
                  <c:v>26.286276000000001</c:v>
                </c:pt>
                <c:pt idx="2">
                  <c:v>24.733773333333332</c:v>
                </c:pt>
                <c:pt idx="3">
                  <c:v>22.296557333333329</c:v>
                </c:pt>
                <c:pt idx="4">
                  <c:v>20.360568666666666</c:v>
                </c:pt>
                <c:pt idx="5">
                  <c:v>18.980963333333335</c:v>
                </c:pt>
                <c:pt idx="6">
                  <c:v>17.767272666666667</c:v>
                </c:pt>
                <c:pt idx="7">
                  <c:v>16.335282666666668</c:v>
                </c:pt>
                <c:pt idx="8">
                  <c:v>15.119908666666667</c:v>
                </c:pt>
                <c:pt idx="9">
                  <c:v>13.773382666666665</c:v>
                </c:pt>
                <c:pt idx="10">
                  <c:v>13.292906</c:v>
                </c:pt>
                <c:pt idx="11">
                  <c:v>12.267175666666665</c:v>
                </c:pt>
                <c:pt idx="12">
                  <c:v>11.732926333333333</c:v>
                </c:pt>
                <c:pt idx="13">
                  <c:v>11.191167666666667</c:v>
                </c:pt>
                <c:pt idx="14">
                  <c:v>10.658399666666668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71168"/>
        <c:axId val="155272704"/>
      </c:scatterChart>
      <c:valAx>
        <c:axId val="15527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272704"/>
        <c:crosses val="autoZero"/>
        <c:crossBetween val="midCat"/>
      </c:valAx>
      <c:valAx>
        <c:axId val="15527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71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'868v2'!$C$75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552165354330711"/>
                  <c:y val="-0.32098353090479076"/>
                </c:manualLayout>
              </c:layout>
              <c:numFmt formatCode="General" sourceLinked="0"/>
            </c:trendlineLbl>
          </c:trendline>
          <c:xVal>
            <c:numRef>
              <c:f>'868v2'!$B$90:$B$94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'868v2'!$C$90:$C$94</c:f>
              <c:numCache>
                <c:formatCode>General</c:formatCode>
                <c:ptCount val="5"/>
                <c:pt idx="0">
                  <c:v>10.658399666666668</c:v>
                </c:pt>
                <c:pt idx="1">
                  <c:v>8.3735476666666671</c:v>
                </c:pt>
                <c:pt idx="2">
                  <c:v>7.2895520000000005</c:v>
                </c:pt>
                <c:pt idx="3">
                  <c:v>6.806385333333334</c:v>
                </c:pt>
                <c:pt idx="4">
                  <c:v>6.8083303333333332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93952"/>
        <c:axId val="155299840"/>
      </c:scatterChart>
      <c:valAx>
        <c:axId val="15529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299840"/>
        <c:crosses val="autoZero"/>
        <c:crossBetween val="midCat"/>
      </c:valAx>
      <c:valAx>
        <c:axId val="15529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93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'868v2'!$C$51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648884514435697"/>
                  <c:y val="-0.26835652392765974"/>
                </c:manualLayout>
              </c:layout>
              <c:numFmt formatCode="General" sourceLinked="0"/>
            </c:trendlineLbl>
          </c:trendline>
          <c:xVal>
            <c:numRef>
              <c:f>'868v2'!$B$52:$B$66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'868v2'!$C$52:$C$66</c:f>
              <c:numCache>
                <c:formatCode>General</c:formatCode>
                <c:ptCount val="15"/>
                <c:pt idx="0">
                  <c:v>29.185171333333333</c:v>
                </c:pt>
                <c:pt idx="1">
                  <c:v>27.328849666666667</c:v>
                </c:pt>
                <c:pt idx="2">
                  <c:v>25.578404333333335</c:v>
                </c:pt>
                <c:pt idx="3">
                  <c:v>23.202244333333336</c:v>
                </c:pt>
                <c:pt idx="4">
                  <c:v>21.188711999999999</c:v>
                </c:pt>
                <c:pt idx="5">
                  <c:v>19.753423333333334</c:v>
                </c:pt>
                <c:pt idx="6">
                  <c:v>18.477855333333334</c:v>
                </c:pt>
                <c:pt idx="7">
                  <c:v>16.995684999999998</c:v>
                </c:pt>
                <c:pt idx="8">
                  <c:v>15.730502999999999</c:v>
                </c:pt>
                <c:pt idx="9">
                  <c:v>14.332335</c:v>
                </c:pt>
                <c:pt idx="10">
                  <c:v>13.829423333333333</c:v>
                </c:pt>
                <c:pt idx="11">
                  <c:v>12.753546666666665</c:v>
                </c:pt>
                <c:pt idx="12">
                  <c:v>12.196350666666666</c:v>
                </c:pt>
                <c:pt idx="13">
                  <c:v>11.632294</c:v>
                </c:pt>
                <c:pt idx="14">
                  <c:v>11.080706333333334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98912"/>
        <c:axId val="155400448"/>
      </c:scatterChart>
      <c:valAx>
        <c:axId val="15539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400448"/>
        <c:crosses val="autoZero"/>
        <c:crossBetween val="midCat"/>
      </c:valAx>
      <c:valAx>
        <c:axId val="15540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98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'868v2'!$C$51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5910542432196"/>
                  <c:y val="-0.31940260184868197"/>
                </c:manualLayout>
              </c:layout>
              <c:numFmt formatCode="General" sourceLinked="0"/>
            </c:trendlineLbl>
          </c:trendline>
          <c:xVal>
            <c:numRef>
              <c:f>'868v2'!$B$66:$B$70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'868v2'!$C$66:$C$70</c:f>
              <c:numCache>
                <c:formatCode>General</c:formatCode>
                <c:ptCount val="5"/>
                <c:pt idx="0">
                  <c:v>11.080706333333334</c:v>
                </c:pt>
                <c:pt idx="1">
                  <c:v>8.7092193333333334</c:v>
                </c:pt>
                <c:pt idx="2">
                  <c:v>7.5870103333333345</c:v>
                </c:pt>
                <c:pt idx="3">
                  <c:v>7.092162000000001</c:v>
                </c:pt>
                <c:pt idx="4">
                  <c:v>7.0891476666666664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5792"/>
        <c:axId val="155427584"/>
      </c:scatterChart>
      <c:valAx>
        <c:axId val="15542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427584"/>
        <c:crosses val="autoZero"/>
        <c:crossBetween val="midCat"/>
      </c:valAx>
      <c:valAx>
        <c:axId val="15542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2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'868v2'!$C$27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4259995625546807"/>
                  <c:y val="-0.249596709065213"/>
                </c:manualLayout>
              </c:layout>
              <c:numFmt formatCode="General" sourceLinked="0"/>
            </c:trendlineLbl>
          </c:trendline>
          <c:xVal>
            <c:numRef>
              <c:f>'868v2'!$B$28:$B$42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'868v2'!$C$28:$C$42</c:f>
              <c:numCache>
                <c:formatCode>General</c:formatCode>
                <c:ptCount val="15"/>
                <c:pt idx="0">
                  <c:v>30.459827666666666</c:v>
                </c:pt>
                <c:pt idx="1">
                  <c:v>28.651600666666667</c:v>
                </c:pt>
                <c:pt idx="2">
                  <c:v>26.702331333333333</c:v>
                </c:pt>
                <c:pt idx="3">
                  <c:v>24.219609333333334</c:v>
                </c:pt>
                <c:pt idx="4">
                  <c:v>22.112529333333331</c:v>
                </c:pt>
                <c:pt idx="5">
                  <c:v>20.594474000000002</c:v>
                </c:pt>
                <c:pt idx="6">
                  <c:v>19.279330666666667</c:v>
                </c:pt>
                <c:pt idx="7">
                  <c:v>17.733447999999999</c:v>
                </c:pt>
                <c:pt idx="8">
                  <c:v>16.405573333333333</c:v>
                </c:pt>
                <c:pt idx="9">
                  <c:v>14.936234999999998</c:v>
                </c:pt>
                <c:pt idx="10">
                  <c:v>14.411787666666667</c:v>
                </c:pt>
                <c:pt idx="11">
                  <c:v>13.288473666666667</c:v>
                </c:pt>
                <c:pt idx="12">
                  <c:v>12.719717666666668</c:v>
                </c:pt>
                <c:pt idx="13">
                  <c:v>12.122881</c:v>
                </c:pt>
                <c:pt idx="14">
                  <c:v>11.551936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30432"/>
        <c:axId val="155331968"/>
      </c:scatterChart>
      <c:valAx>
        <c:axId val="15533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331968"/>
        <c:crosses val="autoZero"/>
        <c:crossBetween val="midCat"/>
      </c:valAx>
      <c:valAx>
        <c:axId val="15533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30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'868v2'!$C$27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293832020997373"/>
                  <c:y val="-0.30163124770693983"/>
                </c:manualLayout>
              </c:layout>
              <c:numFmt formatCode="General" sourceLinked="0"/>
            </c:trendlineLbl>
          </c:trendline>
          <c:xVal>
            <c:numRef>
              <c:f>'868v2'!$B$42:$B$46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'868v2'!$C$42:$C$46</c:f>
              <c:numCache>
                <c:formatCode>General</c:formatCode>
                <c:ptCount val="5"/>
                <c:pt idx="0">
                  <c:v>11.551936</c:v>
                </c:pt>
                <c:pt idx="1">
                  <c:v>9.0830956666666669</c:v>
                </c:pt>
                <c:pt idx="2">
                  <c:v>7.9102059999999996</c:v>
                </c:pt>
                <c:pt idx="3">
                  <c:v>7.3919136666666674</c:v>
                </c:pt>
                <c:pt idx="4">
                  <c:v>7.3876816666666665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51776"/>
        <c:axId val="155453312"/>
      </c:scatterChart>
      <c:valAx>
        <c:axId val="15545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453312"/>
        <c:crosses val="autoZero"/>
        <c:crossBetween val="midCat"/>
      </c:valAx>
      <c:valAx>
        <c:axId val="15545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51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093328958880138"/>
                  <c:y val="-0.28391342386549506"/>
                </c:manualLayout>
              </c:layout>
              <c:numFmt formatCode="General" sourceLinked="0"/>
            </c:trendlineLbl>
          </c:trendline>
          <c:xVal>
            <c:numRef>
              <c:f>'868v2'!$B$4:$B$18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'868v2'!$C$4:$C$18</c:f>
              <c:numCache>
                <c:formatCode>General</c:formatCode>
                <c:ptCount val="15"/>
                <c:pt idx="0">
                  <c:v>34.818412333333328</c:v>
                </c:pt>
                <c:pt idx="1">
                  <c:v>32.71994466666667</c:v>
                </c:pt>
                <c:pt idx="2">
                  <c:v>30.664769333333329</c:v>
                </c:pt>
                <c:pt idx="3">
                  <c:v>27.832574000000005</c:v>
                </c:pt>
                <c:pt idx="4">
                  <c:v>24.506889666666666</c:v>
                </c:pt>
                <c:pt idx="5">
                  <c:v>22.818983333333335</c:v>
                </c:pt>
                <c:pt idx="6">
                  <c:v>21.500626666666665</c:v>
                </c:pt>
                <c:pt idx="7">
                  <c:v>19.120347666666667</c:v>
                </c:pt>
                <c:pt idx="8">
                  <c:v>18.310329999999997</c:v>
                </c:pt>
                <c:pt idx="9">
                  <c:v>16.126998333333333</c:v>
                </c:pt>
                <c:pt idx="10">
                  <c:v>15.549334333333334</c:v>
                </c:pt>
                <c:pt idx="11">
                  <c:v>14.347226999999998</c:v>
                </c:pt>
                <c:pt idx="12">
                  <c:v>13.717991333333332</c:v>
                </c:pt>
                <c:pt idx="13">
                  <c:v>13.089413</c:v>
                </c:pt>
                <c:pt idx="14">
                  <c:v>12.476101333333332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78656"/>
        <c:axId val="155484544"/>
      </c:scatterChart>
      <c:valAx>
        <c:axId val="15547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484544"/>
        <c:crosses val="autoZero"/>
        <c:crossBetween val="midCat"/>
      </c:valAx>
      <c:valAx>
        <c:axId val="15548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7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'868v2'!$C$3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5910542432196"/>
                  <c:y val="-0.30001824638230384"/>
                </c:manualLayout>
              </c:layout>
              <c:numFmt formatCode="General" sourceLinked="0"/>
            </c:trendlineLbl>
          </c:trendline>
          <c:xVal>
            <c:numRef>
              <c:f>'868v2'!$B$18:$B$22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'868v2'!$C$18:$C$22</c:f>
              <c:numCache>
                <c:formatCode>General</c:formatCode>
                <c:ptCount val="5"/>
                <c:pt idx="0">
                  <c:v>12.476101333333332</c:v>
                </c:pt>
                <c:pt idx="1">
                  <c:v>9.8058296666666678</c:v>
                </c:pt>
                <c:pt idx="2">
                  <c:v>8.5411316666666668</c:v>
                </c:pt>
                <c:pt idx="3">
                  <c:v>7.9858169999999999</c:v>
                </c:pt>
                <c:pt idx="4">
                  <c:v>7.985803999999999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85024"/>
        <c:axId val="155986560"/>
      </c:scatterChart>
      <c:valAx>
        <c:axId val="15598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986560"/>
        <c:crosses val="autoZero"/>
        <c:crossBetween val="midCat"/>
      </c:valAx>
      <c:valAx>
        <c:axId val="15598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85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'868'!$C$173</c:f>
              <c:strCache>
                <c:ptCount val="1"/>
                <c:pt idx="0">
                  <c:v>avg 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3160787682888198"/>
                  <c:y val="-1.398596603995929E-2"/>
                </c:manualLayout>
              </c:layout>
              <c:numFmt formatCode="General" sourceLinked="0"/>
            </c:trendlineLbl>
          </c:trendline>
          <c:xVal>
            <c:numRef>
              <c:f>'868'!$D$169:$AR$169</c:f>
              <c:numCache>
                <c:formatCode>General</c:formatCode>
                <c:ptCount val="41"/>
                <c:pt idx="0">
                  <c:v>1.8</c:v>
                </c:pt>
                <c:pt idx="1">
                  <c:v>1.85</c:v>
                </c:pt>
                <c:pt idx="2">
                  <c:v>1.9</c:v>
                </c:pt>
                <c:pt idx="3">
                  <c:v>1.95</c:v>
                </c:pt>
                <c:pt idx="4">
                  <c:v>2</c:v>
                </c:pt>
                <c:pt idx="5">
                  <c:v>2.0499999999999998</c:v>
                </c:pt>
                <c:pt idx="6">
                  <c:v>2.1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2.25</c:v>
                </c:pt>
                <c:pt idx="10">
                  <c:v>2.2999999999999998</c:v>
                </c:pt>
                <c:pt idx="11">
                  <c:v>2.35</c:v>
                </c:pt>
                <c:pt idx="12">
                  <c:v>2.4</c:v>
                </c:pt>
                <c:pt idx="13">
                  <c:v>2.4500000000000002</c:v>
                </c:pt>
                <c:pt idx="14">
                  <c:v>2.5</c:v>
                </c:pt>
                <c:pt idx="15">
                  <c:v>2.5499999999999998</c:v>
                </c:pt>
                <c:pt idx="16">
                  <c:v>2.6</c:v>
                </c:pt>
                <c:pt idx="17">
                  <c:v>2.65</c:v>
                </c:pt>
                <c:pt idx="18">
                  <c:v>2.7</c:v>
                </c:pt>
                <c:pt idx="19">
                  <c:v>2.75</c:v>
                </c:pt>
                <c:pt idx="20">
                  <c:v>2.8</c:v>
                </c:pt>
                <c:pt idx="21">
                  <c:v>2.85</c:v>
                </c:pt>
                <c:pt idx="22">
                  <c:v>2.9</c:v>
                </c:pt>
                <c:pt idx="23">
                  <c:v>2.95</c:v>
                </c:pt>
                <c:pt idx="24">
                  <c:v>3</c:v>
                </c:pt>
                <c:pt idx="25">
                  <c:v>3.05</c:v>
                </c:pt>
                <c:pt idx="26">
                  <c:v>3.1</c:v>
                </c:pt>
                <c:pt idx="27">
                  <c:v>3.15</c:v>
                </c:pt>
                <c:pt idx="28">
                  <c:v>3.2</c:v>
                </c:pt>
                <c:pt idx="29">
                  <c:v>3.25</c:v>
                </c:pt>
                <c:pt idx="30">
                  <c:v>3.3</c:v>
                </c:pt>
                <c:pt idx="31">
                  <c:v>3.35</c:v>
                </c:pt>
                <c:pt idx="32">
                  <c:v>3.4</c:v>
                </c:pt>
                <c:pt idx="33">
                  <c:v>3.45</c:v>
                </c:pt>
                <c:pt idx="34">
                  <c:v>3.5</c:v>
                </c:pt>
                <c:pt idx="35">
                  <c:v>3.55</c:v>
                </c:pt>
                <c:pt idx="36">
                  <c:v>3.6</c:v>
                </c:pt>
                <c:pt idx="37">
                  <c:v>3.65</c:v>
                </c:pt>
                <c:pt idx="38">
                  <c:v>3.7</c:v>
                </c:pt>
                <c:pt idx="39">
                  <c:v>3.75</c:v>
                </c:pt>
                <c:pt idx="40">
                  <c:v>3.8</c:v>
                </c:pt>
              </c:numCache>
            </c:numRef>
          </c:xVal>
          <c:yVal>
            <c:numRef>
              <c:f>'868'!$D$173:$AR$173</c:f>
              <c:numCache>
                <c:formatCode>General</c:formatCode>
                <c:ptCount val="41"/>
                <c:pt idx="0">
                  <c:v>23.591491000000001</c:v>
                </c:pt>
                <c:pt idx="1">
                  <c:v>23.586706666666668</c:v>
                </c:pt>
                <c:pt idx="2">
                  <c:v>23.573872333333338</c:v>
                </c:pt>
                <c:pt idx="3">
                  <c:v>23.597582666666668</c:v>
                </c:pt>
                <c:pt idx="4">
                  <c:v>22.818983333333335</c:v>
                </c:pt>
                <c:pt idx="5">
                  <c:v>21.079317</c:v>
                </c:pt>
                <c:pt idx="6">
                  <c:v>20.594474000000002</c:v>
                </c:pt>
                <c:pt idx="7">
                  <c:v>20.304692333333335</c:v>
                </c:pt>
                <c:pt idx="8">
                  <c:v>19.753423333333334</c:v>
                </c:pt>
                <c:pt idx="9">
                  <c:v>19.431509000000002</c:v>
                </c:pt>
                <c:pt idx="10">
                  <c:v>18.980963333333335</c:v>
                </c:pt>
                <c:pt idx="11">
                  <c:v>18.591031000000001</c:v>
                </c:pt>
                <c:pt idx="12">
                  <c:v>18.311969000000001</c:v>
                </c:pt>
                <c:pt idx="13">
                  <c:v>17.870002333333332</c:v>
                </c:pt>
                <c:pt idx="14">
                  <c:v>17.613710666666666</c:v>
                </c:pt>
                <c:pt idx="15">
                  <c:v>17.363658666666666</c:v>
                </c:pt>
                <c:pt idx="16">
                  <c:v>17.103703666666664</c:v>
                </c:pt>
                <c:pt idx="17">
                  <c:v>16.701396666666668</c:v>
                </c:pt>
                <c:pt idx="18">
                  <c:v>16.374410999999998</c:v>
                </c:pt>
                <c:pt idx="19">
                  <c:v>16.139294</c:v>
                </c:pt>
                <c:pt idx="20">
                  <c:v>15.917413000000002</c:v>
                </c:pt>
                <c:pt idx="21">
                  <c:v>15.691095666666664</c:v>
                </c:pt>
                <c:pt idx="22">
                  <c:v>15.282762333333332</c:v>
                </c:pt>
                <c:pt idx="23">
                  <c:v>15.144216333333333</c:v>
                </c:pt>
                <c:pt idx="24">
                  <c:v>14.937897333333334</c:v>
                </c:pt>
                <c:pt idx="25">
                  <c:v>14.754464666666665</c:v>
                </c:pt>
                <c:pt idx="26">
                  <c:v>14.561148333333335</c:v>
                </c:pt>
                <c:pt idx="27">
                  <c:v>14.318127666666669</c:v>
                </c:pt>
                <c:pt idx="28">
                  <c:v>14.006330666666665</c:v>
                </c:pt>
                <c:pt idx="29">
                  <c:v>13.838898333333333</c:v>
                </c:pt>
                <c:pt idx="30">
                  <c:v>13.662933666666667</c:v>
                </c:pt>
                <c:pt idx="31">
                  <c:v>13.504921000000001</c:v>
                </c:pt>
                <c:pt idx="32">
                  <c:v>13.337869</c:v>
                </c:pt>
                <c:pt idx="33">
                  <c:v>13.183128333333334</c:v>
                </c:pt>
                <c:pt idx="34">
                  <c:v>13.028790666666666</c:v>
                </c:pt>
                <c:pt idx="35">
                  <c:v>12.887621333333334</c:v>
                </c:pt>
                <c:pt idx="36">
                  <c:v>12.737344999999999</c:v>
                </c:pt>
                <c:pt idx="37">
                  <c:v>12.598420666666668</c:v>
                </c:pt>
                <c:pt idx="38">
                  <c:v>12.468926000000002</c:v>
                </c:pt>
                <c:pt idx="39">
                  <c:v>12.336019</c:v>
                </c:pt>
                <c:pt idx="40">
                  <c:v>12.221234999999998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3056"/>
        <c:axId val="149312640"/>
      </c:scatterChart>
      <c:valAx>
        <c:axId val="14889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312640"/>
        <c:crosses val="autoZero"/>
        <c:crossBetween val="midCat"/>
      </c:valAx>
      <c:valAx>
        <c:axId val="14931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89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482217847769027"/>
                  <c:y val="-0.29462456898770006"/>
                </c:manualLayout>
              </c:layout>
              <c:numFmt formatCode="General" sourceLinked="0"/>
            </c:trendlineLbl>
          </c:trendline>
          <c:xVal>
            <c:numRef>
              <c:f>'868v2'!$X$4:$X$18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'868v2'!$Y$4:$Y$18</c:f>
              <c:numCache>
                <c:formatCode>General</c:formatCode>
                <c:ptCount val="15"/>
                <c:pt idx="0">
                  <c:v>36.224699999999999</c:v>
                </c:pt>
                <c:pt idx="1">
                  <c:v>33.240700000000004</c:v>
                </c:pt>
                <c:pt idx="2">
                  <c:v>30.456699999999998</c:v>
                </c:pt>
                <c:pt idx="3">
                  <c:v>27.872700000000002</c:v>
                </c:pt>
                <c:pt idx="4">
                  <c:v>25.488700000000001</c:v>
                </c:pt>
                <c:pt idx="5">
                  <c:v>23.304699999999997</c:v>
                </c:pt>
                <c:pt idx="6">
                  <c:v>21.320700000000002</c:v>
                </c:pt>
                <c:pt idx="7">
                  <c:v>19.5367</c:v>
                </c:pt>
                <c:pt idx="8">
                  <c:v>17.9527</c:v>
                </c:pt>
                <c:pt idx="9">
                  <c:v>16.5687</c:v>
                </c:pt>
                <c:pt idx="10">
                  <c:v>15.3847</c:v>
                </c:pt>
                <c:pt idx="11">
                  <c:v>14.400700000000001</c:v>
                </c:pt>
                <c:pt idx="12">
                  <c:v>13.6167</c:v>
                </c:pt>
                <c:pt idx="13">
                  <c:v>13.0327</c:v>
                </c:pt>
                <c:pt idx="14">
                  <c:v>12.3687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99616"/>
        <c:axId val="156005504"/>
      </c:scatterChart>
      <c:valAx>
        <c:axId val="15599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005504"/>
        <c:crosses val="autoZero"/>
        <c:crossBetween val="midCat"/>
      </c:valAx>
      <c:valAx>
        <c:axId val="15600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99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29943132108488"/>
                  <c:y val="-0.29532702884501244"/>
                </c:manualLayout>
              </c:layout>
              <c:numFmt formatCode="General" sourceLinked="0"/>
            </c:trendlineLbl>
          </c:trendline>
          <c:xVal>
            <c:numRef>
              <c:f>'868v2'!$X$18:$X$22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'868v2'!$Y$18:$Y$22</c:f>
              <c:numCache>
                <c:formatCode>General</c:formatCode>
                <c:ptCount val="5"/>
                <c:pt idx="0">
                  <c:v>12.3687</c:v>
                </c:pt>
                <c:pt idx="1">
                  <c:v>10.0237</c:v>
                </c:pt>
                <c:pt idx="2">
                  <c:v>8.5287000000000006</c:v>
                </c:pt>
                <c:pt idx="3">
                  <c:v>7.8837000000000002</c:v>
                </c:pt>
                <c:pt idx="4">
                  <c:v>8.0886999999999993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6752"/>
        <c:axId val="156028288"/>
      </c:scatterChart>
      <c:valAx>
        <c:axId val="15602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028288"/>
        <c:crosses val="autoZero"/>
        <c:crossBetween val="midCat"/>
      </c:valAx>
      <c:valAx>
        <c:axId val="15602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026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'868v2'!$Y$27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204440069991251"/>
                  <c:y val="-0.28350666072401326"/>
                </c:manualLayout>
              </c:layout>
              <c:numFmt formatCode="General" sourceLinked="0"/>
            </c:trendlineLbl>
          </c:trendline>
          <c:xVal>
            <c:numRef>
              <c:f>'868v2'!$X$28:$X$42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'868v2'!$Y$28:$Y$42</c:f>
              <c:numCache>
                <c:formatCode>General</c:formatCode>
                <c:ptCount val="15"/>
                <c:pt idx="0">
                  <c:v>31.590899999999998</c:v>
                </c:pt>
                <c:pt idx="1">
                  <c:v>29.1355</c:v>
                </c:pt>
                <c:pt idx="2">
                  <c:v>26.839500000000001</c:v>
                </c:pt>
                <c:pt idx="3">
                  <c:v>24.7029</c:v>
                </c:pt>
                <c:pt idx="4">
                  <c:v>22.7257</c:v>
                </c:pt>
                <c:pt idx="5">
                  <c:v>20.907899999999998</c:v>
                </c:pt>
                <c:pt idx="6">
                  <c:v>19.249500000000001</c:v>
                </c:pt>
                <c:pt idx="7">
                  <c:v>17.750500000000002</c:v>
                </c:pt>
                <c:pt idx="8">
                  <c:v>16.410900000000002</c:v>
                </c:pt>
                <c:pt idx="9">
                  <c:v>15.230700000000001</c:v>
                </c:pt>
                <c:pt idx="10">
                  <c:v>14.209900000000001</c:v>
                </c:pt>
                <c:pt idx="11">
                  <c:v>13.348500000000001</c:v>
                </c:pt>
                <c:pt idx="12">
                  <c:v>12.646500000000001</c:v>
                </c:pt>
                <c:pt idx="13">
                  <c:v>12.103900000000001</c:v>
                </c:pt>
                <c:pt idx="14">
                  <c:v>11.4527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80768"/>
        <c:axId val="155682304"/>
      </c:scatterChart>
      <c:valAx>
        <c:axId val="1556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682304"/>
        <c:crosses val="autoZero"/>
        <c:crossBetween val="midCat"/>
      </c:valAx>
      <c:valAx>
        <c:axId val="1556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680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'868v2'!$Y$27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242438757655293"/>
                  <c:y val="-0.30931620389556569"/>
                </c:manualLayout>
              </c:layout>
              <c:numFmt formatCode="General" sourceLinked="0"/>
            </c:trendlineLbl>
          </c:trendline>
          <c:xVal>
            <c:numRef>
              <c:f>'868v2'!$X$42:$X$46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'868v2'!$Y$42:$Y$46</c:f>
              <c:numCache>
                <c:formatCode>General</c:formatCode>
                <c:ptCount val="5"/>
                <c:pt idx="0">
                  <c:v>11.4527</c:v>
                </c:pt>
                <c:pt idx="1">
                  <c:v>9.2862000000000009</c:v>
                </c:pt>
                <c:pt idx="2">
                  <c:v>7.9047000000000001</c:v>
                </c:pt>
                <c:pt idx="3">
                  <c:v>7.3081999999999994</c:v>
                </c:pt>
                <c:pt idx="4">
                  <c:v>7.4966999999999988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07648"/>
        <c:axId val="155709440"/>
      </c:scatterChart>
      <c:valAx>
        <c:axId val="1557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709440"/>
        <c:crosses val="autoZero"/>
        <c:crossBetween val="midCat"/>
      </c:valAx>
      <c:valAx>
        <c:axId val="15570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707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'868v2'!$Y$51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204440069991251"/>
                  <c:y val="-0.28302771909608859"/>
                </c:manualLayout>
              </c:layout>
              <c:numFmt formatCode="General" sourceLinked="0"/>
            </c:trendlineLbl>
          </c:trendline>
          <c:xVal>
            <c:numRef>
              <c:f>'868v2'!$X$52:$X$66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'868v2'!$Y$52:$Y$66</c:f>
              <c:numCache>
                <c:formatCode>General</c:formatCode>
                <c:ptCount val="15"/>
                <c:pt idx="0">
                  <c:v>30.266500000000001</c:v>
                </c:pt>
                <c:pt idx="1">
                  <c:v>27.918500000000002</c:v>
                </c:pt>
                <c:pt idx="2">
                  <c:v>25.722700000000003</c:v>
                </c:pt>
                <c:pt idx="3">
                  <c:v>23.679099999999998</c:v>
                </c:pt>
                <c:pt idx="4">
                  <c:v>21.787700000000001</c:v>
                </c:pt>
                <c:pt idx="5">
                  <c:v>20.048500000000001</c:v>
                </c:pt>
                <c:pt idx="6">
                  <c:v>18.461500000000001</c:v>
                </c:pt>
                <c:pt idx="7">
                  <c:v>17.026699999999998</c:v>
                </c:pt>
                <c:pt idx="8">
                  <c:v>15.7441</c:v>
                </c:pt>
                <c:pt idx="9">
                  <c:v>14.6137</c:v>
                </c:pt>
                <c:pt idx="10">
                  <c:v>13.6355</c:v>
                </c:pt>
                <c:pt idx="11">
                  <c:v>12.8095</c:v>
                </c:pt>
                <c:pt idx="12">
                  <c:v>12.1357</c:v>
                </c:pt>
                <c:pt idx="13">
                  <c:v>11.614100000000001</c:v>
                </c:pt>
                <c:pt idx="14">
                  <c:v>10.983699999999999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16704"/>
        <c:axId val="155818240"/>
      </c:scatterChart>
      <c:valAx>
        <c:axId val="15581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818240"/>
        <c:crosses val="autoZero"/>
        <c:crossBetween val="midCat"/>
      </c:valAx>
      <c:valAx>
        <c:axId val="15581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1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'868v2'!$Y$75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926662292213474"/>
                  <c:y val="-0.3116205108507778"/>
                </c:manualLayout>
              </c:layout>
              <c:numFmt formatCode="General" sourceLinked="0"/>
            </c:trendlineLbl>
          </c:trendline>
          <c:xVal>
            <c:numRef>
              <c:f>'868v2'!$X$76:$X$90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'868v2'!$Y$76:$Y$90</c:f>
              <c:numCache>
                <c:formatCode>General</c:formatCode>
                <c:ptCount val="15"/>
                <c:pt idx="0">
                  <c:v>29.159300000000002</c:v>
                </c:pt>
                <c:pt idx="1">
                  <c:v>26.89</c:v>
                </c:pt>
                <c:pt idx="2">
                  <c:v>24.768300000000004</c:v>
                </c:pt>
                <c:pt idx="3">
                  <c:v>22.794200000000004</c:v>
                </c:pt>
                <c:pt idx="4">
                  <c:v>20.967700000000001</c:v>
                </c:pt>
                <c:pt idx="5">
                  <c:v>19.288800000000002</c:v>
                </c:pt>
                <c:pt idx="6">
                  <c:v>17.7575</c:v>
                </c:pt>
                <c:pt idx="7">
                  <c:v>16.373800000000003</c:v>
                </c:pt>
                <c:pt idx="8">
                  <c:v>15.137700000000001</c:v>
                </c:pt>
                <c:pt idx="9">
                  <c:v>14.049200000000001</c:v>
                </c:pt>
                <c:pt idx="10">
                  <c:v>13.1083</c:v>
                </c:pt>
                <c:pt idx="11">
                  <c:v>12.315000000000001</c:v>
                </c:pt>
                <c:pt idx="12">
                  <c:v>11.6693</c:v>
                </c:pt>
                <c:pt idx="13">
                  <c:v>11.171200000000001</c:v>
                </c:pt>
                <c:pt idx="14">
                  <c:v>10.5657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35392"/>
        <c:axId val="155923200"/>
      </c:scatterChart>
      <c:valAx>
        <c:axId val="15583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923200"/>
        <c:crosses val="autoZero"/>
        <c:crossBetween val="midCat"/>
      </c:valAx>
      <c:valAx>
        <c:axId val="15592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3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'868v2'!$Y$99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926662292213474"/>
                  <c:y val="-0.27613819907126996"/>
                </c:manualLayout>
              </c:layout>
              <c:numFmt formatCode="General" sourceLinked="0"/>
            </c:trendlineLbl>
          </c:trendline>
          <c:xVal>
            <c:numRef>
              <c:f>'868v2'!$X$100:$X$114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'868v2'!$Y$100:$Y$114</c:f>
              <c:numCache>
                <c:formatCode>General</c:formatCode>
                <c:ptCount val="15"/>
                <c:pt idx="0">
                  <c:v>28.094700000000003</c:v>
                </c:pt>
                <c:pt idx="1">
                  <c:v>25.911999999999999</c:v>
                </c:pt>
                <c:pt idx="2">
                  <c:v>23.873100000000001</c:v>
                </c:pt>
                <c:pt idx="3">
                  <c:v>21.978000000000002</c:v>
                </c:pt>
                <c:pt idx="4">
                  <c:v>20.226700000000001</c:v>
                </c:pt>
                <c:pt idx="5">
                  <c:v>18.619199999999999</c:v>
                </c:pt>
                <c:pt idx="6">
                  <c:v>17.1555</c:v>
                </c:pt>
                <c:pt idx="7">
                  <c:v>15.835599999999999</c:v>
                </c:pt>
                <c:pt idx="8">
                  <c:v>14.659500000000001</c:v>
                </c:pt>
                <c:pt idx="9">
                  <c:v>13.6272</c:v>
                </c:pt>
                <c:pt idx="10">
                  <c:v>12.7387</c:v>
                </c:pt>
                <c:pt idx="11">
                  <c:v>11.994</c:v>
                </c:pt>
                <c:pt idx="12">
                  <c:v>11.3931</c:v>
                </c:pt>
                <c:pt idx="13">
                  <c:v>10.936</c:v>
                </c:pt>
                <c:pt idx="14">
                  <c:v>10.407700000000002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52256"/>
        <c:axId val="155953792"/>
      </c:scatterChart>
      <c:valAx>
        <c:axId val="15595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953792"/>
        <c:crosses val="autoZero"/>
        <c:crossBetween val="midCat"/>
      </c:valAx>
      <c:valAx>
        <c:axId val="1559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2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'868v2'!$Y$123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759995625546804"/>
                  <c:y val="-0.28051706036745405"/>
                </c:manualLayout>
              </c:layout>
              <c:numFmt formatCode="General" sourceLinked="0"/>
            </c:trendlineLbl>
          </c:trendline>
          <c:xVal>
            <c:numRef>
              <c:f>'868v2'!$X$124:$X$138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'868v2'!$Y$124:$Y$138</c:f>
              <c:numCache>
                <c:formatCode>General</c:formatCode>
                <c:ptCount val="15"/>
                <c:pt idx="0">
                  <c:v>26.8979</c:v>
                </c:pt>
                <c:pt idx="1">
                  <c:v>24.827200000000001</c:v>
                </c:pt>
                <c:pt idx="2">
                  <c:v>22.891100000000002</c:v>
                </c:pt>
                <c:pt idx="3">
                  <c:v>21.089600000000001</c:v>
                </c:pt>
                <c:pt idx="4">
                  <c:v>19.422699999999999</c:v>
                </c:pt>
                <c:pt idx="5">
                  <c:v>17.8904</c:v>
                </c:pt>
                <c:pt idx="6">
                  <c:v>16.492699999999999</c:v>
                </c:pt>
                <c:pt idx="7">
                  <c:v>15.229600000000001</c:v>
                </c:pt>
                <c:pt idx="8">
                  <c:v>14.101100000000001</c:v>
                </c:pt>
                <c:pt idx="9">
                  <c:v>13.107200000000001</c:v>
                </c:pt>
                <c:pt idx="10">
                  <c:v>12.247900000000001</c:v>
                </c:pt>
                <c:pt idx="11">
                  <c:v>11.523200000000001</c:v>
                </c:pt>
                <c:pt idx="12">
                  <c:v>10.933100000000001</c:v>
                </c:pt>
                <c:pt idx="13">
                  <c:v>10.477600000000001</c:v>
                </c:pt>
                <c:pt idx="14">
                  <c:v>9.9283000000000001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52160"/>
        <c:axId val="155862144"/>
      </c:scatterChart>
      <c:valAx>
        <c:axId val="1558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862144"/>
        <c:crosses val="autoZero"/>
        <c:crossBetween val="midCat"/>
      </c:valAx>
      <c:valAx>
        <c:axId val="15586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52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'868v2'!$Y$147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482217847769027"/>
                  <c:y val="-0.27613819907126996"/>
                </c:manualLayout>
              </c:layout>
              <c:numFmt formatCode="General" sourceLinked="0"/>
            </c:trendlineLbl>
          </c:trendline>
          <c:xVal>
            <c:numRef>
              <c:f>'868v2'!$X$148:$X$162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'868v2'!$Y$148:$Y$162</c:f>
              <c:numCache>
                <c:formatCode>General</c:formatCode>
                <c:ptCount val="15"/>
                <c:pt idx="0">
                  <c:v>26.121600000000001</c:v>
                </c:pt>
                <c:pt idx="1">
                  <c:v>24.111699999999999</c:v>
                </c:pt>
                <c:pt idx="2">
                  <c:v>22.232599999999998</c:v>
                </c:pt>
                <c:pt idx="3">
                  <c:v>20.484300000000001</c:v>
                </c:pt>
                <c:pt idx="4">
                  <c:v>18.866799999999998</c:v>
                </c:pt>
                <c:pt idx="5">
                  <c:v>17.380099999999999</c:v>
                </c:pt>
                <c:pt idx="6">
                  <c:v>16.0242</c:v>
                </c:pt>
                <c:pt idx="7">
                  <c:v>14.799099999999999</c:v>
                </c:pt>
                <c:pt idx="8">
                  <c:v>13.704799999999999</c:v>
                </c:pt>
                <c:pt idx="9">
                  <c:v>12.741299999999999</c:v>
                </c:pt>
                <c:pt idx="10">
                  <c:v>11.9086</c:v>
                </c:pt>
                <c:pt idx="11">
                  <c:v>11.2067</c:v>
                </c:pt>
                <c:pt idx="12">
                  <c:v>10.6356</c:v>
                </c:pt>
                <c:pt idx="13">
                  <c:v>10.1953</c:v>
                </c:pt>
                <c:pt idx="14">
                  <c:v>9.6182000000000016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83392"/>
        <c:axId val="155884928"/>
      </c:scatterChart>
      <c:valAx>
        <c:axId val="15588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884928"/>
        <c:crosses val="autoZero"/>
        <c:crossBetween val="midCat"/>
      </c:valAx>
      <c:valAx>
        <c:axId val="155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83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'868v2'!$Y$171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926662292213474"/>
                  <c:y val="-0.29759971713380384"/>
                </c:manualLayout>
              </c:layout>
              <c:numFmt formatCode="General" sourceLinked="0"/>
            </c:trendlineLbl>
          </c:trendline>
          <c:xVal>
            <c:numRef>
              <c:f>'868v2'!$X$172:$X$186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'868v2'!$Y$172:$Y$186</c:f>
              <c:numCache>
                <c:formatCode>General</c:formatCode>
                <c:ptCount val="15"/>
                <c:pt idx="0">
                  <c:v>25.046399999999998</c:v>
                </c:pt>
                <c:pt idx="1">
                  <c:v>23.1204</c:v>
                </c:pt>
                <c:pt idx="2">
                  <c:v>21.319400000000002</c:v>
                </c:pt>
                <c:pt idx="3">
                  <c:v>19.6434</c:v>
                </c:pt>
                <c:pt idx="4">
                  <c:v>18.092399999999998</c:v>
                </c:pt>
                <c:pt idx="5">
                  <c:v>16.666399999999999</c:v>
                </c:pt>
                <c:pt idx="6">
                  <c:v>15.365400000000001</c:v>
                </c:pt>
                <c:pt idx="7">
                  <c:v>14.189399999999999</c:v>
                </c:pt>
                <c:pt idx="8">
                  <c:v>13.138400000000001</c:v>
                </c:pt>
                <c:pt idx="9">
                  <c:v>12.212399999999999</c:v>
                </c:pt>
                <c:pt idx="10">
                  <c:v>11.4114</c:v>
                </c:pt>
                <c:pt idx="11">
                  <c:v>10.7354</c:v>
                </c:pt>
                <c:pt idx="12">
                  <c:v>10.1844</c:v>
                </c:pt>
                <c:pt idx="13">
                  <c:v>9.7584</c:v>
                </c:pt>
                <c:pt idx="14">
                  <c:v>9.2298000000000009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24224"/>
        <c:axId val="156325760"/>
      </c:scatterChart>
      <c:valAx>
        <c:axId val="1563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325760"/>
        <c:crosses val="autoZero"/>
        <c:crossBetween val="midCat"/>
      </c:valAx>
      <c:valAx>
        <c:axId val="15632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24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'868'!$C$207</c:f>
              <c:strCache>
                <c:ptCount val="1"/>
                <c:pt idx="0">
                  <c:v>avg 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4768506339453564"/>
                  <c:y val="-1.2101658024454261E-2"/>
                </c:manualLayout>
              </c:layout>
              <c:numFmt formatCode="General" sourceLinked="0"/>
            </c:trendlineLbl>
          </c:trendline>
          <c:xVal>
            <c:numRef>
              <c:f>'868'!$D$203:$AR$203</c:f>
              <c:numCache>
                <c:formatCode>General</c:formatCode>
                <c:ptCount val="41"/>
                <c:pt idx="0">
                  <c:v>1.8</c:v>
                </c:pt>
                <c:pt idx="1">
                  <c:v>1.85</c:v>
                </c:pt>
                <c:pt idx="2">
                  <c:v>1.9</c:v>
                </c:pt>
                <c:pt idx="3">
                  <c:v>1.95</c:v>
                </c:pt>
                <c:pt idx="4">
                  <c:v>2</c:v>
                </c:pt>
                <c:pt idx="5">
                  <c:v>2.0499999999999998</c:v>
                </c:pt>
                <c:pt idx="6">
                  <c:v>2.1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2.25</c:v>
                </c:pt>
                <c:pt idx="10">
                  <c:v>2.2999999999999998</c:v>
                </c:pt>
                <c:pt idx="11">
                  <c:v>2.35</c:v>
                </c:pt>
                <c:pt idx="12">
                  <c:v>2.4</c:v>
                </c:pt>
                <c:pt idx="13">
                  <c:v>2.4500000000000002</c:v>
                </c:pt>
                <c:pt idx="14">
                  <c:v>2.5</c:v>
                </c:pt>
                <c:pt idx="15">
                  <c:v>2.5499999999999998</c:v>
                </c:pt>
                <c:pt idx="16">
                  <c:v>2.6</c:v>
                </c:pt>
                <c:pt idx="17">
                  <c:v>2.65</c:v>
                </c:pt>
                <c:pt idx="18">
                  <c:v>2.7</c:v>
                </c:pt>
                <c:pt idx="19">
                  <c:v>2.75</c:v>
                </c:pt>
                <c:pt idx="20">
                  <c:v>2.8</c:v>
                </c:pt>
                <c:pt idx="21">
                  <c:v>2.85</c:v>
                </c:pt>
                <c:pt idx="22">
                  <c:v>2.9</c:v>
                </c:pt>
                <c:pt idx="23">
                  <c:v>2.95</c:v>
                </c:pt>
                <c:pt idx="24">
                  <c:v>3</c:v>
                </c:pt>
                <c:pt idx="25">
                  <c:v>3.05</c:v>
                </c:pt>
                <c:pt idx="26">
                  <c:v>3.1</c:v>
                </c:pt>
                <c:pt idx="27">
                  <c:v>3.15</c:v>
                </c:pt>
                <c:pt idx="28">
                  <c:v>3.2</c:v>
                </c:pt>
                <c:pt idx="29">
                  <c:v>3.25</c:v>
                </c:pt>
                <c:pt idx="30">
                  <c:v>3.3</c:v>
                </c:pt>
                <c:pt idx="31">
                  <c:v>3.35</c:v>
                </c:pt>
                <c:pt idx="32">
                  <c:v>3.4</c:v>
                </c:pt>
                <c:pt idx="33">
                  <c:v>3.45</c:v>
                </c:pt>
                <c:pt idx="34">
                  <c:v>3.5</c:v>
                </c:pt>
                <c:pt idx="35">
                  <c:v>3.55</c:v>
                </c:pt>
                <c:pt idx="36">
                  <c:v>3.6</c:v>
                </c:pt>
                <c:pt idx="37">
                  <c:v>3.65</c:v>
                </c:pt>
                <c:pt idx="38">
                  <c:v>3.7</c:v>
                </c:pt>
                <c:pt idx="39">
                  <c:v>3.75</c:v>
                </c:pt>
                <c:pt idx="40">
                  <c:v>3.8</c:v>
                </c:pt>
              </c:numCache>
            </c:numRef>
          </c:xVal>
          <c:yVal>
            <c:numRef>
              <c:f>'868'!$D$207:$AR$207</c:f>
              <c:numCache>
                <c:formatCode>General</c:formatCode>
                <c:ptCount val="41"/>
                <c:pt idx="0">
                  <c:v>22.20891966666667</c:v>
                </c:pt>
                <c:pt idx="1">
                  <c:v>22.201248666666668</c:v>
                </c:pt>
                <c:pt idx="2">
                  <c:v>22.191732333333334</c:v>
                </c:pt>
                <c:pt idx="3">
                  <c:v>22.200097333333332</c:v>
                </c:pt>
                <c:pt idx="4">
                  <c:v>21.500626666666665</c:v>
                </c:pt>
                <c:pt idx="5">
                  <c:v>19.829345333333336</c:v>
                </c:pt>
                <c:pt idx="6">
                  <c:v>19.279330666666667</c:v>
                </c:pt>
                <c:pt idx="7">
                  <c:v>19.000032000000001</c:v>
                </c:pt>
                <c:pt idx="8">
                  <c:v>18.477855333333334</c:v>
                </c:pt>
                <c:pt idx="9">
                  <c:v>18.192231666666668</c:v>
                </c:pt>
                <c:pt idx="10">
                  <c:v>17.767272666666667</c:v>
                </c:pt>
                <c:pt idx="11">
                  <c:v>17.401656666666664</c:v>
                </c:pt>
                <c:pt idx="12">
                  <c:v>17.137798666666669</c:v>
                </c:pt>
                <c:pt idx="13">
                  <c:v>16.727305666666666</c:v>
                </c:pt>
                <c:pt idx="14">
                  <c:v>16.405876333333335</c:v>
                </c:pt>
                <c:pt idx="15">
                  <c:v>16.27843</c:v>
                </c:pt>
                <c:pt idx="16">
                  <c:v>16.035585000000001</c:v>
                </c:pt>
                <c:pt idx="17">
                  <c:v>15.660927666666666</c:v>
                </c:pt>
                <c:pt idx="18">
                  <c:v>15.341161666666666</c:v>
                </c:pt>
                <c:pt idx="19">
                  <c:v>15.128555</c:v>
                </c:pt>
                <c:pt idx="20">
                  <c:v>14.916240666666667</c:v>
                </c:pt>
                <c:pt idx="21">
                  <c:v>14.705933333333334</c:v>
                </c:pt>
                <c:pt idx="22">
                  <c:v>14.322709666666666</c:v>
                </c:pt>
                <c:pt idx="23">
                  <c:v>14.123559</c:v>
                </c:pt>
                <c:pt idx="24">
                  <c:v>14.006478333333334</c:v>
                </c:pt>
                <c:pt idx="25">
                  <c:v>13.838156666666665</c:v>
                </c:pt>
                <c:pt idx="26">
                  <c:v>13.655964333333332</c:v>
                </c:pt>
                <c:pt idx="27">
                  <c:v>13.424828333333332</c:v>
                </c:pt>
                <c:pt idx="28">
                  <c:v>13.145580333333333</c:v>
                </c:pt>
                <c:pt idx="29">
                  <c:v>12.978993333333333</c:v>
                </c:pt>
                <c:pt idx="30">
                  <c:v>12.815648000000001</c:v>
                </c:pt>
                <c:pt idx="31">
                  <c:v>12.664454666666666</c:v>
                </c:pt>
                <c:pt idx="32">
                  <c:v>12.509846333333334</c:v>
                </c:pt>
                <c:pt idx="33">
                  <c:v>12.366570333333334</c:v>
                </c:pt>
                <c:pt idx="34">
                  <c:v>12.221636666666667</c:v>
                </c:pt>
                <c:pt idx="35">
                  <c:v>12.087259000000001</c:v>
                </c:pt>
                <c:pt idx="36">
                  <c:v>11.949089333333333</c:v>
                </c:pt>
                <c:pt idx="37">
                  <c:v>11.820857333333334</c:v>
                </c:pt>
                <c:pt idx="38">
                  <c:v>11.694788666666668</c:v>
                </c:pt>
                <c:pt idx="39">
                  <c:v>11.568127333333335</c:v>
                </c:pt>
                <c:pt idx="40">
                  <c:v>11.465501333333334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33120"/>
        <c:axId val="149334656"/>
      </c:scatterChart>
      <c:valAx>
        <c:axId val="1493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334656"/>
        <c:crosses val="autoZero"/>
        <c:crossBetween val="midCat"/>
      </c:valAx>
      <c:valAx>
        <c:axId val="1493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33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'868v2'!$Y$195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7037773403324586"/>
                  <c:y val="-0.30509346230198381"/>
                </c:manualLayout>
              </c:layout>
              <c:numFmt formatCode="General" sourceLinked="0"/>
            </c:trendlineLbl>
          </c:trendline>
          <c:xVal>
            <c:numRef>
              <c:f>'868v2'!$X$196:$X$210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'868v2'!$Y$196:$Y$210</c:f>
              <c:numCache>
                <c:formatCode>General</c:formatCode>
                <c:ptCount val="15"/>
                <c:pt idx="0">
                  <c:v>24.3611</c:v>
                </c:pt>
                <c:pt idx="1">
                  <c:v>22.488</c:v>
                </c:pt>
                <c:pt idx="2">
                  <c:v>20.736499999999999</c:v>
                </c:pt>
                <c:pt idx="3">
                  <c:v>19.1066</c:v>
                </c:pt>
                <c:pt idx="4">
                  <c:v>17.598300000000002</c:v>
                </c:pt>
                <c:pt idx="5">
                  <c:v>16.211600000000001</c:v>
                </c:pt>
                <c:pt idx="6">
                  <c:v>14.9465</c:v>
                </c:pt>
                <c:pt idx="7">
                  <c:v>13.803000000000001</c:v>
                </c:pt>
                <c:pt idx="8">
                  <c:v>12.7811</c:v>
                </c:pt>
                <c:pt idx="9">
                  <c:v>11.880800000000001</c:v>
                </c:pt>
                <c:pt idx="10">
                  <c:v>11.1021</c:v>
                </c:pt>
                <c:pt idx="11">
                  <c:v>10.445</c:v>
                </c:pt>
                <c:pt idx="12">
                  <c:v>9.9095000000000013</c:v>
                </c:pt>
                <c:pt idx="13">
                  <c:v>9.4955999999999996</c:v>
                </c:pt>
                <c:pt idx="14">
                  <c:v>8.9789999999999992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1104"/>
        <c:axId val="156352896"/>
      </c:scatterChart>
      <c:valAx>
        <c:axId val="1563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352896"/>
        <c:crosses val="autoZero"/>
        <c:crossBetween val="midCat"/>
      </c:valAx>
      <c:valAx>
        <c:axId val="15635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51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'868v2'!$Y$219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926662292213474"/>
                  <c:y val="-0.31767610129814855"/>
                </c:manualLayout>
              </c:layout>
              <c:numFmt formatCode="General" sourceLinked="0"/>
            </c:trendlineLbl>
          </c:trendline>
          <c:xVal>
            <c:numRef>
              <c:f>'868v2'!$X$220:$X$234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'868v2'!$Y$220:$Y$234</c:f>
              <c:numCache>
                <c:formatCode>General</c:formatCode>
                <c:ptCount val="15"/>
                <c:pt idx="0">
                  <c:v>23.5274</c:v>
                </c:pt>
                <c:pt idx="1">
                  <c:v>21.701599999999999</c:v>
                </c:pt>
                <c:pt idx="2">
                  <c:v>19.9954</c:v>
                </c:pt>
                <c:pt idx="3">
                  <c:v>18.408799999999999</c:v>
                </c:pt>
                <c:pt idx="4">
                  <c:v>16.941800000000001</c:v>
                </c:pt>
                <c:pt idx="5">
                  <c:v>15.5944</c:v>
                </c:pt>
                <c:pt idx="6">
                  <c:v>14.3666</c:v>
                </c:pt>
                <c:pt idx="7">
                  <c:v>13.2584</c:v>
                </c:pt>
                <c:pt idx="8">
                  <c:v>12.2698</c:v>
                </c:pt>
                <c:pt idx="9">
                  <c:v>11.4008</c:v>
                </c:pt>
                <c:pt idx="10">
                  <c:v>10.651400000000001</c:v>
                </c:pt>
                <c:pt idx="11">
                  <c:v>10.021599999999999</c:v>
                </c:pt>
                <c:pt idx="12">
                  <c:v>9.5114000000000001</c:v>
                </c:pt>
                <c:pt idx="13">
                  <c:v>9.1208000000000009</c:v>
                </c:pt>
                <c:pt idx="14">
                  <c:v>8.6189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44768"/>
        <c:axId val="156146304"/>
      </c:scatterChart>
      <c:valAx>
        <c:axId val="1561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146304"/>
        <c:crosses val="autoZero"/>
        <c:crossBetween val="midCat"/>
      </c:valAx>
      <c:valAx>
        <c:axId val="15614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44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'868v2'!$Y$243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926662292213474"/>
                  <c:y val="-0.29155708328337132"/>
                </c:manualLayout>
              </c:layout>
              <c:numFmt formatCode="General" sourceLinked="0"/>
            </c:trendlineLbl>
          </c:trendline>
          <c:xVal>
            <c:numRef>
              <c:f>'868v2'!$X$244:$X$258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'868v2'!$Y$244:$Y$258</c:f>
              <c:numCache>
                <c:formatCode>General</c:formatCode>
                <c:ptCount val="15"/>
                <c:pt idx="0">
                  <c:v>22.7819</c:v>
                </c:pt>
                <c:pt idx="1">
                  <c:v>21.043600000000001</c:v>
                </c:pt>
                <c:pt idx="2">
                  <c:v>19.418500000000002</c:v>
                </c:pt>
                <c:pt idx="3">
                  <c:v>17.906600000000001</c:v>
                </c:pt>
                <c:pt idx="4">
                  <c:v>16.507899999999999</c:v>
                </c:pt>
                <c:pt idx="5">
                  <c:v>15.2224</c:v>
                </c:pt>
                <c:pt idx="6">
                  <c:v>14.0501</c:v>
                </c:pt>
                <c:pt idx="7">
                  <c:v>12.991</c:v>
                </c:pt>
                <c:pt idx="8">
                  <c:v>12.0451</c:v>
                </c:pt>
                <c:pt idx="9">
                  <c:v>11.212400000000001</c:v>
                </c:pt>
                <c:pt idx="10">
                  <c:v>10.492900000000001</c:v>
                </c:pt>
                <c:pt idx="11">
                  <c:v>9.8865999999999996</c:v>
                </c:pt>
                <c:pt idx="12">
                  <c:v>9.3934999999999995</c:v>
                </c:pt>
                <c:pt idx="13">
                  <c:v>9.0136000000000003</c:v>
                </c:pt>
                <c:pt idx="14">
                  <c:v>8.5225000000000009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00320"/>
        <c:axId val="156202112"/>
      </c:scatterChart>
      <c:valAx>
        <c:axId val="15620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202112"/>
        <c:crosses val="autoZero"/>
        <c:crossBetween val="midCat"/>
      </c:valAx>
      <c:valAx>
        <c:axId val="1562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0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'868v2'!$Y$267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926662292213474"/>
                  <c:y val="-0.30509346230198381"/>
                </c:manualLayout>
              </c:layout>
              <c:numFmt formatCode="General" sourceLinked="0"/>
            </c:trendlineLbl>
          </c:trendline>
          <c:xVal>
            <c:numRef>
              <c:f>'868v2'!$X$268:$X$282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'868v2'!$Y$268:$Y$282</c:f>
              <c:numCache>
                <c:formatCode>General</c:formatCode>
                <c:ptCount val="15"/>
                <c:pt idx="0">
                  <c:v>22.2318</c:v>
                </c:pt>
                <c:pt idx="1">
                  <c:v>20.533300000000001</c:v>
                </c:pt>
                <c:pt idx="2">
                  <c:v>18.945399999999999</c:v>
                </c:pt>
                <c:pt idx="3">
                  <c:v>17.4681</c:v>
                </c:pt>
                <c:pt idx="4">
                  <c:v>16.101399999999998</c:v>
                </c:pt>
                <c:pt idx="5">
                  <c:v>14.845300000000002</c:v>
                </c:pt>
                <c:pt idx="6">
                  <c:v>13.6998</c:v>
                </c:pt>
                <c:pt idx="7">
                  <c:v>12.664899999999999</c:v>
                </c:pt>
                <c:pt idx="8">
                  <c:v>11.740600000000001</c:v>
                </c:pt>
                <c:pt idx="9">
                  <c:v>10.9269</c:v>
                </c:pt>
                <c:pt idx="10">
                  <c:v>10.223800000000001</c:v>
                </c:pt>
                <c:pt idx="11">
                  <c:v>9.6312999999999995</c:v>
                </c:pt>
                <c:pt idx="12">
                  <c:v>9.1494</c:v>
                </c:pt>
                <c:pt idx="13">
                  <c:v>8.7781000000000002</c:v>
                </c:pt>
                <c:pt idx="14">
                  <c:v>8.2981000000000016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19264"/>
        <c:axId val="156220800"/>
      </c:scatterChart>
      <c:valAx>
        <c:axId val="15621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220800"/>
        <c:crosses val="autoZero"/>
        <c:crossBetween val="midCat"/>
      </c:valAx>
      <c:valAx>
        <c:axId val="15622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19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'868v2'!$Y$291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926662292213474"/>
                  <c:y val="-0.28950777704511071"/>
                </c:manualLayout>
              </c:layout>
              <c:numFmt formatCode="General" sourceLinked="0"/>
            </c:trendlineLbl>
          </c:trendline>
          <c:xVal>
            <c:numRef>
              <c:f>'868v2'!$X$292:$X$306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'868v2'!$Y$292:$Y$306</c:f>
              <c:numCache>
                <c:formatCode>General</c:formatCode>
                <c:ptCount val="15"/>
                <c:pt idx="0">
                  <c:v>21.446800000000003</c:v>
                </c:pt>
                <c:pt idx="1">
                  <c:v>19.799700000000001</c:v>
                </c:pt>
                <c:pt idx="2">
                  <c:v>18.2606</c:v>
                </c:pt>
                <c:pt idx="3">
                  <c:v>16.829500000000003</c:v>
                </c:pt>
                <c:pt idx="4">
                  <c:v>15.506400000000001</c:v>
                </c:pt>
                <c:pt idx="5">
                  <c:v>14.2913</c:v>
                </c:pt>
                <c:pt idx="6">
                  <c:v>13.184200000000001</c:v>
                </c:pt>
                <c:pt idx="7">
                  <c:v>12.1851</c:v>
                </c:pt>
                <c:pt idx="8">
                  <c:v>11.294</c:v>
                </c:pt>
                <c:pt idx="9">
                  <c:v>10.510900000000001</c:v>
                </c:pt>
                <c:pt idx="10">
                  <c:v>9.8358000000000008</c:v>
                </c:pt>
                <c:pt idx="11">
                  <c:v>9.2687000000000008</c:v>
                </c:pt>
                <c:pt idx="12">
                  <c:v>8.8096000000000014</c:v>
                </c:pt>
                <c:pt idx="13">
                  <c:v>8.4585000000000008</c:v>
                </c:pt>
                <c:pt idx="14">
                  <c:v>7.9964000000000004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62784"/>
        <c:axId val="156264320"/>
      </c:scatterChart>
      <c:valAx>
        <c:axId val="1562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264320"/>
        <c:crosses val="autoZero"/>
        <c:crossBetween val="midCat"/>
      </c:valAx>
      <c:valAx>
        <c:axId val="1562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62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'868v2'!$Y$315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926662292213474"/>
                  <c:y val="-0.29842240464622771"/>
                </c:manualLayout>
              </c:layout>
              <c:numFmt formatCode="General" sourceLinked="0"/>
            </c:trendlineLbl>
          </c:trendline>
          <c:xVal>
            <c:numRef>
              <c:f>'868v2'!$X$316:$X$330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'868v2'!$Y$316:$Y$330</c:f>
              <c:numCache>
                <c:formatCode>General</c:formatCode>
                <c:ptCount val="15"/>
                <c:pt idx="0">
                  <c:v>20.887</c:v>
                </c:pt>
                <c:pt idx="1">
                  <c:v>19.289400000000001</c:v>
                </c:pt>
                <c:pt idx="2">
                  <c:v>17.795999999999999</c:v>
                </c:pt>
                <c:pt idx="3">
                  <c:v>16.4068</c:v>
                </c:pt>
                <c:pt idx="4">
                  <c:v>15.1218</c:v>
                </c:pt>
                <c:pt idx="5">
                  <c:v>13.941000000000003</c:v>
                </c:pt>
                <c:pt idx="6">
                  <c:v>12.8644</c:v>
                </c:pt>
                <c:pt idx="7">
                  <c:v>11.892000000000001</c:v>
                </c:pt>
                <c:pt idx="8">
                  <c:v>11.023800000000001</c:v>
                </c:pt>
                <c:pt idx="9">
                  <c:v>10.2598</c:v>
                </c:pt>
                <c:pt idx="10">
                  <c:v>9.6000000000000014</c:v>
                </c:pt>
                <c:pt idx="11">
                  <c:v>9.0444000000000013</c:v>
                </c:pt>
                <c:pt idx="12">
                  <c:v>8.593</c:v>
                </c:pt>
                <c:pt idx="13">
                  <c:v>8.2458000000000009</c:v>
                </c:pt>
                <c:pt idx="14">
                  <c:v>7.7973000000000008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1952"/>
        <c:axId val="156438912"/>
      </c:scatterChart>
      <c:valAx>
        <c:axId val="1563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438912"/>
        <c:crosses val="autoZero"/>
        <c:crossBetween val="midCat"/>
      </c:valAx>
      <c:valAx>
        <c:axId val="15643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01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'868v2'!$Y$339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482217847769027"/>
                  <c:y val="-0.30293855020699734"/>
                </c:manualLayout>
              </c:layout>
              <c:numFmt formatCode="General" sourceLinked="0"/>
            </c:trendlineLbl>
          </c:trendline>
          <c:xVal>
            <c:numRef>
              <c:f>'868v2'!$X$340:$X$354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'868v2'!$Y$340:$Y$354</c:f>
              <c:numCache>
                <c:formatCode>General</c:formatCode>
                <c:ptCount val="15"/>
                <c:pt idx="0">
                  <c:v>20.403599999999997</c:v>
                </c:pt>
                <c:pt idx="1">
                  <c:v>18.842100000000002</c:v>
                </c:pt>
                <c:pt idx="2">
                  <c:v>17.3826</c:v>
                </c:pt>
                <c:pt idx="3">
                  <c:v>16.025100000000002</c:v>
                </c:pt>
                <c:pt idx="4">
                  <c:v>14.769600000000001</c:v>
                </c:pt>
                <c:pt idx="5">
                  <c:v>13.616099999999999</c:v>
                </c:pt>
                <c:pt idx="6">
                  <c:v>12.5646</c:v>
                </c:pt>
                <c:pt idx="7">
                  <c:v>11.6151</c:v>
                </c:pt>
                <c:pt idx="8">
                  <c:v>10.7676</c:v>
                </c:pt>
                <c:pt idx="9">
                  <c:v>10.0221</c:v>
                </c:pt>
                <c:pt idx="10">
                  <c:v>9.3786000000000005</c:v>
                </c:pt>
                <c:pt idx="11">
                  <c:v>8.8370999999999995</c:v>
                </c:pt>
                <c:pt idx="12">
                  <c:v>8.3976000000000006</c:v>
                </c:pt>
                <c:pt idx="13">
                  <c:v>8.0601000000000003</c:v>
                </c:pt>
                <c:pt idx="14">
                  <c:v>7.6148000000000007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80640"/>
        <c:axId val="156482176"/>
      </c:scatterChart>
      <c:valAx>
        <c:axId val="15648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482176"/>
        <c:crosses val="autoZero"/>
        <c:crossBetween val="midCat"/>
      </c:valAx>
      <c:valAx>
        <c:axId val="15648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80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'868v2'!$Y$363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204440069991251"/>
                  <c:y val="-0.2931873759682479"/>
                </c:manualLayout>
              </c:layout>
              <c:numFmt formatCode="General" sourceLinked="0"/>
            </c:trendlineLbl>
          </c:trendline>
          <c:xVal>
            <c:numRef>
              <c:f>'868v2'!$X$364:$X$378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'868v2'!$Y$364:$Y$378</c:f>
              <c:numCache>
                <c:formatCode>General</c:formatCode>
                <c:ptCount val="15"/>
                <c:pt idx="0">
                  <c:v>19.974299999999999</c:v>
                </c:pt>
                <c:pt idx="1">
                  <c:v>18.4407</c:v>
                </c:pt>
                <c:pt idx="2">
                  <c:v>17.0075</c:v>
                </c:pt>
                <c:pt idx="3">
                  <c:v>15.674700000000001</c:v>
                </c:pt>
                <c:pt idx="4">
                  <c:v>14.442300000000001</c:v>
                </c:pt>
                <c:pt idx="5">
                  <c:v>13.310300000000002</c:v>
                </c:pt>
                <c:pt idx="6">
                  <c:v>12.278700000000001</c:v>
                </c:pt>
                <c:pt idx="7">
                  <c:v>11.3475</c:v>
                </c:pt>
                <c:pt idx="8">
                  <c:v>10.5167</c:v>
                </c:pt>
                <c:pt idx="9">
                  <c:v>9.7863000000000007</c:v>
                </c:pt>
                <c:pt idx="10">
                  <c:v>9.1563000000000017</c:v>
                </c:pt>
                <c:pt idx="11">
                  <c:v>8.6267000000000014</c:v>
                </c:pt>
                <c:pt idx="12">
                  <c:v>8.1975000000000016</c:v>
                </c:pt>
                <c:pt idx="13">
                  <c:v>7.8687000000000005</c:v>
                </c:pt>
                <c:pt idx="14">
                  <c:v>7.4406000000000008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99328"/>
        <c:axId val="156832896"/>
      </c:scatterChart>
      <c:valAx>
        <c:axId val="15649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832896"/>
        <c:crosses val="autoZero"/>
        <c:crossBetween val="midCat"/>
      </c:valAx>
      <c:valAx>
        <c:axId val="1568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99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'868v2'!$AH$387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648884514435697"/>
                  <c:y val="-0.27773966373015252"/>
                </c:manualLayout>
              </c:layout>
              <c:numFmt formatCode="General" sourceLinked="0"/>
            </c:trendlineLbl>
          </c:trendline>
          <c:xVal>
            <c:numRef>
              <c:f>'868v2'!$AG$388:$AG$402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'868v2'!$AH$388:$AH$402</c:f>
              <c:numCache>
                <c:formatCode>General</c:formatCode>
                <c:ptCount val="15"/>
                <c:pt idx="0">
                  <c:v>19.549900000000001</c:v>
                </c:pt>
                <c:pt idx="1">
                  <c:v>18.046500000000002</c:v>
                </c:pt>
                <c:pt idx="2">
                  <c:v>16.6417</c:v>
                </c:pt>
                <c:pt idx="3">
                  <c:v>15.3355</c:v>
                </c:pt>
                <c:pt idx="4">
                  <c:v>14.1279</c:v>
                </c:pt>
                <c:pt idx="5">
                  <c:v>13.0189</c:v>
                </c:pt>
                <c:pt idx="6">
                  <c:v>12.008500000000002</c:v>
                </c:pt>
                <c:pt idx="7">
                  <c:v>11.0967</c:v>
                </c:pt>
                <c:pt idx="8">
                  <c:v>10.2835</c:v>
                </c:pt>
                <c:pt idx="9">
                  <c:v>9.5689000000000011</c:v>
                </c:pt>
                <c:pt idx="10">
                  <c:v>8.9529000000000014</c:v>
                </c:pt>
                <c:pt idx="11">
                  <c:v>8.4355000000000011</c:v>
                </c:pt>
                <c:pt idx="12">
                  <c:v>8.0167000000000002</c:v>
                </c:pt>
                <c:pt idx="13">
                  <c:v>7.6965000000000003</c:v>
                </c:pt>
                <c:pt idx="14">
                  <c:v>7.2721000000000009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66432"/>
        <c:axId val="156867968"/>
      </c:scatterChart>
      <c:valAx>
        <c:axId val="15686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867968"/>
        <c:crosses val="autoZero"/>
        <c:crossBetween val="midCat"/>
      </c:valAx>
      <c:valAx>
        <c:axId val="15686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66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'868v2'!$AH$411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629440069991253"/>
                  <c:y val="-0.26051706036745409"/>
                </c:manualLayout>
              </c:layout>
              <c:numFmt formatCode="General" sourceLinked="0"/>
            </c:trendlineLbl>
          </c:trendline>
          <c:xVal>
            <c:numRef>
              <c:f>'868v2'!$AG$412:$AG$426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'868v2'!$AH$412:$AH$426</c:f>
              <c:numCache>
                <c:formatCode>General</c:formatCode>
                <c:ptCount val="15"/>
                <c:pt idx="0">
                  <c:v>19.082999999999998</c:v>
                </c:pt>
                <c:pt idx="1">
                  <c:v>17.613300000000002</c:v>
                </c:pt>
                <c:pt idx="2">
                  <c:v>16.240200000000002</c:v>
                </c:pt>
                <c:pt idx="3">
                  <c:v>14.963699999999999</c:v>
                </c:pt>
                <c:pt idx="4">
                  <c:v>13.783799999999999</c:v>
                </c:pt>
                <c:pt idx="5">
                  <c:v>12.7005</c:v>
                </c:pt>
                <c:pt idx="6">
                  <c:v>11.713800000000001</c:v>
                </c:pt>
                <c:pt idx="7">
                  <c:v>10.823700000000001</c:v>
                </c:pt>
                <c:pt idx="8">
                  <c:v>10.030200000000001</c:v>
                </c:pt>
                <c:pt idx="9">
                  <c:v>9.3333000000000013</c:v>
                </c:pt>
                <c:pt idx="10">
                  <c:v>8.7330000000000005</c:v>
                </c:pt>
                <c:pt idx="11">
                  <c:v>8.2293000000000003</c:v>
                </c:pt>
                <c:pt idx="12">
                  <c:v>7.8222000000000005</c:v>
                </c:pt>
                <c:pt idx="13">
                  <c:v>7.5117000000000003</c:v>
                </c:pt>
                <c:pt idx="14">
                  <c:v>7.0992000000000006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69984"/>
        <c:axId val="156571520"/>
      </c:scatterChart>
      <c:valAx>
        <c:axId val="15656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571520"/>
        <c:crosses val="autoZero"/>
        <c:crossBetween val="midCat"/>
      </c:valAx>
      <c:valAx>
        <c:axId val="15657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69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'868'!$C$239</c:f>
              <c:strCache>
                <c:ptCount val="1"/>
                <c:pt idx="0">
                  <c:v>avg 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8813992612258338"/>
                  <c:y val="-3.4571410281031945E-2"/>
                </c:manualLayout>
              </c:layout>
              <c:numFmt formatCode="General" sourceLinked="0"/>
            </c:trendlineLbl>
          </c:trendline>
          <c:xVal>
            <c:numRef>
              <c:f>'868'!$D$235:$AR$235</c:f>
              <c:numCache>
                <c:formatCode>General</c:formatCode>
                <c:ptCount val="41"/>
                <c:pt idx="0">
                  <c:v>1.8</c:v>
                </c:pt>
                <c:pt idx="1">
                  <c:v>1.85</c:v>
                </c:pt>
                <c:pt idx="2">
                  <c:v>1.9</c:v>
                </c:pt>
                <c:pt idx="3">
                  <c:v>1.95</c:v>
                </c:pt>
                <c:pt idx="4">
                  <c:v>2</c:v>
                </c:pt>
                <c:pt idx="5">
                  <c:v>2.0499999999999998</c:v>
                </c:pt>
                <c:pt idx="6">
                  <c:v>2.1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2.25</c:v>
                </c:pt>
                <c:pt idx="10">
                  <c:v>2.2999999999999998</c:v>
                </c:pt>
                <c:pt idx="11">
                  <c:v>2.35</c:v>
                </c:pt>
                <c:pt idx="12">
                  <c:v>2.4</c:v>
                </c:pt>
                <c:pt idx="13">
                  <c:v>2.4500000000000002</c:v>
                </c:pt>
                <c:pt idx="14">
                  <c:v>2.5</c:v>
                </c:pt>
                <c:pt idx="15">
                  <c:v>2.5499999999999998</c:v>
                </c:pt>
                <c:pt idx="16">
                  <c:v>2.6</c:v>
                </c:pt>
                <c:pt idx="17">
                  <c:v>2.65</c:v>
                </c:pt>
                <c:pt idx="18">
                  <c:v>2.7</c:v>
                </c:pt>
                <c:pt idx="19">
                  <c:v>2.75</c:v>
                </c:pt>
                <c:pt idx="20">
                  <c:v>2.8</c:v>
                </c:pt>
                <c:pt idx="21">
                  <c:v>2.85</c:v>
                </c:pt>
                <c:pt idx="22">
                  <c:v>2.9</c:v>
                </c:pt>
                <c:pt idx="23">
                  <c:v>2.95</c:v>
                </c:pt>
                <c:pt idx="24">
                  <c:v>3</c:v>
                </c:pt>
                <c:pt idx="25">
                  <c:v>3.05</c:v>
                </c:pt>
                <c:pt idx="26">
                  <c:v>3.1</c:v>
                </c:pt>
                <c:pt idx="27">
                  <c:v>3.15</c:v>
                </c:pt>
                <c:pt idx="28">
                  <c:v>3.2</c:v>
                </c:pt>
                <c:pt idx="29">
                  <c:v>3.25</c:v>
                </c:pt>
                <c:pt idx="30">
                  <c:v>3.3</c:v>
                </c:pt>
                <c:pt idx="31">
                  <c:v>3.35</c:v>
                </c:pt>
                <c:pt idx="32">
                  <c:v>3.4</c:v>
                </c:pt>
                <c:pt idx="33">
                  <c:v>3.45</c:v>
                </c:pt>
                <c:pt idx="34">
                  <c:v>3.5</c:v>
                </c:pt>
                <c:pt idx="35">
                  <c:v>3.55</c:v>
                </c:pt>
                <c:pt idx="36">
                  <c:v>3.6</c:v>
                </c:pt>
                <c:pt idx="37">
                  <c:v>3.65</c:v>
                </c:pt>
                <c:pt idx="38">
                  <c:v>3.7</c:v>
                </c:pt>
                <c:pt idx="39">
                  <c:v>3.75</c:v>
                </c:pt>
                <c:pt idx="40">
                  <c:v>3.8</c:v>
                </c:pt>
              </c:numCache>
            </c:numRef>
          </c:xVal>
          <c:yVal>
            <c:numRef>
              <c:f>'868'!$D$239:$AR$239</c:f>
              <c:numCache>
                <c:formatCode>General</c:formatCode>
                <c:ptCount val="41"/>
                <c:pt idx="0">
                  <c:v>20.438170333333332</c:v>
                </c:pt>
                <c:pt idx="1">
                  <c:v>20.425887333333336</c:v>
                </c:pt>
                <c:pt idx="2">
                  <c:v>20.434538666666665</c:v>
                </c:pt>
                <c:pt idx="3">
                  <c:v>20.433307333333332</c:v>
                </c:pt>
                <c:pt idx="4">
                  <c:v>19.120347666666664</c:v>
                </c:pt>
                <c:pt idx="5">
                  <c:v>18.236382333333335</c:v>
                </c:pt>
                <c:pt idx="6">
                  <c:v>17.733447999999999</c:v>
                </c:pt>
                <c:pt idx="7">
                  <c:v>17.486482333333331</c:v>
                </c:pt>
                <c:pt idx="8">
                  <c:v>16.995684999999998</c:v>
                </c:pt>
                <c:pt idx="9">
                  <c:v>16.725522999999999</c:v>
                </c:pt>
                <c:pt idx="10">
                  <c:v>16.335282666666668</c:v>
                </c:pt>
                <c:pt idx="11">
                  <c:v>16.006837333333333</c:v>
                </c:pt>
                <c:pt idx="12">
                  <c:v>15.771398999999997</c:v>
                </c:pt>
                <c:pt idx="13">
                  <c:v>15.388475666666666</c:v>
                </c:pt>
                <c:pt idx="14">
                  <c:v>15.204537333333334</c:v>
                </c:pt>
                <c:pt idx="15">
                  <c:v>14.997782000000001</c:v>
                </c:pt>
                <c:pt idx="16">
                  <c:v>14.779755999999999</c:v>
                </c:pt>
                <c:pt idx="17">
                  <c:v>14.424352333333333</c:v>
                </c:pt>
                <c:pt idx="18">
                  <c:v>14.138458999999999</c:v>
                </c:pt>
                <c:pt idx="19">
                  <c:v>13.943642666666667</c:v>
                </c:pt>
                <c:pt idx="20">
                  <c:v>13.747217999999998</c:v>
                </c:pt>
                <c:pt idx="21">
                  <c:v>13.547675666666665</c:v>
                </c:pt>
                <c:pt idx="22">
                  <c:v>13.202461333333332</c:v>
                </c:pt>
                <c:pt idx="23">
                  <c:v>13.114939666666666</c:v>
                </c:pt>
                <c:pt idx="24">
                  <c:v>12.939681666666667</c:v>
                </c:pt>
                <c:pt idx="25">
                  <c:v>12.782565333333332</c:v>
                </c:pt>
                <c:pt idx="26">
                  <c:v>12.605503666666669</c:v>
                </c:pt>
                <c:pt idx="27">
                  <c:v>12.402347000000001</c:v>
                </c:pt>
                <c:pt idx="28">
                  <c:v>12.141953000000001</c:v>
                </c:pt>
                <c:pt idx="29">
                  <c:v>11.990079666666666</c:v>
                </c:pt>
                <c:pt idx="30">
                  <c:v>11.839997666666667</c:v>
                </c:pt>
                <c:pt idx="31">
                  <c:v>11.701907666666665</c:v>
                </c:pt>
                <c:pt idx="32">
                  <c:v>11.561268333333333</c:v>
                </c:pt>
                <c:pt idx="33">
                  <c:v>11.421916333333334</c:v>
                </c:pt>
                <c:pt idx="34">
                  <c:v>11.288220333333333</c:v>
                </c:pt>
                <c:pt idx="35">
                  <c:v>11.170365666666667</c:v>
                </c:pt>
                <c:pt idx="36">
                  <c:v>11.033326000000001</c:v>
                </c:pt>
                <c:pt idx="37">
                  <c:v>10.919216333333333</c:v>
                </c:pt>
                <c:pt idx="38">
                  <c:v>10.802434666666665</c:v>
                </c:pt>
                <c:pt idx="39">
                  <c:v>10.688815</c:v>
                </c:pt>
                <c:pt idx="40">
                  <c:v>10.594182333333334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69216"/>
        <c:axId val="149370752"/>
      </c:scatterChart>
      <c:valAx>
        <c:axId val="14936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370752"/>
        <c:crosses val="autoZero"/>
        <c:crossBetween val="midCat"/>
      </c:valAx>
      <c:valAx>
        <c:axId val="1493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69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'868v2'!$AH$435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37110673665792"/>
                  <c:y val="-0.25446069241344832"/>
                </c:manualLayout>
              </c:layout>
              <c:numFmt formatCode="General" sourceLinked="0"/>
            </c:trendlineLbl>
          </c:trendline>
          <c:xVal>
            <c:numRef>
              <c:f>'868v2'!$AG$436:$AG$450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'868v2'!$AH$436:$AH$450</c:f>
              <c:numCache>
                <c:formatCode>General</c:formatCode>
                <c:ptCount val="15"/>
                <c:pt idx="0">
                  <c:v>18.7788</c:v>
                </c:pt>
                <c:pt idx="1">
                  <c:v>17.3338</c:v>
                </c:pt>
                <c:pt idx="2">
                  <c:v>15.983599999999999</c:v>
                </c:pt>
                <c:pt idx="3">
                  <c:v>14.728200000000001</c:v>
                </c:pt>
                <c:pt idx="4">
                  <c:v>13.567600000000001</c:v>
                </c:pt>
                <c:pt idx="5">
                  <c:v>12.501799999999999</c:v>
                </c:pt>
                <c:pt idx="6">
                  <c:v>11.530799999999999</c:v>
                </c:pt>
                <c:pt idx="7">
                  <c:v>10.6546</c:v>
                </c:pt>
                <c:pt idx="8">
                  <c:v>9.8732000000000006</c:v>
                </c:pt>
                <c:pt idx="9">
                  <c:v>9.1866000000000003</c:v>
                </c:pt>
                <c:pt idx="10">
                  <c:v>8.5947999999999993</c:v>
                </c:pt>
                <c:pt idx="11">
                  <c:v>8.0977999999999994</c:v>
                </c:pt>
                <c:pt idx="12">
                  <c:v>7.6956000000000007</c:v>
                </c:pt>
                <c:pt idx="13">
                  <c:v>7.3882000000000003</c:v>
                </c:pt>
                <c:pt idx="14">
                  <c:v>6.9782000000000002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96864"/>
        <c:axId val="156602752"/>
      </c:scatterChart>
      <c:valAx>
        <c:axId val="15659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602752"/>
        <c:crosses val="autoZero"/>
        <c:crossBetween val="midCat"/>
      </c:valAx>
      <c:valAx>
        <c:axId val="1566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96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'868v2'!$Y$51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49387576552932"/>
                  <c:y val="-0.29782892523050003"/>
                </c:manualLayout>
              </c:layout>
              <c:numFmt formatCode="General" sourceLinked="0"/>
            </c:trendlineLbl>
          </c:trendline>
          <c:xVal>
            <c:numRef>
              <c:f>'868v2'!$X$66:$X$70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'868v2'!$Y$66:$Y$70</c:f>
              <c:numCache>
                <c:formatCode>General</c:formatCode>
                <c:ptCount val="5"/>
                <c:pt idx="0">
                  <c:v>10.983699999999999</c:v>
                </c:pt>
                <c:pt idx="1">
                  <c:v>8.9046999999999983</c:v>
                </c:pt>
                <c:pt idx="2">
                  <c:v>7.5756999999999985</c:v>
                </c:pt>
                <c:pt idx="3">
                  <c:v>6.9966999999999988</c:v>
                </c:pt>
                <c:pt idx="4">
                  <c:v>7.1676999999999982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44480"/>
        <c:axId val="156646016"/>
      </c:scatterChart>
      <c:valAx>
        <c:axId val="15664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646016"/>
        <c:crosses val="autoZero"/>
        <c:crossBetween val="midCat"/>
      </c:valAx>
      <c:valAx>
        <c:axId val="15664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44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'868v2'!$Y$75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68832020997376"/>
                  <c:y val="-0.3201540162809598"/>
                </c:manualLayout>
              </c:layout>
              <c:numFmt formatCode="General" sourceLinked="0"/>
            </c:trendlineLbl>
          </c:trendline>
          <c:xVal>
            <c:numRef>
              <c:f>'868v2'!$X$90:$X$94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'868v2'!$Y$90:$Y$94</c:f>
              <c:numCache>
                <c:formatCode>General</c:formatCode>
                <c:ptCount val="5"/>
                <c:pt idx="0">
                  <c:v>10.5657</c:v>
                </c:pt>
                <c:pt idx="1">
                  <c:v>8.3782000000000032</c:v>
                </c:pt>
                <c:pt idx="2">
                  <c:v>7.0737000000000023</c:v>
                </c:pt>
                <c:pt idx="3">
                  <c:v>6.494200000000002</c:v>
                </c:pt>
                <c:pt idx="4">
                  <c:v>6.639700000000003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71360"/>
        <c:axId val="156681344"/>
      </c:scatterChart>
      <c:valAx>
        <c:axId val="15667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681344"/>
        <c:crosses val="autoZero"/>
        <c:crossBetween val="midCat"/>
      </c:valAx>
      <c:valAx>
        <c:axId val="15668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71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'868v2'!$Y$99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2146609798775153"/>
                  <c:y val="-0.32544047378693047"/>
                </c:manualLayout>
              </c:layout>
              <c:numFmt formatCode="General" sourceLinked="0"/>
            </c:trendlineLbl>
          </c:trendline>
          <c:xVal>
            <c:numRef>
              <c:f>'868v2'!$X$114:$X$118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'868v2'!$Y$114:$Y$118</c:f>
              <c:numCache>
                <c:formatCode>General</c:formatCode>
                <c:ptCount val="5"/>
                <c:pt idx="0">
                  <c:v>10.407700000000002</c:v>
                </c:pt>
                <c:pt idx="1">
                  <c:v>8.3782000000000032</c:v>
                </c:pt>
                <c:pt idx="2">
                  <c:v>7.0737000000000023</c:v>
                </c:pt>
                <c:pt idx="3">
                  <c:v>6.494200000000002</c:v>
                </c:pt>
                <c:pt idx="4">
                  <c:v>6.639700000000003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10784"/>
        <c:axId val="156712320"/>
      </c:scatterChart>
      <c:valAx>
        <c:axId val="15671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12320"/>
        <c:crosses val="autoZero"/>
        <c:crossBetween val="midCat"/>
      </c:valAx>
      <c:valAx>
        <c:axId val="15671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10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'868v2'!$Y$123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68832020997376"/>
                  <c:y val="-0.33584697200808017"/>
                </c:manualLayout>
              </c:layout>
              <c:numFmt formatCode="General" sourceLinked="0"/>
            </c:trendlineLbl>
          </c:trendline>
          <c:xVal>
            <c:numRef>
              <c:f>'868v2'!$X$138:$X$142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'868v2'!$Y$138:$Y$142</c:f>
              <c:numCache>
                <c:formatCode>General</c:formatCode>
                <c:ptCount val="5"/>
                <c:pt idx="0">
                  <c:v>9.9283000000000001</c:v>
                </c:pt>
                <c:pt idx="1">
                  <c:v>8.1163000000000007</c:v>
                </c:pt>
                <c:pt idx="2">
                  <c:v>6.9243000000000006</c:v>
                </c:pt>
                <c:pt idx="3">
                  <c:v>6.3523000000000005</c:v>
                </c:pt>
                <c:pt idx="4">
                  <c:v>6.4003000000000005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2016"/>
        <c:axId val="156743552"/>
      </c:scatterChart>
      <c:valAx>
        <c:axId val="15674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43552"/>
        <c:crosses val="autoZero"/>
        <c:crossBetween val="midCat"/>
      </c:valAx>
      <c:valAx>
        <c:axId val="15674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2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'868v2'!$Y$147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2146609798775153"/>
                  <c:y val="-0.33965106564516417"/>
                </c:manualLayout>
              </c:layout>
              <c:numFmt formatCode="General" sourceLinked="0"/>
            </c:trendlineLbl>
          </c:trendline>
          <c:xVal>
            <c:numRef>
              <c:f>'868v2'!$X$162:$X$166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'868v2'!$Y$162:$Y$166</c:f>
              <c:numCache>
                <c:formatCode>General</c:formatCode>
                <c:ptCount val="5"/>
                <c:pt idx="0">
                  <c:v>9.6182000000000016</c:v>
                </c:pt>
                <c:pt idx="1">
                  <c:v>7.7672000000000008</c:v>
                </c:pt>
                <c:pt idx="2">
                  <c:v>6.5912000000000006</c:v>
                </c:pt>
                <c:pt idx="3">
                  <c:v>6.0902000000000012</c:v>
                </c:pt>
                <c:pt idx="4">
                  <c:v>6.2642000000000007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56608"/>
        <c:axId val="157168000"/>
      </c:scatterChart>
      <c:valAx>
        <c:axId val="15675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168000"/>
        <c:crosses val="autoZero"/>
        <c:crossBetween val="midCat"/>
      </c:valAx>
      <c:valAx>
        <c:axId val="15716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56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'868v2'!$Y$171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68832020997376"/>
                  <c:y val="-0.27234666055092627"/>
                </c:manualLayout>
              </c:layout>
              <c:numFmt formatCode="General" sourceLinked="0"/>
            </c:trendlineLbl>
          </c:trendline>
          <c:xVal>
            <c:numRef>
              <c:f>'868v2'!$X$186:$X$190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'868v2'!$Y$186:$Y$190</c:f>
              <c:numCache>
                <c:formatCode>General</c:formatCode>
                <c:ptCount val="5"/>
                <c:pt idx="0">
                  <c:v>9.2298000000000009</c:v>
                </c:pt>
                <c:pt idx="1">
                  <c:v>7.5503000000000009</c:v>
                </c:pt>
                <c:pt idx="2">
                  <c:v>6.4458000000000002</c:v>
                </c:pt>
                <c:pt idx="3">
                  <c:v>5.9162999999999997</c:v>
                </c:pt>
                <c:pt idx="4">
                  <c:v>5.9618000000000002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536"/>
        <c:axId val="157203072"/>
      </c:scatterChart>
      <c:valAx>
        <c:axId val="15720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203072"/>
        <c:crosses val="autoZero"/>
        <c:crossBetween val="midCat"/>
      </c:valAx>
      <c:valAx>
        <c:axId val="15720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20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'868v2'!$Y$195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49387576552932"/>
                  <c:y val="-0.27881915246031141"/>
                </c:manualLayout>
              </c:layout>
              <c:numFmt formatCode="General" sourceLinked="0"/>
            </c:trendlineLbl>
          </c:trendline>
          <c:xVal>
            <c:numRef>
              <c:f>'868v2'!$X$210:$X$214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'868v2'!$Y$210:$Y$214</c:f>
              <c:numCache>
                <c:formatCode>General</c:formatCode>
                <c:ptCount val="5"/>
                <c:pt idx="0">
                  <c:v>8.9789999999999992</c:v>
                </c:pt>
                <c:pt idx="1">
                  <c:v>7.3404999999999987</c:v>
                </c:pt>
                <c:pt idx="2">
                  <c:v>6.2619999999999987</c:v>
                </c:pt>
                <c:pt idx="3">
                  <c:v>5.7434999999999992</c:v>
                </c:pt>
                <c:pt idx="4">
                  <c:v>5.7849999999999975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13024"/>
        <c:axId val="156914816"/>
      </c:scatterChart>
      <c:valAx>
        <c:axId val="1569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914816"/>
        <c:crosses val="autoZero"/>
        <c:crossBetween val="midCat"/>
      </c:valAx>
      <c:valAx>
        <c:axId val="15691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13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'868v2'!$Y$219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2146609798775153"/>
                  <c:y val="-0.28668345774711362"/>
                </c:manualLayout>
              </c:layout>
              <c:numFmt formatCode="General" sourceLinked="0"/>
            </c:trendlineLbl>
          </c:trendline>
          <c:xVal>
            <c:numRef>
              <c:f>'868v2'!$X$234:$X$238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'868v2'!$Y$234:$Y$238</c:f>
              <c:numCache>
                <c:formatCode>General</c:formatCode>
                <c:ptCount val="5"/>
                <c:pt idx="0">
                  <c:v>8.6189</c:v>
                </c:pt>
                <c:pt idx="1">
                  <c:v>7.0494000000000003</c:v>
                </c:pt>
                <c:pt idx="2">
                  <c:v>6.0148999999999999</c:v>
                </c:pt>
                <c:pt idx="3">
                  <c:v>5.5153999999999996</c:v>
                </c:pt>
                <c:pt idx="4">
                  <c:v>5.5508999999999995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4256"/>
        <c:axId val="156945792"/>
      </c:scatterChart>
      <c:valAx>
        <c:axId val="15694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945792"/>
        <c:crosses val="autoZero"/>
        <c:crossBetween val="midCat"/>
      </c:valAx>
      <c:valAx>
        <c:axId val="15694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44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'868v2'!$Y$243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242438757655293"/>
                  <c:y val="-0.30665006159944291"/>
                </c:manualLayout>
              </c:layout>
              <c:numFmt formatCode="General" sourceLinked="0"/>
            </c:trendlineLbl>
          </c:trendline>
          <c:xVal>
            <c:numRef>
              <c:f>'868v2'!$X$258:$X$262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'868v2'!$Y$258:$Y$262</c:f>
              <c:numCache>
                <c:formatCode>General</c:formatCode>
                <c:ptCount val="5"/>
                <c:pt idx="0">
                  <c:v>8.5225000000000009</c:v>
                </c:pt>
                <c:pt idx="1">
                  <c:v>7.0325000000000006</c:v>
                </c:pt>
                <c:pt idx="2">
                  <c:v>6.017500000000001</c:v>
                </c:pt>
                <c:pt idx="3">
                  <c:v>5.4775000000000009</c:v>
                </c:pt>
                <c:pt idx="4">
                  <c:v>5.4125000000000005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45120"/>
        <c:axId val="157046656"/>
      </c:scatterChart>
      <c:valAx>
        <c:axId val="1570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046656"/>
        <c:crosses val="autoZero"/>
        <c:crossBetween val="midCat"/>
      </c:valAx>
      <c:valAx>
        <c:axId val="15704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45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'868'!$C$270</c:f>
              <c:strCache>
                <c:ptCount val="1"/>
                <c:pt idx="0">
                  <c:v>avg current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4685020929760829"/>
                  <c:y val="6.3237733096574766E-2"/>
                </c:manualLayout>
              </c:layout>
              <c:numFmt formatCode="General" sourceLinked="0"/>
            </c:trendlineLbl>
          </c:trendline>
          <c:xVal>
            <c:numRef>
              <c:f>'868'!$D$266:$AR$266</c:f>
              <c:numCache>
                <c:formatCode>General</c:formatCode>
                <c:ptCount val="41"/>
                <c:pt idx="0">
                  <c:v>1.8</c:v>
                </c:pt>
                <c:pt idx="1">
                  <c:v>1.85</c:v>
                </c:pt>
                <c:pt idx="2">
                  <c:v>1.9</c:v>
                </c:pt>
                <c:pt idx="3">
                  <c:v>1.95</c:v>
                </c:pt>
                <c:pt idx="4">
                  <c:v>2</c:v>
                </c:pt>
                <c:pt idx="5">
                  <c:v>2.0499999999999998</c:v>
                </c:pt>
                <c:pt idx="6">
                  <c:v>2.1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2.25</c:v>
                </c:pt>
                <c:pt idx="10">
                  <c:v>2.2999999999999998</c:v>
                </c:pt>
                <c:pt idx="11">
                  <c:v>2.35</c:v>
                </c:pt>
                <c:pt idx="12">
                  <c:v>2.4</c:v>
                </c:pt>
                <c:pt idx="13">
                  <c:v>2.4500000000000002</c:v>
                </c:pt>
                <c:pt idx="14">
                  <c:v>2.5</c:v>
                </c:pt>
                <c:pt idx="15">
                  <c:v>2.5499999999999998</c:v>
                </c:pt>
                <c:pt idx="16">
                  <c:v>2.6</c:v>
                </c:pt>
                <c:pt idx="17">
                  <c:v>2.65</c:v>
                </c:pt>
                <c:pt idx="18">
                  <c:v>2.7</c:v>
                </c:pt>
                <c:pt idx="19">
                  <c:v>2.75</c:v>
                </c:pt>
                <c:pt idx="20">
                  <c:v>2.8</c:v>
                </c:pt>
                <c:pt idx="21">
                  <c:v>2.85</c:v>
                </c:pt>
                <c:pt idx="22">
                  <c:v>2.9</c:v>
                </c:pt>
                <c:pt idx="23">
                  <c:v>2.95</c:v>
                </c:pt>
                <c:pt idx="24">
                  <c:v>3</c:v>
                </c:pt>
                <c:pt idx="25">
                  <c:v>3.05</c:v>
                </c:pt>
                <c:pt idx="26">
                  <c:v>3.1</c:v>
                </c:pt>
                <c:pt idx="27">
                  <c:v>3.15</c:v>
                </c:pt>
                <c:pt idx="28">
                  <c:v>3.2</c:v>
                </c:pt>
                <c:pt idx="29">
                  <c:v>3.25</c:v>
                </c:pt>
                <c:pt idx="30">
                  <c:v>3.3</c:v>
                </c:pt>
                <c:pt idx="31">
                  <c:v>3.35</c:v>
                </c:pt>
                <c:pt idx="32">
                  <c:v>3.4</c:v>
                </c:pt>
                <c:pt idx="33">
                  <c:v>3.45</c:v>
                </c:pt>
                <c:pt idx="34">
                  <c:v>3.5</c:v>
                </c:pt>
                <c:pt idx="35">
                  <c:v>3.55</c:v>
                </c:pt>
                <c:pt idx="36">
                  <c:v>3.6</c:v>
                </c:pt>
                <c:pt idx="37">
                  <c:v>3.65</c:v>
                </c:pt>
                <c:pt idx="38">
                  <c:v>3.7</c:v>
                </c:pt>
                <c:pt idx="39">
                  <c:v>3.75</c:v>
                </c:pt>
                <c:pt idx="40">
                  <c:v>3.8</c:v>
                </c:pt>
              </c:numCache>
            </c:numRef>
          </c:xVal>
          <c:yVal>
            <c:numRef>
              <c:f>'868'!$D$270:$AR$270</c:f>
              <c:numCache>
                <c:formatCode>General</c:formatCode>
                <c:ptCount val="41"/>
                <c:pt idx="0">
                  <c:v>18.917638999999998</c:v>
                </c:pt>
                <c:pt idx="1">
                  <c:v>18.895615666666668</c:v>
                </c:pt>
                <c:pt idx="2">
                  <c:v>18.907823666666669</c:v>
                </c:pt>
                <c:pt idx="3">
                  <c:v>18.911517</c:v>
                </c:pt>
                <c:pt idx="4">
                  <c:v>18.31033</c:v>
                </c:pt>
                <c:pt idx="5">
                  <c:v>16.879444333333335</c:v>
                </c:pt>
                <c:pt idx="6">
                  <c:v>16.405573333333333</c:v>
                </c:pt>
                <c:pt idx="7">
                  <c:v>16.188101</c:v>
                </c:pt>
                <c:pt idx="8">
                  <c:v>15.730502999999999</c:v>
                </c:pt>
                <c:pt idx="9">
                  <c:v>15.484256666666667</c:v>
                </c:pt>
                <c:pt idx="10">
                  <c:v>15.119908666666667</c:v>
                </c:pt>
                <c:pt idx="11">
                  <c:v>14.817849333333333</c:v>
                </c:pt>
                <c:pt idx="12">
                  <c:v>14.598145333333333</c:v>
                </c:pt>
                <c:pt idx="13">
                  <c:v>14.231580666666666</c:v>
                </c:pt>
                <c:pt idx="14">
                  <c:v>14.102730333333334</c:v>
                </c:pt>
                <c:pt idx="15">
                  <c:v>13.907722666666666</c:v>
                </c:pt>
                <c:pt idx="16">
                  <c:v>13.706564999999999</c:v>
                </c:pt>
                <c:pt idx="17">
                  <c:v>13.315142666666667</c:v>
                </c:pt>
                <c:pt idx="18">
                  <c:v>13.113214333333332</c:v>
                </c:pt>
                <c:pt idx="19">
                  <c:v>12.930072333333333</c:v>
                </c:pt>
                <c:pt idx="20">
                  <c:v>12.751970333333333</c:v>
                </c:pt>
                <c:pt idx="21">
                  <c:v>12.562441999999999</c:v>
                </c:pt>
                <c:pt idx="22">
                  <c:v>12.244929999999998</c:v>
                </c:pt>
                <c:pt idx="23">
                  <c:v>12.070296666666666</c:v>
                </c:pt>
                <c:pt idx="24">
                  <c:v>12.017670666666668</c:v>
                </c:pt>
                <c:pt idx="25">
                  <c:v>11.863064000000001</c:v>
                </c:pt>
                <c:pt idx="26">
                  <c:v>11.706249</c:v>
                </c:pt>
                <c:pt idx="27">
                  <c:v>11.517981999999998</c:v>
                </c:pt>
                <c:pt idx="28">
                  <c:v>11.268817333333333</c:v>
                </c:pt>
                <c:pt idx="29">
                  <c:v>11.130767999999998</c:v>
                </c:pt>
                <c:pt idx="30">
                  <c:v>10.995005666666666</c:v>
                </c:pt>
                <c:pt idx="31">
                  <c:v>10.868350999999999</c:v>
                </c:pt>
                <c:pt idx="32">
                  <c:v>10.736245666666667</c:v>
                </c:pt>
                <c:pt idx="33">
                  <c:v>10.612830000000001</c:v>
                </c:pt>
                <c:pt idx="34">
                  <c:v>10.483440666666667</c:v>
                </c:pt>
                <c:pt idx="35">
                  <c:v>10.367985666666668</c:v>
                </c:pt>
                <c:pt idx="36">
                  <c:v>10.250321666666666</c:v>
                </c:pt>
                <c:pt idx="37">
                  <c:v>10.143390000000002</c:v>
                </c:pt>
                <c:pt idx="38">
                  <c:v>10.036395333333333</c:v>
                </c:pt>
                <c:pt idx="39">
                  <c:v>9.9358439999999995</c:v>
                </c:pt>
                <c:pt idx="40">
                  <c:v>9.8418673333333349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96864"/>
        <c:axId val="149406848"/>
      </c:scatterChart>
      <c:valAx>
        <c:axId val="14939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406848"/>
        <c:crosses val="autoZero"/>
        <c:crossBetween val="midCat"/>
      </c:valAx>
      <c:valAx>
        <c:axId val="14940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96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'868v2'!$Y$267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68832020997376"/>
                  <c:y val="-0.28192669383663727"/>
                </c:manualLayout>
              </c:layout>
              <c:numFmt formatCode="General" sourceLinked="0"/>
            </c:trendlineLbl>
          </c:trendline>
          <c:xVal>
            <c:numRef>
              <c:f>'868v2'!$X$282:$X$286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'868v2'!$Y$282:$Y$286</c:f>
              <c:numCache>
                <c:formatCode>General</c:formatCode>
                <c:ptCount val="5"/>
                <c:pt idx="0">
                  <c:v>8.2981000000000016</c:v>
                </c:pt>
                <c:pt idx="1">
                  <c:v>6.8481000000000014</c:v>
                </c:pt>
                <c:pt idx="2">
                  <c:v>5.8631000000000011</c:v>
                </c:pt>
                <c:pt idx="3">
                  <c:v>5.3431000000000015</c:v>
                </c:pt>
                <c:pt idx="4">
                  <c:v>5.2881000000000009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0192"/>
        <c:axId val="157094272"/>
      </c:scatterChart>
      <c:valAx>
        <c:axId val="15708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094272"/>
        <c:crosses val="autoZero"/>
        <c:crossBetween val="midCat"/>
      </c:valAx>
      <c:valAx>
        <c:axId val="15709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80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'868v2'!$Y$291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274387576552929"/>
                  <c:y val="-0.29759971713380384"/>
                </c:manualLayout>
              </c:layout>
              <c:numFmt formatCode="General" sourceLinked="0"/>
            </c:trendlineLbl>
          </c:trendline>
          <c:xVal>
            <c:numRef>
              <c:f>'868v2'!$X$306:$X$310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'868v2'!$Y$306:$Y$310</c:f>
              <c:numCache>
                <c:formatCode>General</c:formatCode>
                <c:ptCount val="5"/>
                <c:pt idx="0">
                  <c:v>7.9964000000000004</c:v>
                </c:pt>
                <c:pt idx="1">
                  <c:v>6.6013999999999999</c:v>
                </c:pt>
                <c:pt idx="2">
                  <c:v>5.6563999999999997</c:v>
                </c:pt>
                <c:pt idx="3">
                  <c:v>5.1614000000000004</c:v>
                </c:pt>
                <c:pt idx="4">
                  <c:v>5.1163999999999996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6000"/>
        <c:axId val="157137536"/>
      </c:scatterChart>
      <c:valAx>
        <c:axId val="15713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137536"/>
        <c:crosses val="autoZero"/>
        <c:crossBetween val="midCat"/>
      </c:valAx>
      <c:valAx>
        <c:axId val="15713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36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'868v2'!$Y$315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2146609798775153"/>
                  <c:y val="-0.28748306461692291"/>
                </c:manualLayout>
              </c:layout>
              <c:numFmt formatCode="General" sourceLinked="0"/>
            </c:trendlineLbl>
          </c:trendline>
          <c:xVal>
            <c:numRef>
              <c:f>'868v2'!$X$330:$X$334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'868v2'!$Y$330:$Y$334</c:f>
              <c:numCache>
                <c:formatCode>General</c:formatCode>
                <c:ptCount val="5"/>
                <c:pt idx="0">
                  <c:v>7.7973000000000008</c:v>
                </c:pt>
                <c:pt idx="1">
                  <c:v>6.4378000000000011</c:v>
                </c:pt>
                <c:pt idx="2">
                  <c:v>5.5183</c:v>
                </c:pt>
                <c:pt idx="3">
                  <c:v>5.0388000000000011</c:v>
                </c:pt>
                <c:pt idx="4">
                  <c:v>4.9992999999999999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93952"/>
        <c:axId val="157295744"/>
      </c:scatterChart>
      <c:valAx>
        <c:axId val="15729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295744"/>
        <c:crosses val="autoZero"/>
        <c:crossBetween val="midCat"/>
      </c:valAx>
      <c:valAx>
        <c:axId val="15729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293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'868v2'!$Y$339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68832020997376"/>
                  <c:y val="-0.28718372703412076"/>
                </c:manualLayout>
              </c:layout>
              <c:numFmt formatCode="General" sourceLinked="0"/>
            </c:trendlineLbl>
          </c:trendline>
          <c:xVal>
            <c:numRef>
              <c:f>'868v2'!$X$354:$X$358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'868v2'!$Y$354:$Y$358</c:f>
              <c:numCache>
                <c:formatCode>General</c:formatCode>
                <c:ptCount val="5"/>
                <c:pt idx="0">
                  <c:v>7.6148000000000007</c:v>
                </c:pt>
                <c:pt idx="1">
                  <c:v>6.2868000000000004</c:v>
                </c:pt>
                <c:pt idx="2">
                  <c:v>5.3887999999999998</c:v>
                </c:pt>
                <c:pt idx="3">
                  <c:v>4.9207999999999998</c:v>
                </c:pt>
                <c:pt idx="4">
                  <c:v>4.8827999999999996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16992"/>
        <c:axId val="157318528"/>
      </c:scatterChart>
      <c:valAx>
        <c:axId val="15731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318528"/>
        <c:crosses val="autoZero"/>
        <c:crossBetween val="midCat"/>
      </c:valAx>
      <c:valAx>
        <c:axId val="15731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16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'868v2'!$Y$363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68832020997376"/>
                  <c:y val="-0.30714854360101823"/>
                </c:manualLayout>
              </c:layout>
              <c:numFmt formatCode="General" sourceLinked="0"/>
            </c:trendlineLbl>
          </c:trendline>
          <c:xVal>
            <c:numRef>
              <c:f>'868v2'!$X$378:$X$382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'868v2'!$Y$378:$Y$382</c:f>
              <c:numCache>
                <c:formatCode>General</c:formatCode>
                <c:ptCount val="5"/>
                <c:pt idx="0">
                  <c:v>7.4406000000000008</c:v>
                </c:pt>
                <c:pt idx="1">
                  <c:v>6.1431000000000004</c:v>
                </c:pt>
                <c:pt idx="2">
                  <c:v>5.2656000000000009</c:v>
                </c:pt>
                <c:pt idx="3">
                  <c:v>4.8081000000000005</c:v>
                </c:pt>
                <c:pt idx="4">
                  <c:v>4.7706000000000017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2656"/>
        <c:axId val="157624192"/>
      </c:scatterChart>
      <c:valAx>
        <c:axId val="15762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624192"/>
        <c:crosses val="autoZero"/>
        <c:crossBetween val="midCat"/>
      </c:valAx>
      <c:valAx>
        <c:axId val="15762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2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'868v2'!$AH$387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571609798775155"/>
                  <c:y val="-0.27687447914513436"/>
                </c:manualLayout>
              </c:layout>
              <c:numFmt formatCode="General" sourceLinked="0"/>
            </c:trendlineLbl>
          </c:trendline>
          <c:xVal>
            <c:numRef>
              <c:f>'868v2'!$AG$402:$AG$406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'868v2'!$AH$402:$AH$406</c:f>
              <c:numCache>
                <c:formatCode>General</c:formatCode>
                <c:ptCount val="5"/>
                <c:pt idx="0">
                  <c:v>7.2721000000000009</c:v>
                </c:pt>
                <c:pt idx="1">
                  <c:v>6.0046000000000008</c:v>
                </c:pt>
                <c:pt idx="2">
                  <c:v>5.142100000000001</c:v>
                </c:pt>
                <c:pt idx="3">
                  <c:v>4.6846000000000005</c:v>
                </c:pt>
                <c:pt idx="4">
                  <c:v>4.6320999999999994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61824"/>
        <c:axId val="157667712"/>
      </c:scatterChart>
      <c:valAx>
        <c:axId val="15766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667712"/>
        <c:crosses val="autoZero"/>
        <c:crossBetween val="midCat"/>
      </c:valAx>
      <c:valAx>
        <c:axId val="15766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61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'868v2'!$AH$411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868832020997376"/>
                  <c:y val="-0.28423816621330555"/>
                </c:manualLayout>
              </c:layout>
              <c:numFmt formatCode="General" sourceLinked="0"/>
            </c:trendlineLbl>
          </c:trendline>
          <c:xVal>
            <c:numRef>
              <c:f>'868v2'!$AG$426:$AG$430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'868v2'!$AH$426:$AH$430</c:f>
              <c:numCache>
                <c:formatCode>General</c:formatCode>
                <c:ptCount val="5"/>
                <c:pt idx="0">
                  <c:v>7.0992000000000006</c:v>
                </c:pt>
                <c:pt idx="1">
                  <c:v>5.8632000000000009</c:v>
                </c:pt>
                <c:pt idx="2">
                  <c:v>5.0222000000000007</c:v>
                </c:pt>
                <c:pt idx="3">
                  <c:v>4.5762</c:v>
                </c:pt>
                <c:pt idx="4">
                  <c:v>4.5252000000000008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00544"/>
        <c:axId val="157502080"/>
      </c:scatterChart>
      <c:valAx>
        <c:axId val="15750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502080"/>
        <c:crosses val="autoZero"/>
        <c:crossBetween val="midCat"/>
      </c:valAx>
      <c:valAx>
        <c:axId val="15750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00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'868v2'!$AH$435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9646609798775151"/>
                  <c:y val="-0.28089059890240992"/>
                </c:manualLayout>
              </c:layout>
              <c:numFmt formatCode="General" sourceLinked="0"/>
            </c:trendlineLbl>
          </c:trendline>
          <c:xVal>
            <c:numRef>
              <c:f>'868v2'!$AG$450:$AG$454</c:f>
              <c:numCache>
                <c:formatCode>General</c:formatCode>
                <c:ptCount val="5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'868v2'!$AH$450:$AH$454</c:f>
              <c:numCache>
                <c:formatCode>General</c:formatCode>
                <c:ptCount val="5"/>
                <c:pt idx="0">
                  <c:v>6.9782000000000002</c:v>
                </c:pt>
                <c:pt idx="1">
                  <c:v>5.7661999999999995</c:v>
                </c:pt>
                <c:pt idx="2">
                  <c:v>4.9441999999999995</c:v>
                </c:pt>
                <c:pt idx="3">
                  <c:v>4.5121999999999991</c:v>
                </c:pt>
                <c:pt idx="4">
                  <c:v>4.4701999999999984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15136"/>
        <c:axId val="157521024"/>
      </c:scatterChart>
      <c:valAx>
        <c:axId val="15751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521024"/>
        <c:crosses val="autoZero"/>
        <c:crossBetween val="midCat"/>
      </c:valAx>
      <c:valAx>
        <c:axId val="1575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15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'868v2'!$AV$3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759995625546804"/>
                  <c:y val="-0.30665006159944291"/>
                </c:manualLayout>
              </c:layout>
              <c:numFmt formatCode="General" sourceLinked="0"/>
            </c:trendlineLbl>
          </c:trendline>
          <c:xVal>
            <c:numRef>
              <c:f>'868v2'!$AU$4:$AU$18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'868v2'!$AV$4:$AV$18</c:f>
              <c:numCache>
                <c:formatCode>General</c:formatCode>
                <c:ptCount val="15"/>
                <c:pt idx="0">
                  <c:v>36.582900000000002</c:v>
                </c:pt>
                <c:pt idx="1">
                  <c:v>33.685000000000002</c:v>
                </c:pt>
                <c:pt idx="2">
                  <c:v>30.974499999999999</c:v>
                </c:pt>
                <c:pt idx="3">
                  <c:v>28.4514</c:v>
                </c:pt>
                <c:pt idx="4">
                  <c:v>26.1157</c:v>
                </c:pt>
                <c:pt idx="5">
                  <c:v>23.967399999999998</c:v>
                </c:pt>
                <c:pt idx="6">
                  <c:v>22.006499999999999</c:v>
                </c:pt>
                <c:pt idx="7">
                  <c:v>20.233000000000001</c:v>
                </c:pt>
                <c:pt idx="8">
                  <c:v>18.646900000000002</c:v>
                </c:pt>
                <c:pt idx="9">
                  <c:v>17.248200000000001</c:v>
                </c:pt>
                <c:pt idx="10">
                  <c:v>16.036899999999999</c:v>
                </c:pt>
                <c:pt idx="11">
                  <c:v>15.013</c:v>
                </c:pt>
                <c:pt idx="12">
                  <c:v>14.176499999999999</c:v>
                </c:pt>
                <c:pt idx="13">
                  <c:v>13.5274</c:v>
                </c:pt>
                <c:pt idx="14">
                  <c:v>12.869299999999999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62752"/>
        <c:axId val="157564288"/>
      </c:scatterChart>
      <c:valAx>
        <c:axId val="15756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564288"/>
        <c:crosses val="autoZero"/>
        <c:crossBetween val="midCat"/>
      </c:valAx>
      <c:valAx>
        <c:axId val="15756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62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'868v2'!$AV$27</c:f>
              <c:strCache>
                <c:ptCount val="1"/>
                <c:pt idx="0">
                  <c:v>avg curr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462773403324583"/>
                  <c:y val="-0.30665006159944291"/>
                </c:manualLayout>
              </c:layout>
              <c:numFmt formatCode="General" sourceLinked="0"/>
            </c:trendlineLbl>
          </c:trendline>
          <c:xVal>
            <c:numRef>
              <c:f>'868v2'!$AU$28:$AU$42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'868v2'!$AV$28:$AV$42</c:f>
              <c:numCache>
                <c:formatCode>General</c:formatCode>
                <c:ptCount val="15"/>
                <c:pt idx="0">
                  <c:v>31.949100000000001</c:v>
                </c:pt>
                <c:pt idx="1">
                  <c:v>29.579799999999999</c:v>
                </c:pt>
                <c:pt idx="2">
                  <c:v>27.357300000000002</c:v>
                </c:pt>
                <c:pt idx="3">
                  <c:v>25.281599999999997</c:v>
                </c:pt>
                <c:pt idx="4">
                  <c:v>23.352699999999999</c:v>
                </c:pt>
                <c:pt idx="5">
                  <c:v>21.570599999999999</c:v>
                </c:pt>
                <c:pt idx="6">
                  <c:v>19.935299999999998</c:v>
                </c:pt>
                <c:pt idx="7">
                  <c:v>18.4468</c:v>
                </c:pt>
                <c:pt idx="8">
                  <c:v>17.1051</c:v>
                </c:pt>
                <c:pt idx="9">
                  <c:v>15.9102</c:v>
                </c:pt>
                <c:pt idx="10">
                  <c:v>14.862100000000002</c:v>
                </c:pt>
                <c:pt idx="11">
                  <c:v>13.960800000000001</c:v>
                </c:pt>
                <c:pt idx="12">
                  <c:v>13.206300000000001</c:v>
                </c:pt>
                <c:pt idx="13">
                  <c:v>12.598600000000001</c:v>
                </c:pt>
                <c:pt idx="14">
                  <c:v>11.9533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06272"/>
        <c:axId val="157607808"/>
      </c:scatterChart>
      <c:valAx>
        <c:axId val="15760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607808"/>
        <c:crosses val="autoZero"/>
        <c:crossBetween val="midCat"/>
      </c:valAx>
      <c:valAx>
        <c:axId val="15760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06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45.xml"/><Relationship Id="rId21" Type="http://schemas.openxmlformats.org/officeDocument/2006/relationships/chart" Target="../charts/chart40.xml"/><Relationship Id="rId42" Type="http://schemas.openxmlformats.org/officeDocument/2006/relationships/chart" Target="../charts/chart61.xml"/><Relationship Id="rId47" Type="http://schemas.openxmlformats.org/officeDocument/2006/relationships/chart" Target="../charts/chart66.xml"/><Relationship Id="rId63" Type="http://schemas.openxmlformats.org/officeDocument/2006/relationships/chart" Target="../charts/chart82.xml"/><Relationship Id="rId68" Type="http://schemas.openxmlformats.org/officeDocument/2006/relationships/chart" Target="../charts/chart87.xml"/><Relationship Id="rId84" Type="http://schemas.openxmlformats.org/officeDocument/2006/relationships/chart" Target="../charts/chart103.xml"/><Relationship Id="rId89" Type="http://schemas.openxmlformats.org/officeDocument/2006/relationships/chart" Target="../charts/chart108.xml"/><Relationship Id="rId112" Type="http://schemas.openxmlformats.org/officeDocument/2006/relationships/chart" Target="../charts/chart131.xml"/><Relationship Id="rId16" Type="http://schemas.openxmlformats.org/officeDocument/2006/relationships/chart" Target="../charts/chart35.xml"/><Relationship Id="rId107" Type="http://schemas.openxmlformats.org/officeDocument/2006/relationships/chart" Target="../charts/chart126.xml"/><Relationship Id="rId11" Type="http://schemas.openxmlformats.org/officeDocument/2006/relationships/chart" Target="../charts/chart30.xml"/><Relationship Id="rId24" Type="http://schemas.openxmlformats.org/officeDocument/2006/relationships/chart" Target="../charts/chart43.xml"/><Relationship Id="rId32" Type="http://schemas.openxmlformats.org/officeDocument/2006/relationships/chart" Target="../charts/chart51.xml"/><Relationship Id="rId37" Type="http://schemas.openxmlformats.org/officeDocument/2006/relationships/chart" Target="../charts/chart56.xml"/><Relationship Id="rId40" Type="http://schemas.openxmlformats.org/officeDocument/2006/relationships/chart" Target="../charts/chart59.xml"/><Relationship Id="rId45" Type="http://schemas.openxmlformats.org/officeDocument/2006/relationships/chart" Target="../charts/chart64.xml"/><Relationship Id="rId53" Type="http://schemas.openxmlformats.org/officeDocument/2006/relationships/chart" Target="../charts/chart72.xml"/><Relationship Id="rId58" Type="http://schemas.openxmlformats.org/officeDocument/2006/relationships/chart" Target="../charts/chart77.xml"/><Relationship Id="rId66" Type="http://schemas.openxmlformats.org/officeDocument/2006/relationships/chart" Target="../charts/chart85.xml"/><Relationship Id="rId74" Type="http://schemas.openxmlformats.org/officeDocument/2006/relationships/chart" Target="../charts/chart93.xml"/><Relationship Id="rId79" Type="http://schemas.openxmlformats.org/officeDocument/2006/relationships/chart" Target="../charts/chart98.xml"/><Relationship Id="rId87" Type="http://schemas.openxmlformats.org/officeDocument/2006/relationships/chart" Target="../charts/chart106.xml"/><Relationship Id="rId102" Type="http://schemas.openxmlformats.org/officeDocument/2006/relationships/chart" Target="../charts/chart121.xml"/><Relationship Id="rId110" Type="http://schemas.openxmlformats.org/officeDocument/2006/relationships/chart" Target="../charts/chart129.xml"/><Relationship Id="rId115" Type="http://schemas.openxmlformats.org/officeDocument/2006/relationships/chart" Target="../charts/chart134.xml"/><Relationship Id="rId5" Type="http://schemas.openxmlformats.org/officeDocument/2006/relationships/chart" Target="../charts/chart24.xml"/><Relationship Id="rId61" Type="http://schemas.openxmlformats.org/officeDocument/2006/relationships/chart" Target="../charts/chart80.xml"/><Relationship Id="rId82" Type="http://schemas.openxmlformats.org/officeDocument/2006/relationships/chart" Target="../charts/chart101.xml"/><Relationship Id="rId90" Type="http://schemas.openxmlformats.org/officeDocument/2006/relationships/chart" Target="../charts/chart109.xml"/><Relationship Id="rId95" Type="http://schemas.openxmlformats.org/officeDocument/2006/relationships/chart" Target="../charts/chart114.xml"/><Relationship Id="rId19" Type="http://schemas.openxmlformats.org/officeDocument/2006/relationships/chart" Target="../charts/chart38.xml"/><Relationship Id="rId14" Type="http://schemas.openxmlformats.org/officeDocument/2006/relationships/chart" Target="../charts/chart33.xml"/><Relationship Id="rId22" Type="http://schemas.openxmlformats.org/officeDocument/2006/relationships/chart" Target="../charts/chart41.xml"/><Relationship Id="rId27" Type="http://schemas.openxmlformats.org/officeDocument/2006/relationships/chart" Target="../charts/chart46.xml"/><Relationship Id="rId30" Type="http://schemas.openxmlformats.org/officeDocument/2006/relationships/chart" Target="../charts/chart49.xml"/><Relationship Id="rId35" Type="http://schemas.openxmlformats.org/officeDocument/2006/relationships/chart" Target="../charts/chart54.xml"/><Relationship Id="rId43" Type="http://schemas.openxmlformats.org/officeDocument/2006/relationships/chart" Target="../charts/chart62.xml"/><Relationship Id="rId48" Type="http://schemas.openxmlformats.org/officeDocument/2006/relationships/chart" Target="../charts/chart67.xml"/><Relationship Id="rId56" Type="http://schemas.openxmlformats.org/officeDocument/2006/relationships/chart" Target="../charts/chart75.xml"/><Relationship Id="rId64" Type="http://schemas.openxmlformats.org/officeDocument/2006/relationships/chart" Target="../charts/chart83.xml"/><Relationship Id="rId69" Type="http://schemas.openxmlformats.org/officeDocument/2006/relationships/chart" Target="../charts/chart88.xml"/><Relationship Id="rId77" Type="http://schemas.openxmlformats.org/officeDocument/2006/relationships/chart" Target="../charts/chart96.xml"/><Relationship Id="rId100" Type="http://schemas.openxmlformats.org/officeDocument/2006/relationships/chart" Target="../charts/chart119.xml"/><Relationship Id="rId105" Type="http://schemas.openxmlformats.org/officeDocument/2006/relationships/chart" Target="../charts/chart124.xml"/><Relationship Id="rId113" Type="http://schemas.openxmlformats.org/officeDocument/2006/relationships/chart" Target="../charts/chart132.xml"/><Relationship Id="rId8" Type="http://schemas.openxmlformats.org/officeDocument/2006/relationships/chart" Target="../charts/chart27.xml"/><Relationship Id="rId51" Type="http://schemas.openxmlformats.org/officeDocument/2006/relationships/chart" Target="../charts/chart70.xml"/><Relationship Id="rId72" Type="http://schemas.openxmlformats.org/officeDocument/2006/relationships/chart" Target="../charts/chart91.xml"/><Relationship Id="rId80" Type="http://schemas.openxmlformats.org/officeDocument/2006/relationships/chart" Target="../charts/chart99.xml"/><Relationship Id="rId85" Type="http://schemas.openxmlformats.org/officeDocument/2006/relationships/chart" Target="../charts/chart104.xml"/><Relationship Id="rId93" Type="http://schemas.openxmlformats.org/officeDocument/2006/relationships/chart" Target="../charts/chart112.xml"/><Relationship Id="rId98" Type="http://schemas.openxmlformats.org/officeDocument/2006/relationships/chart" Target="../charts/chart117.xml"/><Relationship Id="rId3" Type="http://schemas.openxmlformats.org/officeDocument/2006/relationships/chart" Target="../charts/chart22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5" Type="http://schemas.openxmlformats.org/officeDocument/2006/relationships/chart" Target="../charts/chart44.xml"/><Relationship Id="rId33" Type="http://schemas.openxmlformats.org/officeDocument/2006/relationships/chart" Target="../charts/chart52.xml"/><Relationship Id="rId38" Type="http://schemas.openxmlformats.org/officeDocument/2006/relationships/chart" Target="../charts/chart57.xml"/><Relationship Id="rId46" Type="http://schemas.openxmlformats.org/officeDocument/2006/relationships/chart" Target="../charts/chart65.xml"/><Relationship Id="rId59" Type="http://schemas.openxmlformats.org/officeDocument/2006/relationships/chart" Target="../charts/chart78.xml"/><Relationship Id="rId67" Type="http://schemas.openxmlformats.org/officeDocument/2006/relationships/chart" Target="../charts/chart86.xml"/><Relationship Id="rId103" Type="http://schemas.openxmlformats.org/officeDocument/2006/relationships/chart" Target="../charts/chart122.xml"/><Relationship Id="rId108" Type="http://schemas.openxmlformats.org/officeDocument/2006/relationships/chart" Target="../charts/chart127.xml"/><Relationship Id="rId116" Type="http://schemas.openxmlformats.org/officeDocument/2006/relationships/chart" Target="../charts/chart135.xml"/><Relationship Id="rId20" Type="http://schemas.openxmlformats.org/officeDocument/2006/relationships/chart" Target="../charts/chart39.xml"/><Relationship Id="rId41" Type="http://schemas.openxmlformats.org/officeDocument/2006/relationships/chart" Target="../charts/chart60.xml"/><Relationship Id="rId54" Type="http://schemas.openxmlformats.org/officeDocument/2006/relationships/chart" Target="../charts/chart73.xml"/><Relationship Id="rId62" Type="http://schemas.openxmlformats.org/officeDocument/2006/relationships/chart" Target="../charts/chart81.xml"/><Relationship Id="rId70" Type="http://schemas.openxmlformats.org/officeDocument/2006/relationships/chart" Target="../charts/chart89.xml"/><Relationship Id="rId75" Type="http://schemas.openxmlformats.org/officeDocument/2006/relationships/chart" Target="../charts/chart94.xml"/><Relationship Id="rId83" Type="http://schemas.openxmlformats.org/officeDocument/2006/relationships/chart" Target="../charts/chart102.xml"/><Relationship Id="rId88" Type="http://schemas.openxmlformats.org/officeDocument/2006/relationships/chart" Target="../charts/chart107.xml"/><Relationship Id="rId91" Type="http://schemas.openxmlformats.org/officeDocument/2006/relationships/chart" Target="../charts/chart110.xml"/><Relationship Id="rId96" Type="http://schemas.openxmlformats.org/officeDocument/2006/relationships/chart" Target="../charts/chart115.xml"/><Relationship Id="rId111" Type="http://schemas.openxmlformats.org/officeDocument/2006/relationships/chart" Target="../charts/chart130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5" Type="http://schemas.openxmlformats.org/officeDocument/2006/relationships/chart" Target="../charts/chart34.xml"/><Relationship Id="rId23" Type="http://schemas.openxmlformats.org/officeDocument/2006/relationships/chart" Target="../charts/chart42.xml"/><Relationship Id="rId28" Type="http://schemas.openxmlformats.org/officeDocument/2006/relationships/chart" Target="../charts/chart47.xml"/><Relationship Id="rId36" Type="http://schemas.openxmlformats.org/officeDocument/2006/relationships/chart" Target="../charts/chart55.xml"/><Relationship Id="rId49" Type="http://schemas.openxmlformats.org/officeDocument/2006/relationships/chart" Target="../charts/chart68.xml"/><Relationship Id="rId57" Type="http://schemas.openxmlformats.org/officeDocument/2006/relationships/chart" Target="../charts/chart76.xml"/><Relationship Id="rId106" Type="http://schemas.openxmlformats.org/officeDocument/2006/relationships/chart" Target="../charts/chart125.xml"/><Relationship Id="rId114" Type="http://schemas.openxmlformats.org/officeDocument/2006/relationships/chart" Target="../charts/chart133.xml"/><Relationship Id="rId10" Type="http://schemas.openxmlformats.org/officeDocument/2006/relationships/chart" Target="../charts/chart29.xml"/><Relationship Id="rId31" Type="http://schemas.openxmlformats.org/officeDocument/2006/relationships/chart" Target="../charts/chart50.xml"/><Relationship Id="rId44" Type="http://schemas.openxmlformats.org/officeDocument/2006/relationships/chart" Target="../charts/chart63.xml"/><Relationship Id="rId52" Type="http://schemas.openxmlformats.org/officeDocument/2006/relationships/chart" Target="../charts/chart71.xml"/><Relationship Id="rId60" Type="http://schemas.openxmlformats.org/officeDocument/2006/relationships/chart" Target="../charts/chart79.xml"/><Relationship Id="rId65" Type="http://schemas.openxmlformats.org/officeDocument/2006/relationships/chart" Target="../charts/chart84.xml"/><Relationship Id="rId73" Type="http://schemas.openxmlformats.org/officeDocument/2006/relationships/chart" Target="../charts/chart92.xml"/><Relationship Id="rId78" Type="http://schemas.openxmlformats.org/officeDocument/2006/relationships/chart" Target="../charts/chart97.xml"/><Relationship Id="rId81" Type="http://schemas.openxmlformats.org/officeDocument/2006/relationships/chart" Target="../charts/chart100.xml"/><Relationship Id="rId86" Type="http://schemas.openxmlformats.org/officeDocument/2006/relationships/chart" Target="../charts/chart105.xml"/><Relationship Id="rId94" Type="http://schemas.openxmlformats.org/officeDocument/2006/relationships/chart" Target="../charts/chart113.xml"/><Relationship Id="rId99" Type="http://schemas.openxmlformats.org/officeDocument/2006/relationships/chart" Target="../charts/chart118.xml"/><Relationship Id="rId101" Type="http://schemas.openxmlformats.org/officeDocument/2006/relationships/chart" Target="../charts/chart120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39" Type="http://schemas.openxmlformats.org/officeDocument/2006/relationships/chart" Target="../charts/chart58.xml"/><Relationship Id="rId109" Type="http://schemas.openxmlformats.org/officeDocument/2006/relationships/chart" Target="../charts/chart128.xml"/><Relationship Id="rId34" Type="http://schemas.openxmlformats.org/officeDocument/2006/relationships/chart" Target="../charts/chart53.xml"/><Relationship Id="rId50" Type="http://schemas.openxmlformats.org/officeDocument/2006/relationships/chart" Target="../charts/chart69.xml"/><Relationship Id="rId55" Type="http://schemas.openxmlformats.org/officeDocument/2006/relationships/chart" Target="../charts/chart74.xml"/><Relationship Id="rId76" Type="http://schemas.openxmlformats.org/officeDocument/2006/relationships/chart" Target="../charts/chart95.xml"/><Relationship Id="rId97" Type="http://schemas.openxmlformats.org/officeDocument/2006/relationships/chart" Target="../charts/chart116.xml"/><Relationship Id="rId104" Type="http://schemas.openxmlformats.org/officeDocument/2006/relationships/chart" Target="../charts/chart123.xml"/><Relationship Id="rId7" Type="http://schemas.openxmlformats.org/officeDocument/2006/relationships/chart" Target="../charts/chart26.xml"/><Relationship Id="rId71" Type="http://schemas.openxmlformats.org/officeDocument/2006/relationships/chart" Target="../charts/chart90.xml"/><Relationship Id="rId92" Type="http://schemas.openxmlformats.org/officeDocument/2006/relationships/chart" Target="../charts/chart111.xml"/><Relationship Id="rId2" Type="http://schemas.openxmlformats.org/officeDocument/2006/relationships/chart" Target="../charts/chart21.xml"/><Relationship Id="rId29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7.xml"/><Relationship Id="rId1" Type="http://schemas.openxmlformats.org/officeDocument/2006/relationships/chart" Target="../charts/chart13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2.xml"/><Relationship Id="rId2" Type="http://schemas.openxmlformats.org/officeDocument/2006/relationships/chart" Target="../charts/chart141.xml"/><Relationship Id="rId1" Type="http://schemas.openxmlformats.org/officeDocument/2006/relationships/chart" Target="../charts/chart140.xml"/><Relationship Id="rId6" Type="http://schemas.openxmlformats.org/officeDocument/2006/relationships/chart" Target="../charts/chart145.xml"/><Relationship Id="rId5" Type="http://schemas.openxmlformats.org/officeDocument/2006/relationships/chart" Target="../charts/chart144.xml"/><Relationship Id="rId4" Type="http://schemas.openxmlformats.org/officeDocument/2006/relationships/chart" Target="../charts/chart14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8.xml"/><Relationship Id="rId2" Type="http://schemas.openxmlformats.org/officeDocument/2006/relationships/chart" Target="../charts/chart147.xml"/><Relationship Id="rId1" Type="http://schemas.openxmlformats.org/officeDocument/2006/relationships/chart" Target="../charts/chart1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6</xdr:row>
      <xdr:rowOff>180974</xdr:rowOff>
    </xdr:from>
    <xdr:to>
      <xdr:col>18</xdr:col>
      <xdr:colOff>581025</xdr:colOff>
      <xdr:row>29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28574</xdr:colOff>
      <xdr:row>39</xdr:row>
      <xdr:rowOff>161925</xdr:rowOff>
    </xdr:from>
    <xdr:to>
      <xdr:col>18</xdr:col>
      <xdr:colOff>590549</xdr:colOff>
      <xdr:row>63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571499</xdr:colOff>
      <xdr:row>73</xdr:row>
      <xdr:rowOff>123824</xdr:rowOff>
    </xdr:from>
    <xdr:to>
      <xdr:col>19</xdr:col>
      <xdr:colOff>28574</xdr:colOff>
      <xdr:row>97</xdr:row>
      <xdr:rowOff>57149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590549</xdr:colOff>
      <xdr:row>107</xdr:row>
      <xdr:rowOff>95249</xdr:rowOff>
    </xdr:from>
    <xdr:to>
      <xdr:col>18</xdr:col>
      <xdr:colOff>581024</xdr:colOff>
      <xdr:row>131</xdr:row>
      <xdr:rowOff>85724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600074</xdr:colOff>
      <xdr:row>141</xdr:row>
      <xdr:rowOff>66675</xdr:rowOff>
    </xdr:from>
    <xdr:to>
      <xdr:col>19</xdr:col>
      <xdr:colOff>76199</xdr:colOff>
      <xdr:row>164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28574</xdr:colOff>
      <xdr:row>174</xdr:row>
      <xdr:rowOff>38100</xdr:rowOff>
    </xdr:from>
    <xdr:to>
      <xdr:col>18</xdr:col>
      <xdr:colOff>419100</xdr:colOff>
      <xdr:row>198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19050</xdr:colOff>
      <xdr:row>207</xdr:row>
      <xdr:rowOff>180974</xdr:rowOff>
    </xdr:from>
    <xdr:to>
      <xdr:col>18</xdr:col>
      <xdr:colOff>419100</xdr:colOff>
      <xdr:row>230</xdr:row>
      <xdr:rowOff>95249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19049</xdr:colOff>
      <xdr:row>239</xdr:row>
      <xdr:rowOff>190499</xdr:rowOff>
    </xdr:from>
    <xdr:to>
      <xdr:col>18</xdr:col>
      <xdr:colOff>371474</xdr:colOff>
      <xdr:row>262</xdr:row>
      <xdr:rowOff>104774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85725</xdr:colOff>
      <xdr:row>271</xdr:row>
      <xdr:rowOff>66674</xdr:rowOff>
    </xdr:from>
    <xdr:to>
      <xdr:col>18</xdr:col>
      <xdr:colOff>295275</xdr:colOff>
      <xdr:row>293</xdr:row>
      <xdr:rowOff>57149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38100</xdr:colOff>
      <xdr:row>303</xdr:row>
      <xdr:rowOff>0</xdr:rowOff>
    </xdr:from>
    <xdr:to>
      <xdr:col>18</xdr:col>
      <xdr:colOff>285750</xdr:colOff>
      <xdr:row>326</xdr:row>
      <xdr:rowOff>133350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600074</xdr:colOff>
      <xdr:row>335</xdr:row>
      <xdr:rowOff>190499</xdr:rowOff>
    </xdr:from>
    <xdr:to>
      <xdr:col>18</xdr:col>
      <xdr:colOff>228599</xdr:colOff>
      <xdr:row>359</xdr:row>
      <xdr:rowOff>104774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47624</xdr:colOff>
      <xdr:row>369</xdr:row>
      <xdr:rowOff>128587</xdr:rowOff>
    </xdr:from>
    <xdr:to>
      <xdr:col>18</xdr:col>
      <xdr:colOff>238124</xdr:colOff>
      <xdr:row>392</xdr:row>
      <xdr:rowOff>119062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603250</xdr:colOff>
      <xdr:row>401</xdr:row>
      <xdr:rowOff>162983</xdr:rowOff>
    </xdr:from>
    <xdr:to>
      <xdr:col>18</xdr:col>
      <xdr:colOff>232833</xdr:colOff>
      <xdr:row>424</xdr:row>
      <xdr:rowOff>179916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560915</xdr:colOff>
      <xdr:row>434</xdr:row>
      <xdr:rowOff>25399</xdr:rowOff>
    </xdr:from>
    <xdr:to>
      <xdr:col>18</xdr:col>
      <xdr:colOff>275165</xdr:colOff>
      <xdr:row>456</xdr:row>
      <xdr:rowOff>52916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10582</xdr:colOff>
      <xdr:row>466</xdr:row>
      <xdr:rowOff>25399</xdr:rowOff>
    </xdr:from>
    <xdr:to>
      <xdr:col>18</xdr:col>
      <xdr:colOff>211665</xdr:colOff>
      <xdr:row>487</xdr:row>
      <xdr:rowOff>52916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10584</xdr:colOff>
      <xdr:row>497</xdr:row>
      <xdr:rowOff>35983</xdr:rowOff>
    </xdr:from>
    <xdr:to>
      <xdr:col>18</xdr:col>
      <xdr:colOff>179916</xdr:colOff>
      <xdr:row>519</xdr:row>
      <xdr:rowOff>42333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10582</xdr:colOff>
      <xdr:row>529</xdr:row>
      <xdr:rowOff>35983</xdr:rowOff>
    </xdr:from>
    <xdr:to>
      <xdr:col>18</xdr:col>
      <xdr:colOff>158749</xdr:colOff>
      <xdr:row>550</xdr:row>
      <xdr:rowOff>169332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582083</xdr:colOff>
      <xdr:row>560</xdr:row>
      <xdr:rowOff>173567</xdr:rowOff>
    </xdr:from>
    <xdr:to>
      <xdr:col>18</xdr:col>
      <xdr:colOff>179916</xdr:colOff>
      <xdr:row>582</xdr:row>
      <xdr:rowOff>105833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10584</xdr:colOff>
      <xdr:row>592</xdr:row>
      <xdr:rowOff>162984</xdr:rowOff>
    </xdr:from>
    <xdr:to>
      <xdr:col>18</xdr:col>
      <xdr:colOff>190500</xdr:colOff>
      <xdr:row>613</xdr:row>
      <xdr:rowOff>158750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386</xdr:row>
      <xdr:rowOff>9525</xdr:rowOff>
    </xdr:from>
    <xdr:to>
      <xdr:col>14</xdr:col>
      <xdr:colOff>85725</xdr:colOff>
      <xdr:row>396</xdr:row>
      <xdr:rowOff>152400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397</xdr:row>
      <xdr:rowOff>28575</xdr:rowOff>
    </xdr:from>
    <xdr:to>
      <xdr:col>14</xdr:col>
      <xdr:colOff>66675</xdr:colOff>
      <xdr:row>407</xdr:row>
      <xdr:rowOff>47625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66675</xdr:colOff>
      <xdr:row>385</xdr:row>
      <xdr:rowOff>85725</xdr:rowOff>
    </xdr:from>
    <xdr:to>
      <xdr:col>29</xdr:col>
      <xdr:colOff>9525</xdr:colOff>
      <xdr:row>395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66675</xdr:colOff>
      <xdr:row>396</xdr:row>
      <xdr:rowOff>95250</xdr:rowOff>
    </xdr:from>
    <xdr:to>
      <xdr:col>29</xdr:col>
      <xdr:colOff>38100</xdr:colOff>
      <xdr:row>405</xdr:row>
      <xdr:rowOff>171450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180975</xdr:colOff>
      <xdr:row>409</xdr:row>
      <xdr:rowOff>104775</xdr:rowOff>
    </xdr:from>
    <xdr:to>
      <xdr:col>13</xdr:col>
      <xdr:colOff>485775</xdr:colOff>
      <xdr:row>420</xdr:row>
      <xdr:rowOff>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190500</xdr:colOff>
      <xdr:row>420</xdr:row>
      <xdr:rowOff>28574</xdr:rowOff>
    </xdr:from>
    <xdr:to>
      <xdr:col>13</xdr:col>
      <xdr:colOff>495300</xdr:colOff>
      <xdr:row>429</xdr:row>
      <xdr:rowOff>190499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142875</xdr:colOff>
      <xdr:row>434</xdr:row>
      <xdr:rowOff>9525</xdr:rowOff>
    </xdr:from>
    <xdr:to>
      <xdr:col>13</xdr:col>
      <xdr:colOff>447675</xdr:colOff>
      <xdr:row>444</xdr:row>
      <xdr:rowOff>133350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142875</xdr:colOff>
      <xdr:row>444</xdr:row>
      <xdr:rowOff>180975</xdr:rowOff>
    </xdr:from>
    <xdr:to>
      <xdr:col>13</xdr:col>
      <xdr:colOff>447675</xdr:colOff>
      <xdr:row>454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161925</xdr:colOff>
      <xdr:row>361</xdr:row>
      <xdr:rowOff>133350</xdr:rowOff>
    </xdr:from>
    <xdr:to>
      <xdr:col>13</xdr:col>
      <xdr:colOff>466725</xdr:colOff>
      <xdr:row>372</xdr:row>
      <xdr:rowOff>66675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180975</xdr:colOff>
      <xdr:row>372</xdr:row>
      <xdr:rowOff>142875</xdr:rowOff>
    </xdr:from>
    <xdr:to>
      <xdr:col>13</xdr:col>
      <xdr:colOff>485775</xdr:colOff>
      <xdr:row>382</xdr:row>
      <xdr:rowOff>38100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95250</xdr:colOff>
      <xdr:row>338</xdr:row>
      <xdr:rowOff>9525</xdr:rowOff>
    </xdr:from>
    <xdr:to>
      <xdr:col>13</xdr:col>
      <xdr:colOff>400050</xdr:colOff>
      <xdr:row>348</xdr:row>
      <xdr:rowOff>104775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104775</xdr:colOff>
      <xdr:row>348</xdr:row>
      <xdr:rowOff>161925</xdr:rowOff>
    </xdr:from>
    <xdr:to>
      <xdr:col>13</xdr:col>
      <xdr:colOff>409575</xdr:colOff>
      <xdr:row>358</xdr:row>
      <xdr:rowOff>66675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104775</xdr:colOff>
      <xdr:row>314</xdr:row>
      <xdr:rowOff>9525</xdr:rowOff>
    </xdr:from>
    <xdr:to>
      <xdr:col>13</xdr:col>
      <xdr:colOff>409575</xdr:colOff>
      <xdr:row>324</xdr:row>
      <xdr:rowOff>19050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104775</xdr:colOff>
      <xdr:row>324</xdr:row>
      <xdr:rowOff>57150</xdr:rowOff>
    </xdr:from>
    <xdr:to>
      <xdr:col>13</xdr:col>
      <xdr:colOff>409575</xdr:colOff>
      <xdr:row>334</xdr:row>
      <xdr:rowOff>47625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133350</xdr:colOff>
      <xdr:row>290</xdr:row>
      <xdr:rowOff>9525</xdr:rowOff>
    </xdr:from>
    <xdr:to>
      <xdr:col>13</xdr:col>
      <xdr:colOff>438150</xdr:colOff>
      <xdr:row>300</xdr:row>
      <xdr:rowOff>9525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133350</xdr:colOff>
      <xdr:row>300</xdr:row>
      <xdr:rowOff>47625</xdr:rowOff>
    </xdr:from>
    <xdr:to>
      <xdr:col>13</xdr:col>
      <xdr:colOff>438150</xdr:colOff>
      <xdr:row>310</xdr:row>
      <xdr:rowOff>47625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123825</xdr:colOff>
      <xdr:row>266</xdr:row>
      <xdr:rowOff>0</xdr:rowOff>
    </xdr:from>
    <xdr:to>
      <xdr:col>13</xdr:col>
      <xdr:colOff>428625</xdr:colOff>
      <xdr:row>276</xdr:row>
      <xdr:rowOff>133350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133350</xdr:colOff>
      <xdr:row>277</xdr:row>
      <xdr:rowOff>0</xdr:rowOff>
    </xdr:from>
    <xdr:to>
      <xdr:col>13</xdr:col>
      <xdr:colOff>438150</xdr:colOff>
      <xdr:row>286</xdr:row>
      <xdr:rowOff>28575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95250</xdr:colOff>
      <xdr:row>242</xdr:row>
      <xdr:rowOff>0</xdr:rowOff>
    </xdr:from>
    <xdr:to>
      <xdr:col>13</xdr:col>
      <xdr:colOff>400050</xdr:colOff>
      <xdr:row>252</xdr:row>
      <xdr:rowOff>95250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104775</xdr:colOff>
      <xdr:row>252</xdr:row>
      <xdr:rowOff>133350</xdr:rowOff>
    </xdr:from>
    <xdr:to>
      <xdr:col>13</xdr:col>
      <xdr:colOff>409575</xdr:colOff>
      <xdr:row>262</xdr:row>
      <xdr:rowOff>38100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114300</xdr:colOff>
      <xdr:row>218</xdr:row>
      <xdr:rowOff>0</xdr:rowOff>
    </xdr:from>
    <xdr:to>
      <xdr:col>13</xdr:col>
      <xdr:colOff>419100</xdr:colOff>
      <xdr:row>228</xdr:row>
      <xdr:rowOff>85725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104775</xdr:colOff>
      <xdr:row>228</xdr:row>
      <xdr:rowOff>152400</xdr:rowOff>
    </xdr:from>
    <xdr:to>
      <xdr:col>13</xdr:col>
      <xdr:colOff>409575</xdr:colOff>
      <xdr:row>238</xdr:row>
      <xdr:rowOff>38100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104775</xdr:colOff>
      <xdr:row>194</xdr:row>
      <xdr:rowOff>9525</xdr:rowOff>
    </xdr:from>
    <xdr:to>
      <xdr:col>13</xdr:col>
      <xdr:colOff>409575</xdr:colOff>
      <xdr:row>204</xdr:row>
      <xdr:rowOff>66675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114300</xdr:colOff>
      <xdr:row>204</xdr:row>
      <xdr:rowOff>180975</xdr:rowOff>
    </xdr:from>
    <xdr:to>
      <xdr:col>13</xdr:col>
      <xdr:colOff>419100</xdr:colOff>
      <xdr:row>214</xdr:row>
      <xdr:rowOff>47625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114300</xdr:colOff>
      <xdr:row>169</xdr:row>
      <xdr:rowOff>180975</xdr:rowOff>
    </xdr:from>
    <xdr:to>
      <xdr:col>13</xdr:col>
      <xdr:colOff>419100</xdr:colOff>
      <xdr:row>180</xdr:row>
      <xdr:rowOff>57150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133350</xdr:colOff>
      <xdr:row>180</xdr:row>
      <xdr:rowOff>95249</xdr:rowOff>
    </xdr:from>
    <xdr:to>
      <xdr:col>13</xdr:col>
      <xdr:colOff>438150</xdr:colOff>
      <xdr:row>190</xdr:row>
      <xdr:rowOff>9524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95250</xdr:colOff>
      <xdr:row>145</xdr:row>
      <xdr:rowOff>180975</xdr:rowOff>
    </xdr:from>
    <xdr:to>
      <xdr:col>13</xdr:col>
      <xdr:colOff>400050</xdr:colOff>
      <xdr:row>156</xdr:row>
      <xdr:rowOff>152400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104775</xdr:colOff>
      <xdr:row>156</xdr:row>
      <xdr:rowOff>133349</xdr:rowOff>
    </xdr:from>
    <xdr:to>
      <xdr:col>13</xdr:col>
      <xdr:colOff>409575</xdr:colOff>
      <xdr:row>166</xdr:row>
      <xdr:rowOff>9524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114300</xdr:colOff>
      <xdr:row>122</xdr:row>
      <xdr:rowOff>19050</xdr:rowOff>
    </xdr:from>
    <xdr:to>
      <xdr:col>13</xdr:col>
      <xdr:colOff>419100</xdr:colOff>
      <xdr:row>132</xdr:row>
      <xdr:rowOff>161925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133350</xdr:colOff>
      <xdr:row>133</xdr:row>
      <xdr:rowOff>19050</xdr:rowOff>
    </xdr:from>
    <xdr:to>
      <xdr:col>13</xdr:col>
      <xdr:colOff>438150</xdr:colOff>
      <xdr:row>142</xdr:row>
      <xdr:rowOff>57150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85725</xdr:colOff>
      <xdr:row>98</xdr:row>
      <xdr:rowOff>19050</xdr:rowOff>
    </xdr:from>
    <xdr:to>
      <xdr:col>13</xdr:col>
      <xdr:colOff>390525</xdr:colOff>
      <xdr:row>109</xdr:row>
      <xdr:rowOff>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95250</xdr:colOff>
      <xdr:row>109</xdr:row>
      <xdr:rowOff>57150</xdr:rowOff>
    </xdr:from>
    <xdr:to>
      <xdr:col>13</xdr:col>
      <xdr:colOff>400050</xdr:colOff>
      <xdr:row>118</xdr:row>
      <xdr:rowOff>19050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85725</xdr:colOff>
      <xdr:row>74</xdr:row>
      <xdr:rowOff>0</xdr:rowOff>
    </xdr:from>
    <xdr:to>
      <xdr:col>13</xdr:col>
      <xdr:colOff>390525</xdr:colOff>
      <xdr:row>84</xdr:row>
      <xdr:rowOff>123825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95250</xdr:colOff>
      <xdr:row>85</xdr:row>
      <xdr:rowOff>9525</xdr:rowOff>
    </xdr:from>
    <xdr:to>
      <xdr:col>13</xdr:col>
      <xdr:colOff>400050</xdr:colOff>
      <xdr:row>94</xdr:row>
      <xdr:rowOff>28575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133350</xdr:colOff>
      <xdr:row>50</xdr:row>
      <xdr:rowOff>9525</xdr:rowOff>
    </xdr:from>
    <xdr:to>
      <xdr:col>13</xdr:col>
      <xdr:colOff>438150</xdr:colOff>
      <xdr:row>61</xdr:row>
      <xdr:rowOff>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133350</xdr:colOff>
      <xdr:row>61</xdr:row>
      <xdr:rowOff>47625</xdr:rowOff>
    </xdr:from>
    <xdr:to>
      <xdr:col>13</xdr:col>
      <xdr:colOff>438150</xdr:colOff>
      <xdr:row>70</xdr:row>
      <xdr:rowOff>85725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171450</xdr:colOff>
      <xdr:row>26</xdr:row>
      <xdr:rowOff>19051</xdr:rowOff>
    </xdr:from>
    <xdr:to>
      <xdr:col>13</xdr:col>
      <xdr:colOff>476250</xdr:colOff>
      <xdr:row>36</xdr:row>
      <xdr:rowOff>95251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190500</xdr:colOff>
      <xdr:row>36</xdr:row>
      <xdr:rowOff>142875</xdr:rowOff>
    </xdr:from>
    <xdr:to>
      <xdr:col>13</xdr:col>
      <xdr:colOff>495300</xdr:colOff>
      <xdr:row>46</xdr:row>
      <xdr:rowOff>9525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123825</xdr:colOff>
      <xdr:row>1</xdr:row>
      <xdr:rowOff>180975</xdr:rowOff>
    </xdr:from>
    <xdr:to>
      <xdr:col>13</xdr:col>
      <xdr:colOff>428625</xdr:colOff>
      <xdr:row>12</xdr:row>
      <xdr:rowOff>57150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123825</xdr:colOff>
      <xdr:row>12</xdr:row>
      <xdr:rowOff>133349</xdr:rowOff>
    </xdr:from>
    <xdr:to>
      <xdr:col>13</xdr:col>
      <xdr:colOff>428625</xdr:colOff>
      <xdr:row>22</xdr:row>
      <xdr:rowOff>9524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25</xdr:col>
      <xdr:colOff>66675</xdr:colOff>
      <xdr:row>1</xdr:row>
      <xdr:rowOff>180975</xdr:rowOff>
    </xdr:from>
    <xdr:to>
      <xdr:col>32</xdr:col>
      <xdr:colOff>371475</xdr:colOff>
      <xdr:row>12</xdr:row>
      <xdr:rowOff>28575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25</xdr:col>
      <xdr:colOff>57150</xdr:colOff>
      <xdr:row>12</xdr:row>
      <xdr:rowOff>57150</xdr:rowOff>
    </xdr:from>
    <xdr:to>
      <xdr:col>32</xdr:col>
      <xdr:colOff>361950</xdr:colOff>
      <xdr:row>22</xdr:row>
      <xdr:rowOff>47625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25</xdr:col>
      <xdr:colOff>95250</xdr:colOff>
      <xdr:row>25</xdr:row>
      <xdr:rowOff>171450</xdr:rowOff>
    </xdr:from>
    <xdr:to>
      <xdr:col>32</xdr:col>
      <xdr:colOff>400050</xdr:colOff>
      <xdr:row>36</xdr:row>
      <xdr:rowOff>95250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25</xdr:col>
      <xdr:colOff>95250</xdr:colOff>
      <xdr:row>36</xdr:row>
      <xdr:rowOff>133350</xdr:rowOff>
    </xdr:from>
    <xdr:to>
      <xdr:col>32</xdr:col>
      <xdr:colOff>400050</xdr:colOff>
      <xdr:row>46</xdr:row>
      <xdr:rowOff>38100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25</xdr:col>
      <xdr:colOff>190500</xdr:colOff>
      <xdr:row>49</xdr:row>
      <xdr:rowOff>133350</xdr:rowOff>
    </xdr:from>
    <xdr:to>
      <xdr:col>32</xdr:col>
      <xdr:colOff>495300</xdr:colOff>
      <xdr:row>59</xdr:row>
      <xdr:rowOff>180975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25</xdr:col>
      <xdr:colOff>104775</xdr:colOff>
      <xdr:row>73</xdr:row>
      <xdr:rowOff>180975</xdr:rowOff>
    </xdr:from>
    <xdr:to>
      <xdr:col>32</xdr:col>
      <xdr:colOff>409575</xdr:colOff>
      <xdr:row>84</xdr:row>
      <xdr:rowOff>38100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25</xdr:col>
      <xdr:colOff>104775</xdr:colOff>
      <xdr:row>97</xdr:row>
      <xdr:rowOff>85725</xdr:rowOff>
    </xdr:from>
    <xdr:to>
      <xdr:col>32</xdr:col>
      <xdr:colOff>409575</xdr:colOff>
      <xdr:row>107</xdr:row>
      <xdr:rowOff>161925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25</xdr:col>
      <xdr:colOff>57150</xdr:colOff>
      <xdr:row>122</xdr:row>
      <xdr:rowOff>28575</xdr:rowOff>
    </xdr:from>
    <xdr:to>
      <xdr:col>32</xdr:col>
      <xdr:colOff>361950</xdr:colOff>
      <xdr:row>132</xdr:row>
      <xdr:rowOff>28575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25</xdr:col>
      <xdr:colOff>28575</xdr:colOff>
      <xdr:row>146</xdr:row>
      <xdr:rowOff>0</xdr:rowOff>
    </xdr:from>
    <xdr:to>
      <xdr:col>32</xdr:col>
      <xdr:colOff>333375</xdr:colOff>
      <xdr:row>156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25</xdr:col>
      <xdr:colOff>47625</xdr:colOff>
      <xdr:row>170</xdr:row>
      <xdr:rowOff>0</xdr:rowOff>
    </xdr:from>
    <xdr:to>
      <xdr:col>32</xdr:col>
      <xdr:colOff>352425</xdr:colOff>
      <xdr:row>179</xdr:row>
      <xdr:rowOff>123825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25</xdr:col>
      <xdr:colOff>76200</xdr:colOff>
      <xdr:row>193</xdr:row>
      <xdr:rowOff>161925</xdr:rowOff>
    </xdr:from>
    <xdr:to>
      <xdr:col>32</xdr:col>
      <xdr:colOff>381000</xdr:colOff>
      <xdr:row>203</xdr:row>
      <xdr:rowOff>133350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25</xdr:col>
      <xdr:colOff>85725</xdr:colOff>
      <xdr:row>217</xdr:row>
      <xdr:rowOff>171450</xdr:rowOff>
    </xdr:from>
    <xdr:to>
      <xdr:col>32</xdr:col>
      <xdr:colOff>390525</xdr:colOff>
      <xdr:row>227</xdr:row>
      <xdr:rowOff>28575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25</xdr:col>
      <xdr:colOff>76200</xdr:colOff>
      <xdr:row>241</xdr:row>
      <xdr:rowOff>180975</xdr:rowOff>
    </xdr:from>
    <xdr:to>
      <xdr:col>32</xdr:col>
      <xdr:colOff>381000</xdr:colOff>
      <xdr:row>251</xdr:row>
      <xdr:rowOff>152400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25</xdr:col>
      <xdr:colOff>76200</xdr:colOff>
      <xdr:row>265</xdr:row>
      <xdr:rowOff>180975</xdr:rowOff>
    </xdr:from>
    <xdr:to>
      <xdr:col>32</xdr:col>
      <xdr:colOff>381000</xdr:colOff>
      <xdr:row>275</xdr:row>
      <xdr:rowOff>152400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25</xdr:col>
      <xdr:colOff>57150</xdr:colOff>
      <xdr:row>289</xdr:row>
      <xdr:rowOff>171450</xdr:rowOff>
    </xdr:from>
    <xdr:to>
      <xdr:col>32</xdr:col>
      <xdr:colOff>361950</xdr:colOff>
      <xdr:row>300</xdr:row>
      <xdr:rowOff>9525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25</xdr:col>
      <xdr:colOff>57150</xdr:colOff>
      <xdr:row>314</xdr:row>
      <xdr:rowOff>0</xdr:rowOff>
    </xdr:from>
    <xdr:to>
      <xdr:col>32</xdr:col>
      <xdr:colOff>361950</xdr:colOff>
      <xdr:row>323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25</xdr:col>
      <xdr:colOff>66675</xdr:colOff>
      <xdr:row>337</xdr:row>
      <xdr:rowOff>180975</xdr:rowOff>
    </xdr:from>
    <xdr:to>
      <xdr:col>32</xdr:col>
      <xdr:colOff>371475</xdr:colOff>
      <xdr:row>347</xdr:row>
      <xdr:rowOff>123825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25</xdr:col>
      <xdr:colOff>76200</xdr:colOff>
      <xdr:row>362</xdr:row>
      <xdr:rowOff>9525</xdr:rowOff>
    </xdr:from>
    <xdr:to>
      <xdr:col>32</xdr:col>
      <xdr:colOff>381000</xdr:colOff>
      <xdr:row>372</xdr:row>
      <xdr:rowOff>57150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34</xdr:col>
      <xdr:colOff>66675</xdr:colOff>
      <xdr:row>385</xdr:row>
      <xdr:rowOff>180975</xdr:rowOff>
    </xdr:from>
    <xdr:to>
      <xdr:col>41</xdr:col>
      <xdr:colOff>371475</xdr:colOff>
      <xdr:row>396</xdr:row>
      <xdr:rowOff>9525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34</xdr:col>
      <xdr:colOff>28575</xdr:colOff>
      <xdr:row>409</xdr:row>
      <xdr:rowOff>180975</xdr:rowOff>
    </xdr:from>
    <xdr:to>
      <xdr:col>41</xdr:col>
      <xdr:colOff>333375</xdr:colOff>
      <xdr:row>419</xdr:row>
      <xdr:rowOff>180975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34</xdr:col>
      <xdr:colOff>66675</xdr:colOff>
      <xdr:row>434</xdr:row>
      <xdr:rowOff>19050</xdr:rowOff>
    </xdr:from>
    <xdr:to>
      <xdr:col>41</xdr:col>
      <xdr:colOff>371475</xdr:colOff>
      <xdr:row>444</xdr:row>
      <xdr:rowOff>114300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25</xdr:col>
      <xdr:colOff>190500</xdr:colOff>
      <xdr:row>60</xdr:row>
      <xdr:rowOff>57149</xdr:rowOff>
    </xdr:from>
    <xdr:to>
      <xdr:col>32</xdr:col>
      <xdr:colOff>495300</xdr:colOff>
      <xdr:row>70</xdr:row>
      <xdr:rowOff>9524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25</xdr:col>
      <xdr:colOff>114300</xdr:colOff>
      <xdr:row>84</xdr:row>
      <xdr:rowOff>66674</xdr:rowOff>
    </xdr:from>
    <xdr:to>
      <xdr:col>32</xdr:col>
      <xdr:colOff>419100</xdr:colOff>
      <xdr:row>94</xdr:row>
      <xdr:rowOff>38099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25</xdr:col>
      <xdr:colOff>104775</xdr:colOff>
      <xdr:row>108</xdr:row>
      <xdr:rowOff>66674</xdr:rowOff>
    </xdr:from>
    <xdr:to>
      <xdr:col>32</xdr:col>
      <xdr:colOff>409575</xdr:colOff>
      <xdr:row>118</xdr:row>
      <xdr:rowOff>19049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25</xdr:col>
      <xdr:colOff>57150</xdr:colOff>
      <xdr:row>132</xdr:row>
      <xdr:rowOff>85724</xdr:rowOff>
    </xdr:from>
    <xdr:to>
      <xdr:col>32</xdr:col>
      <xdr:colOff>361950</xdr:colOff>
      <xdr:row>141</xdr:row>
      <xdr:rowOff>190499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25</xdr:col>
      <xdr:colOff>28575</xdr:colOff>
      <xdr:row>156</xdr:row>
      <xdr:rowOff>66675</xdr:rowOff>
    </xdr:from>
    <xdr:to>
      <xdr:col>32</xdr:col>
      <xdr:colOff>333375</xdr:colOff>
      <xdr:row>165</xdr:row>
      <xdr:rowOff>152399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25</xdr:col>
      <xdr:colOff>66675</xdr:colOff>
      <xdr:row>179</xdr:row>
      <xdr:rowOff>133350</xdr:rowOff>
    </xdr:from>
    <xdr:to>
      <xdr:col>32</xdr:col>
      <xdr:colOff>371475</xdr:colOff>
      <xdr:row>190</xdr:row>
      <xdr:rowOff>0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25</xdr:col>
      <xdr:colOff>85725</xdr:colOff>
      <xdr:row>203</xdr:row>
      <xdr:rowOff>180975</xdr:rowOff>
    </xdr:from>
    <xdr:to>
      <xdr:col>32</xdr:col>
      <xdr:colOff>390525</xdr:colOff>
      <xdr:row>214</xdr:row>
      <xdr:rowOff>47625</xdr:rowOff>
    </xdr:to>
    <xdr:graphicFrame macro="">
      <xdr:nvGraphicFramePr>
        <xdr:cNvPr id="94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25</xdr:col>
      <xdr:colOff>95250</xdr:colOff>
      <xdr:row>227</xdr:row>
      <xdr:rowOff>123826</xdr:rowOff>
    </xdr:from>
    <xdr:to>
      <xdr:col>32</xdr:col>
      <xdr:colOff>400050</xdr:colOff>
      <xdr:row>237</xdr:row>
      <xdr:rowOff>171450</xdr:rowOff>
    </xdr:to>
    <xdr:graphicFrame macro="">
      <xdr:nvGraphicFramePr>
        <xdr:cNvPr id="9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25</xdr:col>
      <xdr:colOff>85725</xdr:colOff>
      <xdr:row>252</xdr:row>
      <xdr:rowOff>57150</xdr:rowOff>
    </xdr:from>
    <xdr:to>
      <xdr:col>32</xdr:col>
      <xdr:colOff>390525</xdr:colOff>
      <xdr:row>262</xdr:row>
      <xdr:rowOff>19050</xdr:rowOff>
    </xdr:to>
    <xdr:graphicFrame macro="">
      <xdr:nvGraphicFramePr>
        <xdr:cNvPr id="96" name="Chart 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25</xdr:col>
      <xdr:colOff>95250</xdr:colOff>
      <xdr:row>276</xdr:row>
      <xdr:rowOff>28574</xdr:rowOff>
    </xdr:from>
    <xdr:to>
      <xdr:col>32</xdr:col>
      <xdr:colOff>400050</xdr:colOff>
      <xdr:row>286</xdr:row>
      <xdr:rowOff>19049</xdr:rowOff>
    </xdr:to>
    <xdr:graphicFrame macro="">
      <xdr:nvGraphicFramePr>
        <xdr:cNvPr id="97" name="Chart 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25</xdr:col>
      <xdr:colOff>66675</xdr:colOff>
      <xdr:row>300</xdr:row>
      <xdr:rowOff>76199</xdr:rowOff>
    </xdr:from>
    <xdr:to>
      <xdr:col>32</xdr:col>
      <xdr:colOff>371475</xdr:colOff>
      <xdr:row>310</xdr:row>
      <xdr:rowOff>9524</xdr:rowOff>
    </xdr:to>
    <xdr:graphicFrame macro="">
      <xdr:nvGraphicFramePr>
        <xdr:cNvPr id="98" name="Chart 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25</xdr:col>
      <xdr:colOff>66675</xdr:colOff>
      <xdr:row>323</xdr:row>
      <xdr:rowOff>114300</xdr:rowOff>
    </xdr:from>
    <xdr:to>
      <xdr:col>32</xdr:col>
      <xdr:colOff>371475</xdr:colOff>
      <xdr:row>334</xdr:row>
      <xdr:rowOff>19050</xdr:rowOff>
    </xdr:to>
    <xdr:graphicFrame macro="">
      <xdr:nvGraphicFramePr>
        <xdr:cNvPr id="99" name="Chart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25</xdr:col>
      <xdr:colOff>85725</xdr:colOff>
      <xdr:row>348</xdr:row>
      <xdr:rowOff>38100</xdr:rowOff>
    </xdr:from>
    <xdr:to>
      <xdr:col>32</xdr:col>
      <xdr:colOff>390525</xdr:colOff>
      <xdr:row>358</xdr:row>
      <xdr:rowOff>38100</xdr:rowOff>
    </xdr:to>
    <xdr:graphicFrame macro="">
      <xdr:nvGraphicFramePr>
        <xdr:cNvPr id="100" name="Chart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25</xdr:col>
      <xdr:colOff>76200</xdr:colOff>
      <xdr:row>372</xdr:row>
      <xdr:rowOff>142876</xdr:rowOff>
    </xdr:from>
    <xdr:to>
      <xdr:col>32</xdr:col>
      <xdr:colOff>381000</xdr:colOff>
      <xdr:row>382</xdr:row>
      <xdr:rowOff>19050</xdr:rowOff>
    </xdr:to>
    <xdr:graphicFrame macro="">
      <xdr:nvGraphicFramePr>
        <xdr:cNvPr id="101" name="Chart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34</xdr:col>
      <xdr:colOff>76200</xdr:colOff>
      <xdr:row>396</xdr:row>
      <xdr:rowOff>85726</xdr:rowOff>
    </xdr:from>
    <xdr:to>
      <xdr:col>41</xdr:col>
      <xdr:colOff>381000</xdr:colOff>
      <xdr:row>406</xdr:row>
      <xdr:rowOff>19050</xdr:rowOff>
    </xdr:to>
    <xdr:graphicFrame macro="">
      <xdr:nvGraphicFramePr>
        <xdr:cNvPr id="102" name="Chart 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34</xdr:col>
      <xdr:colOff>57150</xdr:colOff>
      <xdr:row>420</xdr:row>
      <xdr:rowOff>66675</xdr:rowOff>
    </xdr:from>
    <xdr:to>
      <xdr:col>41</xdr:col>
      <xdr:colOff>361950</xdr:colOff>
      <xdr:row>429</xdr:row>
      <xdr:rowOff>142874</xdr:rowOff>
    </xdr:to>
    <xdr:graphicFrame macro="">
      <xdr:nvGraphicFramePr>
        <xdr:cNvPr id="103" name="Chart 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34</xdr:col>
      <xdr:colOff>85725</xdr:colOff>
      <xdr:row>445</xdr:row>
      <xdr:rowOff>28575</xdr:rowOff>
    </xdr:from>
    <xdr:to>
      <xdr:col>41</xdr:col>
      <xdr:colOff>390525</xdr:colOff>
      <xdr:row>453</xdr:row>
      <xdr:rowOff>180975</xdr:rowOff>
    </xdr:to>
    <xdr:graphicFrame macro="">
      <xdr:nvGraphicFramePr>
        <xdr:cNvPr id="104" name="Chart 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48</xdr:col>
      <xdr:colOff>38100</xdr:colOff>
      <xdr:row>1</xdr:row>
      <xdr:rowOff>171450</xdr:rowOff>
    </xdr:from>
    <xdr:to>
      <xdr:col>55</xdr:col>
      <xdr:colOff>342900</xdr:colOff>
      <xdr:row>11</xdr:row>
      <xdr:rowOff>133350</xdr:rowOff>
    </xdr:to>
    <xdr:graphicFrame macro="">
      <xdr:nvGraphicFramePr>
        <xdr:cNvPr id="105" name="Chart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48</xdr:col>
      <xdr:colOff>76200</xdr:colOff>
      <xdr:row>25</xdr:row>
      <xdr:rowOff>180975</xdr:rowOff>
    </xdr:from>
    <xdr:to>
      <xdr:col>55</xdr:col>
      <xdr:colOff>381000</xdr:colOff>
      <xdr:row>35</xdr:row>
      <xdr:rowOff>142875</xdr:rowOff>
    </xdr:to>
    <xdr:graphicFrame macro="">
      <xdr:nvGraphicFramePr>
        <xdr:cNvPr id="106" name="Chart 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48</xdr:col>
      <xdr:colOff>57150</xdr:colOff>
      <xdr:row>49</xdr:row>
      <xdr:rowOff>171450</xdr:rowOff>
    </xdr:from>
    <xdr:to>
      <xdr:col>55</xdr:col>
      <xdr:colOff>361950</xdr:colOff>
      <xdr:row>59</xdr:row>
      <xdr:rowOff>123825</xdr:rowOff>
    </xdr:to>
    <xdr:graphicFrame macro="">
      <xdr:nvGraphicFramePr>
        <xdr:cNvPr id="107" name="Chart 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48</xdr:col>
      <xdr:colOff>76200</xdr:colOff>
      <xdr:row>74</xdr:row>
      <xdr:rowOff>0</xdr:rowOff>
    </xdr:from>
    <xdr:to>
      <xdr:col>55</xdr:col>
      <xdr:colOff>381000</xdr:colOff>
      <xdr:row>83</xdr:row>
      <xdr:rowOff>66675</xdr:rowOff>
    </xdr:to>
    <xdr:graphicFrame macro="">
      <xdr:nvGraphicFramePr>
        <xdr:cNvPr id="108" name="Chart 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48</xdr:col>
      <xdr:colOff>57150</xdr:colOff>
      <xdr:row>96</xdr:row>
      <xdr:rowOff>180975</xdr:rowOff>
    </xdr:from>
    <xdr:to>
      <xdr:col>55</xdr:col>
      <xdr:colOff>361950</xdr:colOff>
      <xdr:row>106</xdr:row>
      <xdr:rowOff>95250</xdr:rowOff>
    </xdr:to>
    <xdr:graphicFrame macro="">
      <xdr:nvGraphicFramePr>
        <xdr:cNvPr id="109" name="Chart 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48</xdr:col>
      <xdr:colOff>57150</xdr:colOff>
      <xdr:row>121</xdr:row>
      <xdr:rowOff>180975</xdr:rowOff>
    </xdr:from>
    <xdr:to>
      <xdr:col>55</xdr:col>
      <xdr:colOff>361950</xdr:colOff>
      <xdr:row>131</xdr:row>
      <xdr:rowOff>114300</xdr:rowOff>
    </xdr:to>
    <xdr:graphicFrame macro="">
      <xdr:nvGraphicFramePr>
        <xdr:cNvPr id="110" name="Chart 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48</xdr:col>
      <xdr:colOff>66675</xdr:colOff>
      <xdr:row>146</xdr:row>
      <xdr:rowOff>9525</xdr:rowOff>
    </xdr:from>
    <xdr:to>
      <xdr:col>55</xdr:col>
      <xdr:colOff>371475</xdr:colOff>
      <xdr:row>155</xdr:row>
      <xdr:rowOff>133350</xdr:rowOff>
    </xdr:to>
    <xdr:graphicFrame macro="">
      <xdr:nvGraphicFramePr>
        <xdr:cNvPr id="111" name="Chart 1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48</xdr:col>
      <xdr:colOff>76200</xdr:colOff>
      <xdr:row>169</xdr:row>
      <xdr:rowOff>180975</xdr:rowOff>
    </xdr:from>
    <xdr:to>
      <xdr:col>55</xdr:col>
      <xdr:colOff>381000</xdr:colOff>
      <xdr:row>179</xdr:row>
      <xdr:rowOff>114300</xdr:rowOff>
    </xdr:to>
    <xdr:graphicFrame macro="">
      <xdr:nvGraphicFramePr>
        <xdr:cNvPr id="112" name="Chart 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48</xdr:col>
      <xdr:colOff>76200</xdr:colOff>
      <xdr:row>193</xdr:row>
      <xdr:rowOff>180975</xdr:rowOff>
    </xdr:from>
    <xdr:to>
      <xdr:col>55</xdr:col>
      <xdr:colOff>381000</xdr:colOff>
      <xdr:row>203</xdr:row>
      <xdr:rowOff>104775</xdr:rowOff>
    </xdr:to>
    <xdr:graphicFrame macro="">
      <xdr:nvGraphicFramePr>
        <xdr:cNvPr id="113" name="Chart 1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48</xdr:col>
      <xdr:colOff>47625</xdr:colOff>
      <xdr:row>217</xdr:row>
      <xdr:rowOff>171450</xdr:rowOff>
    </xdr:from>
    <xdr:to>
      <xdr:col>55</xdr:col>
      <xdr:colOff>352425</xdr:colOff>
      <xdr:row>227</xdr:row>
      <xdr:rowOff>123825</xdr:rowOff>
    </xdr:to>
    <xdr:graphicFrame macro="">
      <xdr:nvGraphicFramePr>
        <xdr:cNvPr id="114" name="Chart 1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48</xdr:col>
      <xdr:colOff>85725</xdr:colOff>
      <xdr:row>242</xdr:row>
      <xdr:rowOff>9525</xdr:rowOff>
    </xdr:from>
    <xdr:to>
      <xdr:col>55</xdr:col>
      <xdr:colOff>390525</xdr:colOff>
      <xdr:row>251</xdr:row>
      <xdr:rowOff>114300</xdr:rowOff>
    </xdr:to>
    <xdr:graphicFrame macro="">
      <xdr:nvGraphicFramePr>
        <xdr:cNvPr id="115" name="Chart 1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48</xdr:col>
      <xdr:colOff>66675</xdr:colOff>
      <xdr:row>266</xdr:row>
      <xdr:rowOff>0</xdr:rowOff>
    </xdr:from>
    <xdr:to>
      <xdr:col>55</xdr:col>
      <xdr:colOff>371475</xdr:colOff>
      <xdr:row>275</xdr:row>
      <xdr:rowOff>123825</xdr:rowOff>
    </xdr:to>
    <xdr:graphicFrame macro="">
      <xdr:nvGraphicFramePr>
        <xdr:cNvPr id="116" name="Chart 1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48</xdr:col>
      <xdr:colOff>66675</xdr:colOff>
      <xdr:row>289</xdr:row>
      <xdr:rowOff>180975</xdr:rowOff>
    </xdr:from>
    <xdr:to>
      <xdr:col>55</xdr:col>
      <xdr:colOff>371475</xdr:colOff>
      <xdr:row>299</xdr:row>
      <xdr:rowOff>123825</xdr:rowOff>
    </xdr:to>
    <xdr:graphicFrame macro="">
      <xdr:nvGraphicFramePr>
        <xdr:cNvPr id="117" name="Chart 1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48</xdr:col>
      <xdr:colOff>76200</xdr:colOff>
      <xdr:row>313</xdr:row>
      <xdr:rowOff>180975</xdr:rowOff>
    </xdr:from>
    <xdr:to>
      <xdr:col>55</xdr:col>
      <xdr:colOff>381000</xdr:colOff>
      <xdr:row>323</xdr:row>
      <xdr:rowOff>152400</xdr:rowOff>
    </xdr:to>
    <xdr:graphicFrame macro="">
      <xdr:nvGraphicFramePr>
        <xdr:cNvPr id="118" name="Chart 1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48</xdr:col>
      <xdr:colOff>47625</xdr:colOff>
      <xdr:row>338</xdr:row>
      <xdr:rowOff>0</xdr:rowOff>
    </xdr:from>
    <xdr:to>
      <xdr:col>55</xdr:col>
      <xdr:colOff>352425</xdr:colOff>
      <xdr:row>347</xdr:row>
      <xdr:rowOff>85725</xdr:rowOff>
    </xdr:to>
    <xdr:graphicFrame macro="">
      <xdr:nvGraphicFramePr>
        <xdr:cNvPr id="119" name="Chart 1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48</xdr:col>
      <xdr:colOff>47625</xdr:colOff>
      <xdr:row>362</xdr:row>
      <xdr:rowOff>0</xdr:rowOff>
    </xdr:from>
    <xdr:to>
      <xdr:col>55</xdr:col>
      <xdr:colOff>352425</xdr:colOff>
      <xdr:row>371</xdr:row>
      <xdr:rowOff>142875</xdr:rowOff>
    </xdr:to>
    <xdr:graphicFrame macro="">
      <xdr:nvGraphicFramePr>
        <xdr:cNvPr id="120" name="Chart 1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55</xdr:col>
      <xdr:colOff>38100</xdr:colOff>
      <xdr:row>385</xdr:row>
      <xdr:rowOff>180975</xdr:rowOff>
    </xdr:from>
    <xdr:to>
      <xdr:col>62</xdr:col>
      <xdr:colOff>342900</xdr:colOff>
      <xdr:row>395</xdr:row>
      <xdr:rowOff>152400</xdr:rowOff>
    </xdr:to>
    <xdr:graphicFrame macro="">
      <xdr:nvGraphicFramePr>
        <xdr:cNvPr id="121" name="Chart 1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55</xdr:col>
      <xdr:colOff>57150</xdr:colOff>
      <xdr:row>410</xdr:row>
      <xdr:rowOff>9525</xdr:rowOff>
    </xdr:from>
    <xdr:to>
      <xdr:col>62</xdr:col>
      <xdr:colOff>361950</xdr:colOff>
      <xdr:row>419</xdr:row>
      <xdr:rowOff>180975</xdr:rowOff>
    </xdr:to>
    <xdr:graphicFrame macro="">
      <xdr:nvGraphicFramePr>
        <xdr:cNvPr id="122" name="Chart 1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55</xdr:col>
      <xdr:colOff>57150</xdr:colOff>
      <xdr:row>433</xdr:row>
      <xdr:rowOff>180975</xdr:rowOff>
    </xdr:from>
    <xdr:to>
      <xdr:col>62</xdr:col>
      <xdr:colOff>361950</xdr:colOff>
      <xdr:row>443</xdr:row>
      <xdr:rowOff>161925</xdr:rowOff>
    </xdr:to>
    <xdr:graphicFrame macro="">
      <xdr:nvGraphicFramePr>
        <xdr:cNvPr id="123" name="Chart 1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48</xdr:col>
      <xdr:colOff>47625</xdr:colOff>
      <xdr:row>12</xdr:row>
      <xdr:rowOff>38100</xdr:rowOff>
    </xdr:from>
    <xdr:to>
      <xdr:col>55</xdr:col>
      <xdr:colOff>352425</xdr:colOff>
      <xdr:row>21</xdr:row>
      <xdr:rowOff>123825</xdr:rowOff>
    </xdr:to>
    <xdr:graphicFrame macro="">
      <xdr:nvGraphicFramePr>
        <xdr:cNvPr id="124" name="Chart 1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48</xdr:col>
      <xdr:colOff>85725</xdr:colOff>
      <xdr:row>36</xdr:row>
      <xdr:rowOff>57149</xdr:rowOff>
    </xdr:from>
    <xdr:to>
      <xdr:col>55</xdr:col>
      <xdr:colOff>390525</xdr:colOff>
      <xdr:row>46</xdr:row>
      <xdr:rowOff>9524</xdr:rowOff>
    </xdr:to>
    <xdr:graphicFrame macro="">
      <xdr:nvGraphicFramePr>
        <xdr:cNvPr id="125" name="Chart 1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48</xdr:col>
      <xdr:colOff>57150</xdr:colOff>
      <xdr:row>60</xdr:row>
      <xdr:rowOff>57150</xdr:rowOff>
    </xdr:from>
    <xdr:to>
      <xdr:col>55</xdr:col>
      <xdr:colOff>361950</xdr:colOff>
      <xdr:row>69</xdr:row>
      <xdr:rowOff>171450</xdr:rowOff>
    </xdr:to>
    <xdr:graphicFrame macro="">
      <xdr:nvGraphicFramePr>
        <xdr:cNvPr id="126" name="Chart 1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48</xdr:col>
      <xdr:colOff>66675</xdr:colOff>
      <xdr:row>84</xdr:row>
      <xdr:rowOff>66674</xdr:rowOff>
    </xdr:from>
    <xdr:to>
      <xdr:col>55</xdr:col>
      <xdr:colOff>371475</xdr:colOff>
      <xdr:row>94</xdr:row>
      <xdr:rowOff>19049</xdr:rowOff>
    </xdr:to>
    <xdr:graphicFrame macro="">
      <xdr:nvGraphicFramePr>
        <xdr:cNvPr id="127" name="Chart 1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48</xdr:col>
      <xdr:colOff>47625</xdr:colOff>
      <xdr:row>107</xdr:row>
      <xdr:rowOff>85725</xdr:rowOff>
    </xdr:from>
    <xdr:to>
      <xdr:col>55</xdr:col>
      <xdr:colOff>352425</xdr:colOff>
      <xdr:row>117</xdr:row>
      <xdr:rowOff>9525</xdr:rowOff>
    </xdr:to>
    <xdr:graphicFrame macro="">
      <xdr:nvGraphicFramePr>
        <xdr:cNvPr id="128" name="Chart 1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48</xdr:col>
      <xdr:colOff>57150</xdr:colOff>
      <xdr:row>132</xdr:row>
      <xdr:rowOff>47624</xdr:rowOff>
    </xdr:from>
    <xdr:to>
      <xdr:col>55</xdr:col>
      <xdr:colOff>361950</xdr:colOff>
      <xdr:row>141</xdr:row>
      <xdr:rowOff>171449</xdr:rowOff>
    </xdr:to>
    <xdr:graphicFrame macro="">
      <xdr:nvGraphicFramePr>
        <xdr:cNvPr id="129" name="Chart 1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48</xdr:col>
      <xdr:colOff>76200</xdr:colOff>
      <xdr:row>156</xdr:row>
      <xdr:rowOff>38100</xdr:rowOff>
    </xdr:from>
    <xdr:to>
      <xdr:col>55</xdr:col>
      <xdr:colOff>381000</xdr:colOff>
      <xdr:row>166</xdr:row>
      <xdr:rowOff>0</xdr:rowOff>
    </xdr:to>
    <xdr:graphicFrame macro="">
      <xdr:nvGraphicFramePr>
        <xdr:cNvPr id="130" name="Chart 1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48</xdr:col>
      <xdr:colOff>85725</xdr:colOff>
      <xdr:row>180</xdr:row>
      <xdr:rowOff>76200</xdr:rowOff>
    </xdr:from>
    <xdr:to>
      <xdr:col>55</xdr:col>
      <xdr:colOff>390525</xdr:colOff>
      <xdr:row>189</xdr:row>
      <xdr:rowOff>171450</xdr:rowOff>
    </xdr:to>
    <xdr:graphicFrame macro="">
      <xdr:nvGraphicFramePr>
        <xdr:cNvPr id="131" name="Chart 1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48</xdr:col>
      <xdr:colOff>76200</xdr:colOff>
      <xdr:row>204</xdr:row>
      <xdr:rowOff>47625</xdr:rowOff>
    </xdr:from>
    <xdr:to>
      <xdr:col>55</xdr:col>
      <xdr:colOff>381000</xdr:colOff>
      <xdr:row>213</xdr:row>
      <xdr:rowOff>180975</xdr:rowOff>
    </xdr:to>
    <xdr:graphicFrame macro="">
      <xdr:nvGraphicFramePr>
        <xdr:cNvPr id="132" name="Chart 1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48</xdr:col>
      <xdr:colOff>66675</xdr:colOff>
      <xdr:row>228</xdr:row>
      <xdr:rowOff>57150</xdr:rowOff>
    </xdr:from>
    <xdr:to>
      <xdr:col>55</xdr:col>
      <xdr:colOff>371475</xdr:colOff>
      <xdr:row>237</xdr:row>
      <xdr:rowOff>152400</xdr:rowOff>
    </xdr:to>
    <xdr:graphicFrame macro="">
      <xdr:nvGraphicFramePr>
        <xdr:cNvPr id="133" name="Chart 1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48</xdr:col>
      <xdr:colOff>104775</xdr:colOff>
      <xdr:row>252</xdr:row>
      <xdr:rowOff>76199</xdr:rowOff>
    </xdr:from>
    <xdr:to>
      <xdr:col>55</xdr:col>
      <xdr:colOff>409575</xdr:colOff>
      <xdr:row>262</xdr:row>
      <xdr:rowOff>9524</xdr:rowOff>
    </xdr:to>
    <xdr:graphicFrame macro="">
      <xdr:nvGraphicFramePr>
        <xdr:cNvPr id="134" name="Chart 1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48</xdr:col>
      <xdr:colOff>76200</xdr:colOff>
      <xdr:row>276</xdr:row>
      <xdr:rowOff>57150</xdr:rowOff>
    </xdr:from>
    <xdr:to>
      <xdr:col>55</xdr:col>
      <xdr:colOff>381000</xdr:colOff>
      <xdr:row>285</xdr:row>
      <xdr:rowOff>171450</xdr:rowOff>
    </xdr:to>
    <xdr:graphicFrame macro="">
      <xdr:nvGraphicFramePr>
        <xdr:cNvPr id="135" name="Chart 1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48</xdr:col>
      <xdr:colOff>66675</xdr:colOff>
      <xdr:row>300</xdr:row>
      <xdr:rowOff>76199</xdr:rowOff>
    </xdr:from>
    <xdr:to>
      <xdr:col>55</xdr:col>
      <xdr:colOff>371475</xdr:colOff>
      <xdr:row>309</xdr:row>
      <xdr:rowOff>180974</xdr:rowOff>
    </xdr:to>
    <xdr:graphicFrame macro="">
      <xdr:nvGraphicFramePr>
        <xdr:cNvPr id="136" name="Chart 1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48</xdr:col>
      <xdr:colOff>85725</xdr:colOff>
      <xdr:row>324</xdr:row>
      <xdr:rowOff>66675</xdr:rowOff>
    </xdr:from>
    <xdr:to>
      <xdr:col>55</xdr:col>
      <xdr:colOff>390525</xdr:colOff>
      <xdr:row>333</xdr:row>
      <xdr:rowOff>161925</xdr:rowOff>
    </xdr:to>
    <xdr:graphicFrame macro="">
      <xdr:nvGraphicFramePr>
        <xdr:cNvPr id="137" name="Chart 1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48</xdr:col>
      <xdr:colOff>57150</xdr:colOff>
      <xdr:row>348</xdr:row>
      <xdr:rowOff>85725</xdr:rowOff>
    </xdr:from>
    <xdr:to>
      <xdr:col>55</xdr:col>
      <xdr:colOff>361950</xdr:colOff>
      <xdr:row>357</xdr:row>
      <xdr:rowOff>180975</xdr:rowOff>
    </xdr:to>
    <xdr:graphicFrame macro="">
      <xdr:nvGraphicFramePr>
        <xdr:cNvPr id="138" name="Chart 1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48</xdr:col>
      <xdr:colOff>38100</xdr:colOff>
      <xdr:row>372</xdr:row>
      <xdr:rowOff>47625</xdr:rowOff>
    </xdr:from>
    <xdr:to>
      <xdr:col>55</xdr:col>
      <xdr:colOff>342900</xdr:colOff>
      <xdr:row>382</xdr:row>
      <xdr:rowOff>9525</xdr:rowOff>
    </xdr:to>
    <xdr:graphicFrame macro="">
      <xdr:nvGraphicFramePr>
        <xdr:cNvPr id="139" name="Chart 1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55</xdr:col>
      <xdr:colOff>57150</xdr:colOff>
      <xdr:row>396</xdr:row>
      <xdr:rowOff>114299</xdr:rowOff>
    </xdr:from>
    <xdr:to>
      <xdr:col>62</xdr:col>
      <xdr:colOff>361950</xdr:colOff>
      <xdr:row>405</xdr:row>
      <xdr:rowOff>180974</xdr:rowOff>
    </xdr:to>
    <xdr:graphicFrame macro="">
      <xdr:nvGraphicFramePr>
        <xdr:cNvPr id="140" name="Chart 1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55</xdr:col>
      <xdr:colOff>66675</xdr:colOff>
      <xdr:row>420</xdr:row>
      <xdr:rowOff>85724</xdr:rowOff>
    </xdr:from>
    <xdr:to>
      <xdr:col>62</xdr:col>
      <xdr:colOff>371475</xdr:colOff>
      <xdr:row>430</xdr:row>
      <xdr:rowOff>19049</xdr:rowOff>
    </xdr:to>
    <xdr:graphicFrame macro="">
      <xdr:nvGraphicFramePr>
        <xdr:cNvPr id="141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55</xdr:col>
      <xdr:colOff>66675</xdr:colOff>
      <xdr:row>444</xdr:row>
      <xdr:rowOff>47624</xdr:rowOff>
    </xdr:from>
    <xdr:to>
      <xdr:col>62</xdr:col>
      <xdr:colOff>371475</xdr:colOff>
      <xdr:row>454</xdr:row>
      <xdr:rowOff>19049</xdr:rowOff>
    </xdr:to>
    <xdr:graphicFrame macro="">
      <xdr:nvGraphicFramePr>
        <xdr:cNvPr id="142" name="Chart 1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127000</xdr:colOff>
      <xdr:row>1</xdr:row>
      <xdr:rowOff>112714</xdr:rowOff>
    </xdr:from>
    <xdr:to>
      <xdr:col>28</xdr:col>
      <xdr:colOff>420687</xdr:colOff>
      <xdr:row>15</xdr:row>
      <xdr:rowOff>188914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134938</xdr:colOff>
      <xdr:row>16</xdr:row>
      <xdr:rowOff>47625</xdr:rowOff>
    </xdr:from>
    <xdr:to>
      <xdr:col>28</xdr:col>
      <xdr:colOff>428625</xdr:colOff>
      <xdr:row>30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142875</xdr:rowOff>
    </xdr:from>
    <xdr:to>
      <xdr:col>18</xdr:col>
      <xdr:colOff>381000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80961</xdr:rowOff>
    </xdr:from>
    <xdr:to>
      <xdr:col>10</xdr:col>
      <xdr:colOff>142875</xdr:colOff>
      <xdr:row>29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</xdr:row>
      <xdr:rowOff>66675</xdr:rowOff>
    </xdr:from>
    <xdr:to>
      <xdr:col>11</xdr:col>
      <xdr:colOff>104775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22</xdr:row>
      <xdr:rowOff>19050</xdr:rowOff>
    </xdr:from>
    <xdr:to>
      <xdr:col>11</xdr:col>
      <xdr:colOff>95250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390525</xdr:colOff>
      <xdr:row>1</xdr:row>
      <xdr:rowOff>66675</xdr:rowOff>
    </xdr:from>
    <xdr:to>
      <xdr:col>19</xdr:col>
      <xdr:colOff>85725</xdr:colOff>
      <xdr:row>15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295275</xdr:colOff>
      <xdr:row>22</xdr:row>
      <xdr:rowOff>28575</xdr:rowOff>
    </xdr:from>
    <xdr:to>
      <xdr:col>18</xdr:col>
      <xdr:colOff>600075</xdr:colOff>
      <xdr:row>36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333375</xdr:colOff>
      <xdr:row>1</xdr:row>
      <xdr:rowOff>9525</xdr:rowOff>
    </xdr:from>
    <xdr:to>
      <xdr:col>27</xdr:col>
      <xdr:colOff>28575</xdr:colOff>
      <xdr:row>15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257175</xdr:colOff>
      <xdr:row>22</xdr:row>
      <xdr:rowOff>38100</xdr:rowOff>
    </xdr:from>
    <xdr:to>
      <xdr:col>26</xdr:col>
      <xdr:colOff>561975</xdr:colOff>
      <xdr:row>36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1</xdr:row>
      <xdr:rowOff>114300</xdr:rowOff>
    </xdr:from>
    <xdr:to>
      <xdr:col>22</xdr:col>
      <xdr:colOff>209550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</xdr:row>
      <xdr:rowOff>133350</xdr:rowOff>
    </xdr:from>
    <xdr:to>
      <xdr:col>22</xdr:col>
      <xdr:colOff>381000</xdr:colOff>
      <xdr:row>16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22</xdr:row>
      <xdr:rowOff>9525</xdr:rowOff>
    </xdr:from>
    <xdr:to>
      <xdr:col>8</xdr:col>
      <xdr:colOff>209550</xdr:colOff>
      <xdr:row>36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592"/>
  <sheetViews>
    <sheetView zoomScale="90" zoomScaleNormal="90" workbookViewId="0">
      <selection activeCell="C8" sqref="C8:C30"/>
    </sheetView>
  </sheetViews>
  <sheetFormatPr defaultRowHeight="15" x14ac:dyDescent="0.25"/>
  <cols>
    <col min="3" max="3" width="11.85546875" customWidth="1"/>
    <col min="4" max="7" width="9.140625" customWidth="1"/>
    <col min="8" max="8" width="12.42578125" style="21" customWidth="1"/>
    <col min="9" max="9" width="9.140625" customWidth="1"/>
    <col min="10" max="10" width="13.28515625" style="21" bestFit="1" customWidth="1"/>
    <col min="11" max="11" width="9.140625" customWidth="1"/>
    <col min="12" max="12" width="13.28515625" style="21" bestFit="1" customWidth="1"/>
    <col min="13" max="13" width="9.140625" customWidth="1"/>
    <col min="14" max="14" width="13.28515625" style="21" bestFit="1" customWidth="1"/>
    <col min="15" max="15" width="9.140625" customWidth="1"/>
    <col min="16" max="16" width="13.28515625" style="21" bestFit="1" customWidth="1"/>
    <col min="17" max="17" width="9.140625" customWidth="1"/>
    <col min="18" max="18" width="13.28515625" style="21" bestFit="1" customWidth="1"/>
    <col min="19" max="19" width="9.140625" customWidth="1"/>
    <col min="20" max="20" width="13.28515625" style="21" bestFit="1" customWidth="1"/>
    <col min="21" max="21" width="9.140625" customWidth="1"/>
    <col min="22" max="22" width="13.28515625" style="21" bestFit="1" customWidth="1"/>
    <col min="23" max="23" width="9.140625" customWidth="1"/>
    <col min="24" max="24" width="13.28515625" style="21" bestFit="1" customWidth="1"/>
    <col min="25" max="25" width="9.140625" customWidth="1"/>
    <col min="26" max="26" width="13.28515625" style="21" bestFit="1" customWidth="1"/>
    <col min="27" max="27" width="9.140625" customWidth="1"/>
    <col min="28" max="28" width="13.28515625" style="21" bestFit="1" customWidth="1"/>
    <col min="29" max="29" width="9.140625" customWidth="1"/>
    <col min="30" max="30" width="13.28515625" style="21" bestFit="1" customWidth="1"/>
    <col min="31" max="31" width="9.140625" customWidth="1"/>
    <col min="32" max="32" width="13.28515625" style="21" bestFit="1" customWidth="1"/>
    <col min="33" max="33" width="9.140625" customWidth="1"/>
    <col min="34" max="34" width="13.28515625" style="21" bestFit="1" customWidth="1"/>
    <col min="35" max="35" width="9.140625" customWidth="1"/>
    <col min="36" max="36" width="13.28515625" style="21" bestFit="1" customWidth="1"/>
    <col min="37" max="37" width="9.140625" customWidth="1"/>
    <col min="38" max="38" width="13.28515625" style="21" bestFit="1" customWidth="1"/>
    <col min="39" max="39" width="9.140625" customWidth="1"/>
    <col min="40" max="40" width="13.28515625" style="21" bestFit="1" customWidth="1"/>
    <col min="41" max="41" width="9.140625" customWidth="1"/>
    <col min="42" max="42" width="13.28515625" style="21" bestFit="1" customWidth="1"/>
    <col min="43" max="43" width="9.140625" customWidth="1"/>
    <col min="44" max="44" width="13.28515625" style="21" bestFit="1" customWidth="1"/>
  </cols>
  <sheetData>
    <row r="1" spans="1:44" x14ac:dyDescent="0.25">
      <c r="C1" t="s">
        <v>4</v>
      </c>
      <c r="D1">
        <v>14</v>
      </c>
    </row>
    <row r="2" spans="1:44" x14ac:dyDescent="0.25">
      <c r="A2">
        <v>14</v>
      </c>
      <c r="C2" s="1" t="s">
        <v>1</v>
      </c>
      <c r="D2" s="1">
        <v>1.8</v>
      </c>
      <c r="E2" s="2">
        <v>1.85</v>
      </c>
      <c r="F2" s="2">
        <v>1.9</v>
      </c>
      <c r="G2" s="2">
        <v>1.95</v>
      </c>
      <c r="H2" s="22">
        <v>2</v>
      </c>
      <c r="I2" s="2">
        <v>2.0499999999999998</v>
      </c>
      <c r="J2" s="22">
        <v>2.1</v>
      </c>
      <c r="K2" s="2">
        <v>2.15</v>
      </c>
      <c r="L2" s="22">
        <v>2.2000000000000002</v>
      </c>
      <c r="M2" s="2">
        <v>2.25</v>
      </c>
      <c r="N2" s="22">
        <v>2.2999999999999998</v>
      </c>
      <c r="O2" s="2">
        <v>2.35</v>
      </c>
      <c r="P2" s="22">
        <v>2.4</v>
      </c>
      <c r="Q2" s="2">
        <v>2.4500000000000002</v>
      </c>
      <c r="R2" s="22">
        <v>2.5</v>
      </c>
      <c r="S2" s="2">
        <v>2.5499999999999998</v>
      </c>
      <c r="T2" s="22">
        <v>2.6</v>
      </c>
      <c r="U2" s="2">
        <v>2.65</v>
      </c>
      <c r="V2" s="22">
        <v>2.7</v>
      </c>
      <c r="W2" s="2">
        <v>2.75</v>
      </c>
      <c r="X2" s="22">
        <v>2.8</v>
      </c>
      <c r="Y2" s="2">
        <v>2.85</v>
      </c>
      <c r="Z2" s="22">
        <v>2.9</v>
      </c>
      <c r="AA2" s="2">
        <v>2.95</v>
      </c>
      <c r="AB2" s="22">
        <v>3</v>
      </c>
      <c r="AC2" s="2">
        <v>3.05</v>
      </c>
      <c r="AD2" s="22">
        <v>3.1</v>
      </c>
      <c r="AE2" s="2">
        <v>3.15</v>
      </c>
      <c r="AF2" s="22">
        <v>3.2</v>
      </c>
      <c r="AG2" s="2">
        <v>3.25</v>
      </c>
      <c r="AH2" s="22">
        <v>3.3</v>
      </c>
      <c r="AI2" s="2">
        <v>3.35</v>
      </c>
      <c r="AJ2" s="22">
        <v>3.4</v>
      </c>
      <c r="AK2" s="2">
        <v>3.45</v>
      </c>
      <c r="AL2" s="22">
        <v>3.5</v>
      </c>
      <c r="AM2" s="2">
        <v>3.55</v>
      </c>
      <c r="AN2" s="22">
        <v>3.6</v>
      </c>
      <c r="AO2" s="2">
        <v>3.65</v>
      </c>
      <c r="AP2" s="22">
        <v>3.7</v>
      </c>
      <c r="AQ2" s="2">
        <v>3.75</v>
      </c>
      <c r="AR2" s="22">
        <v>3.8</v>
      </c>
    </row>
    <row r="3" spans="1:44" x14ac:dyDescent="0.25">
      <c r="C3" s="1" t="s">
        <v>2</v>
      </c>
      <c r="D3" s="3">
        <v>34.787166999999997</v>
      </c>
      <c r="E3" s="3">
        <v>34.753694000000003</v>
      </c>
      <c r="F3" s="3">
        <v>34.755184999999997</v>
      </c>
      <c r="G3" s="3">
        <v>34.750138999999997</v>
      </c>
      <c r="H3" s="22">
        <v>34.780273999999999</v>
      </c>
      <c r="I3" s="3">
        <v>31.115435999999999</v>
      </c>
      <c r="J3" s="22">
        <v>30.244745000000002</v>
      </c>
      <c r="K3" s="3">
        <v>29.804760999999999</v>
      </c>
      <c r="L3" s="22">
        <v>28.97326</v>
      </c>
      <c r="M3" s="3">
        <v>28.527218999999999</v>
      </c>
      <c r="N3" s="22">
        <v>28.107491</v>
      </c>
      <c r="O3" s="3">
        <v>27.266192</v>
      </c>
      <c r="P3" s="22">
        <v>26.846806000000001</v>
      </c>
      <c r="Q3" s="3">
        <v>26.081693000000001</v>
      </c>
      <c r="R3" s="22">
        <v>25.681227</v>
      </c>
      <c r="S3" s="3">
        <v>25.297260000000001</v>
      </c>
      <c r="T3" s="22">
        <v>24.943697</v>
      </c>
      <c r="U3" s="3">
        <v>24.194315</v>
      </c>
      <c r="V3" s="22">
        <v>23.838211999999999</v>
      </c>
      <c r="W3" s="3">
        <v>23.505655999999998</v>
      </c>
      <c r="X3" s="22">
        <v>23.180475999999999</v>
      </c>
      <c r="Y3" s="3">
        <v>22.851974999999999</v>
      </c>
      <c r="Z3" s="22">
        <v>22.225159000000001</v>
      </c>
      <c r="AA3" s="3">
        <v>21.934747999999999</v>
      </c>
      <c r="AB3" s="22">
        <v>21.620612000000001</v>
      </c>
      <c r="AC3" s="3">
        <v>21.347375</v>
      </c>
      <c r="AD3" s="22">
        <v>21.075865</v>
      </c>
      <c r="AE3" s="3">
        <v>20.826453999999998</v>
      </c>
      <c r="AF3" s="22">
        <v>20.251251</v>
      </c>
      <c r="AG3" s="3">
        <v>20.012350999999999</v>
      </c>
      <c r="AH3" s="22">
        <v>19.758018</v>
      </c>
      <c r="AI3" s="3">
        <v>19.505317999999999</v>
      </c>
      <c r="AJ3" s="22">
        <v>19.277009</v>
      </c>
      <c r="AK3" s="3">
        <v>19.067927000000001</v>
      </c>
      <c r="AL3" s="22">
        <v>18.828956000000002</v>
      </c>
      <c r="AM3" s="3">
        <v>18.626494999999998</v>
      </c>
      <c r="AN3" s="22">
        <v>18.419049999999999</v>
      </c>
      <c r="AO3" s="3">
        <v>18.213142000000001</v>
      </c>
      <c r="AP3" s="22">
        <v>18.014374</v>
      </c>
      <c r="AQ3" s="3">
        <v>17.831852999999999</v>
      </c>
      <c r="AR3" s="22">
        <v>17.653943999999999</v>
      </c>
    </row>
    <row r="4" spans="1:44" x14ac:dyDescent="0.25">
      <c r="C4" s="1"/>
      <c r="D4" s="3">
        <v>34.591258000000003</v>
      </c>
      <c r="E4" s="3">
        <v>34.583931999999997</v>
      </c>
      <c r="F4" s="3">
        <v>34.573588999999998</v>
      </c>
      <c r="G4" s="3">
        <v>34.586252999999999</v>
      </c>
      <c r="H4" s="22">
        <v>34.587235</v>
      </c>
      <c r="I4" s="3">
        <v>30.972946</v>
      </c>
      <c r="J4" s="22">
        <v>30.131936</v>
      </c>
      <c r="K4" s="3">
        <v>29.643872999999999</v>
      </c>
      <c r="L4" s="22">
        <v>28.867857000000001</v>
      </c>
      <c r="M4" s="3">
        <v>28.420197999999999</v>
      </c>
      <c r="N4" s="22">
        <v>27.603047</v>
      </c>
      <c r="O4" s="3">
        <v>27.16018</v>
      </c>
      <c r="P4" s="22">
        <v>26.720500000000001</v>
      </c>
      <c r="Q4" s="3">
        <v>25.986189</v>
      </c>
      <c r="R4" s="22">
        <v>25.596969999999999</v>
      </c>
      <c r="S4" s="3">
        <v>25.203661</v>
      </c>
      <c r="T4" s="22">
        <v>24.836651</v>
      </c>
      <c r="U4" s="3">
        <v>24.105664000000001</v>
      </c>
      <c r="V4" s="22">
        <v>23.751139999999999</v>
      </c>
      <c r="W4" s="3">
        <v>23.422723000000001</v>
      </c>
      <c r="X4" s="22">
        <v>23.078710999999998</v>
      </c>
      <c r="Y4" s="3">
        <v>22.756062</v>
      </c>
      <c r="Z4" s="22">
        <v>22.159488</v>
      </c>
      <c r="AA4" s="3">
        <v>21.844843999999998</v>
      </c>
      <c r="AB4" s="22">
        <v>21.561235</v>
      </c>
      <c r="AC4" s="3">
        <v>21.267613999999998</v>
      </c>
      <c r="AD4" s="22">
        <v>20.985336</v>
      </c>
      <c r="AE4" s="3">
        <v>20.730014000000001</v>
      </c>
      <c r="AF4" s="22">
        <v>20.187455</v>
      </c>
      <c r="AG4" s="3">
        <v>19.951065</v>
      </c>
      <c r="AH4" s="22">
        <v>19.693190999999999</v>
      </c>
      <c r="AI4" s="3">
        <v>19.461051000000001</v>
      </c>
      <c r="AJ4" s="22">
        <v>19.219116</v>
      </c>
      <c r="AK4" s="3">
        <v>18.975259999999999</v>
      </c>
      <c r="AL4" s="22">
        <v>18.767341999999999</v>
      </c>
      <c r="AM4" s="3">
        <v>18.541651999999999</v>
      </c>
      <c r="AN4" s="22">
        <v>18.356755</v>
      </c>
      <c r="AO4" s="3">
        <v>18.144705999999999</v>
      </c>
      <c r="AP4" s="22">
        <v>17.948433000000001</v>
      </c>
      <c r="AQ4" s="3">
        <v>17.747363</v>
      </c>
      <c r="AR4" s="22">
        <v>17.561299999999999</v>
      </c>
    </row>
    <row r="5" spans="1:44" x14ac:dyDescent="0.25">
      <c r="C5" s="1"/>
      <c r="D5" s="3">
        <v>35.047950999999998</v>
      </c>
      <c r="E5" s="3">
        <v>35.069446999999997</v>
      </c>
      <c r="F5" s="3">
        <v>35.081814000000001</v>
      </c>
      <c r="G5" s="3">
        <v>35.050043000000002</v>
      </c>
      <c r="H5" s="22">
        <v>35.087727999999998</v>
      </c>
      <c r="I5" s="3">
        <v>31.438341000000001</v>
      </c>
      <c r="J5" s="22">
        <v>31.002801999999999</v>
      </c>
      <c r="K5" s="3">
        <v>30.144238000000001</v>
      </c>
      <c r="L5" s="22">
        <v>29.714397000000002</v>
      </c>
      <c r="M5" s="3">
        <v>28.857968</v>
      </c>
      <c r="N5" s="22">
        <v>28.407003</v>
      </c>
      <c r="O5" s="3">
        <v>27.578766000000002</v>
      </c>
      <c r="P5" s="22">
        <v>27.150348000000001</v>
      </c>
      <c r="Q5" s="3">
        <v>26.767531999999999</v>
      </c>
      <c r="R5" s="22">
        <v>25.998674000000001</v>
      </c>
      <c r="S5" s="3">
        <v>25.606287999999999</v>
      </c>
      <c r="T5" s="22">
        <v>25.228634</v>
      </c>
      <c r="U5" s="3">
        <v>24.870695999999999</v>
      </c>
      <c r="V5" s="22">
        <v>24.163736</v>
      </c>
      <c r="W5" s="3">
        <v>23.801214000000002</v>
      </c>
      <c r="X5" s="22">
        <v>23.437289</v>
      </c>
      <c r="Y5" s="3">
        <v>23.129853000000001</v>
      </c>
      <c r="Z5" s="22">
        <v>22.823025999999999</v>
      </c>
      <c r="AA5" s="3">
        <v>22.182645000000001</v>
      </c>
      <c r="AB5" s="22">
        <v>21.878511</v>
      </c>
      <c r="AC5" s="3">
        <v>21.603833000000002</v>
      </c>
      <c r="AD5" s="22">
        <v>21.312964999999998</v>
      </c>
      <c r="AE5" s="3">
        <v>21.054487000000002</v>
      </c>
      <c r="AF5" s="22">
        <v>20.784175000000001</v>
      </c>
      <c r="AG5" s="3">
        <v>20.247731000000002</v>
      </c>
      <c r="AH5" s="22">
        <v>19.974644000000001</v>
      </c>
      <c r="AI5" s="3">
        <v>19.738959999999999</v>
      </c>
      <c r="AJ5" s="22">
        <v>19.495649</v>
      </c>
      <c r="AK5" s="3">
        <v>19.273883999999999</v>
      </c>
      <c r="AL5" s="22">
        <v>19.043571</v>
      </c>
      <c r="AM5" s="3">
        <v>18.829712000000001</v>
      </c>
      <c r="AN5" s="22">
        <v>18.619382000000002</v>
      </c>
      <c r="AO5" s="3">
        <v>18.398233000000001</v>
      </c>
      <c r="AP5" s="22">
        <v>18.222362</v>
      </c>
      <c r="AQ5" s="3">
        <v>18.011286999999999</v>
      </c>
      <c r="AR5" s="22">
        <v>17.836570999999999</v>
      </c>
    </row>
    <row r="6" spans="1:44" x14ac:dyDescent="0.25">
      <c r="C6" s="1" t="s">
        <v>3</v>
      </c>
      <c r="D6" s="1">
        <f>AVERAGE(D3:D5)</f>
        <v>34.808791999999997</v>
      </c>
      <c r="E6" s="1">
        <f t="shared" ref="E6:AR6" si="0">AVERAGE(E3:E5)</f>
        <v>34.802357666666666</v>
      </c>
      <c r="F6" s="1">
        <f t="shared" si="0"/>
        <v>34.80352933333333</v>
      </c>
      <c r="G6" s="1">
        <f t="shared" si="0"/>
        <v>34.795478333333328</v>
      </c>
      <c r="H6" s="23">
        <f t="shared" si="0"/>
        <v>34.818412333333335</v>
      </c>
      <c r="I6" s="1">
        <f t="shared" si="0"/>
        <v>31.175574333333333</v>
      </c>
      <c r="J6" s="23">
        <f t="shared" si="0"/>
        <v>30.459827666666669</v>
      </c>
      <c r="K6" s="1">
        <f t="shared" si="0"/>
        <v>29.864290666666665</v>
      </c>
      <c r="L6" s="23">
        <f t="shared" si="0"/>
        <v>29.185171333333333</v>
      </c>
      <c r="M6" s="1">
        <f t="shared" si="0"/>
        <v>28.601794999999999</v>
      </c>
      <c r="N6" s="23">
        <f t="shared" si="0"/>
        <v>28.039180333333334</v>
      </c>
      <c r="O6" s="1">
        <f t="shared" si="0"/>
        <v>27.335046000000002</v>
      </c>
      <c r="P6" s="23">
        <f t="shared" si="0"/>
        <v>26.905884666666669</v>
      </c>
      <c r="Q6" s="1">
        <f t="shared" si="0"/>
        <v>26.278471333333332</v>
      </c>
      <c r="R6" s="23">
        <f t="shared" si="0"/>
        <v>25.758956999999999</v>
      </c>
      <c r="S6" s="1">
        <f t="shared" si="0"/>
        <v>25.369069666666672</v>
      </c>
      <c r="T6" s="23">
        <f t="shared" si="0"/>
        <v>25.002994000000001</v>
      </c>
      <c r="U6" s="1">
        <f t="shared" si="0"/>
        <v>24.390225000000001</v>
      </c>
      <c r="V6" s="23">
        <f t="shared" si="0"/>
        <v>23.917695999999996</v>
      </c>
      <c r="W6" s="1">
        <f t="shared" si="0"/>
        <v>23.576530999999999</v>
      </c>
      <c r="X6" s="23">
        <f t="shared" si="0"/>
        <v>23.232158666666663</v>
      </c>
      <c r="Y6" s="1">
        <f t="shared" si="0"/>
        <v>22.912629999999996</v>
      </c>
      <c r="Z6" s="23">
        <f t="shared" si="0"/>
        <v>22.402557666666667</v>
      </c>
      <c r="AA6" s="1">
        <f t="shared" si="0"/>
        <v>21.987412333333328</v>
      </c>
      <c r="AB6" s="23">
        <f t="shared" si="0"/>
        <v>21.686786000000001</v>
      </c>
      <c r="AC6" s="1">
        <f t="shared" si="0"/>
        <v>21.406273999999996</v>
      </c>
      <c r="AD6" s="23">
        <f t="shared" si="0"/>
        <v>21.124721999999998</v>
      </c>
      <c r="AE6" s="1">
        <f t="shared" si="0"/>
        <v>20.870318333333334</v>
      </c>
      <c r="AF6" s="23">
        <f t="shared" si="0"/>
        <v>20.407627000000002</v>
      </c>
      <c r="AG6" s="1">
        <f t="shared" si="0"/>
        <v>20.070382333333331</v>
      </c>
      <c r="AH6" s="23">
        <f t="shared" si="0"/>
        <v>19.808617666666667</v>
      </c>
      <c r="AI6" s="1">
        <f t="shared" si="0"/>
        <v>19.568442999999998</v>
      </c>
      <c r="AJ6" s="23">
        <f t="shared" si="0"/>
        <v>19.330591333333334</v>
      </c>
      <c r="AK6" s="1">
        <f t="shared" si="0"/>
        <v>19.105690333333332</v>
      </c>
      <c r="AL6" s="23">
        <f t="shared" si="0"/>
        <v>18.879956333333336</v>
      </c>
      <c r="AM6" s="1">
        <f t="shared" si="0"/>
        <v>18.665952999999998</v>
      </c>
      <c r="AN6" s="23">
        <f t="shared" si="0"/>
        <v>18.465062333333332</v>
      </c>
      <c r="AO6" s="1">
        <f t="shared" si="0"/>
        <v>18.252027000000002</v>
      </c>
      <c r="AP6" s="23">
        <f t="shared" si="0"/>
        <v>18.061723000000001</v>
      </c>
      <c r="AQ6" s="1">
        <f t="shared" si="0"/>
        <v>17.863500999999999</v>
      </c>
      <c r="AR6" s="23">
        <f t="shared" si="0"/>
        <v>17.683938333333334</v>
      </c>
    </row>
    <row r="34" spans="1:44" x14ac:dyDescent="0.25">
      <c r="C34" t="s">
        <v>4</v>
      </c>
      <c r="D34">
        <v>13</v>
      </c>
    </row>
    <row r="35" spans="1:44" x14ac:dyDescent="0.25">
      <c r="A35">
        <v>13</v>
      </c>
      <c r="C35" s="1" t="s">
        <v>1</v>
      </c>
      <c r="D35" s="1">
        <v>1.8</v>
      </c>
      <c r="E35" s="2">
        <v>1.85</v>
      </c>
      <c r="F35" s="2">
        <v>1.9</v>
      </c>
      <c r="G35" s="2">
        <v>1.95</v>
      </c>
      <c r="H35" s="22">
        <v>2</v>
      </c>
      <c r="I35" s="2">
        <v>2.0499999999999998</v>
      </c>
      <c r="J35" s="22">
        <v>2.1</v>
      </c>
      <c r="K35" s="2">
        <v>2.15</v>
      </c>
      <c r="L35" s="22">
        <v>2.2000000000000002</v>
      </c>
      <c r="M35" s="2">
        <v>2.25</v>
      </c>
      <c r="N35" s="22">
        <v>2.2999999999999998</v>
      </c>
      <c r="O35" s="2">
        <v>2.35</v>
      </c>
      <c r="P35" s="22">
        <v>2.4</v>
      </c>
      <c r="Q35" s="2">
        <v>2.4500000000000002</v>
      </c>
      <c r="R35" s="22">
        <v>2.5</v>
      </c>
      <c r="S35" s="2">
        <v>2.5499999999999998</v>
      </c>
      <c r="T35" s="22">
        <v>2.6</v>
      </c>
      <c r="U35" s="2">
        <v>2.65</v>
      </c>
      <c r="V35" s="22">
        <v>2.7</v>
      </c>
      <c r="W35" s="2">
        <v>2.75</v>
      </c>
      <c r="X35" s="22">
        <v>2.8</v>
      </c>
      <c r="Y35" s="2">
        <v>2.85</v>
      </c>
      <c r="Z35" s="22">
        <v>2.9</v>
      </c>
      <c r="AA35" s="2">
        <v>2.95</v>
      </c>
      <c r="AB35" s="22">
        <v>3</v>
      </c>
      <c r="AC35" s="2">
        <v>3.05</v>
      </c>
      <c r="AD35" s="22">
        <v>3.1</v>
      </c>
      <c r="AE35" s="2">
        <v>3.15</v>
      </c>
      <c r="AF35" s="22">
        <v>3.2</v>
      </c>
      <c r="AG35" s="2">
        <v>3.25</v>
      </c>
      <c r="AH35" s="22">
        <v>3.3</v>
      </c>
      <c r="AI35" s="2">
        <v>3.35</v>
      </c>
      <c r="AJ35" s="22">
        <v>3.4</v>
      </c>
      <c r="AK35" s="2">
        <v>3.45</v>
      </c>
      <c r="AL35" s="22">
        <v>3.5</v>
      </c>
      <c r="AM35" s="2">
        <v>3.55</v>
      </c>
      <c r="AN35" s="22">
        <v>3.6</v>
      </c>
      <c r="AO35" s="2">
        <v>3.65</v>
      </c>
      <c r="AP35" s="22">
        <v>3.7</v>
      </c>
      <c r="AQ35" s="2">
        <v>3.75</v>
      </c>
      <c r="AR35" s="22">
        <v>3.8</v>
      </c>
    </row>
    <row r="36" spans="1:44" x14ac:dyDescent="0.25">
      <c r="C36" s="1" t="s">
        <v>2</v>
      </c>
      <c r="D36" s="3">
        <v>32.564520999999999</v>
      </c>
      <c r="E36" s="3">
        <v>32.542873</v>
      </c>
      <c r="F36" s="3">
        <v>32.532381000000001</v>
      </c>
      <c r="G36" s="3">
        <v>32.544350999999999</v>
      </c>
      <c r="H36" s="22">
        <v>32.545059000000002</v>
      </c>
      <c r="I36" s="3">
        <v>29.109663999999999</v>
      </c>
      <c r="J36" s="22">
        <v>28.306319999999999</v>
      </c>
      <c r="K36" s="3">
        <v>27.960963</v>
      </c>
      <c r="L36" s="22">
        <v>27.173555</v>
      </c>
      <c r="M36" s="3">
        <v>26.756132000000001</v>
      </c>
      <c r="N36" s="22">
        <v>25.979569000000001</v>
      </c>
      <c r="O36" s="3">
        <v>25.565270999999999</v>
      </c>
      <c r="P36" s="22">
        <v>25.184441</v>
      </c>
      <c r="Q36" s="3">
        <v>24.458378</v>
      </c>
      <c r="R36" s="22">
        <v>24.095873999999998</v>
      </c>
      <c r="S36" s="3">
        <v>23.747419000000001</v>
      </c>
      <c r="T36" s="22">
        <v>23.404529</v>
      </c>
      <c r="U36" s="3">
        <v>22.755714000000001</v>
      </c>
      <c r="V36" s="22">
        <v>22.417919999999999</v>
      </c>
      <c r="W36" s="3">
        <v>22.107104</v>
      </c>
      <c r="X36" s="22">
        <v>21.795103000000001</v>
      </c>
      <c r="Y36" s="3">
        <v>21.501707</v>
      </c>
      <c r="Z36" s="22">
        <v>20.901467</v>
      </c>
      <c r="AA36" s="3">
        <v>20.623593</v>
      </c>
      <c r="AB36" s="22">
        <v>20.338740000000001</v>
      </c>
      <c r="AC36" s="3">
        <v>20.083321000000002</v>
      </c>
      <c r="AD36" s="22">
        <v>19.827407000000001</v>
      </c>
      <c r="AE36" s="3">
        <v>19.586690000000001</v>
      </c>
      <c r="AF36" s="22">
        <v>19.059137</v>
      </c>
      <c r="AG36" s="3">
        <v>18.818013000000001</v>
      </c>
      <c r="AH36" s="22">
        <v>18.577331999999998</v>
      </c>
      <c r="AI36" s="3">
        <v>18.366752999999999</v>
      </c>
      <c r="AJ36" s="22">
        <v>18.140571999999999</v>
      </c>
      <c r="AK36" s="3">
        <v>17.940866</v>
      </c>
      <c r="AL36" s="22">
        <v>17.720663999999999</v>
      </c>
      <c r="AM36" s="3">
        <v>17.529744999999998</v>
      </c>
      <c r="AN36" s="22">
        <v>17.330666000000001</v>
      </c>
      <c r="AO36" s="3">
        <v>17.13842</v>
      </c>
      <c r="AP36" s="22">
        <v>16.994219999999999</v>
      </c>
      <c r="AQ36" s="3">
        <v>16.814630999999999</v>
      </c>
      <c r="AR36" s="22">
        <v>16.651724000000002</v>
      </c>
    </row>
    <row r="37" spans="1:44" x14ac:dyDescent="0.25">
      <c r="C37" s="1"/>
      <c r="D37" s="3">
        <v>32.573059999999998</v>
      </c>
      <c r="E37" s="3">
        <v>32.560783000000001</v>
      </c>
      <c r="F37" s="3">
        <v>32.541393999999997</v>
      </c>
      <c r="G37" s="3">
        <v>32.542997999999997</v>
      </c>
      <c r="H37" s="22">
        <v>32.533002000000003</v>
      </c>
      <c r="I37" s="3">
        <v>29.152828</v>
      </c>
      <c r="J37" s="22">
        <v>28.379915</v>
      </c>
      <c r="K37" s="3">
        <v>27.947455999999999</v>
      </c>
      <c r="L37" s="22">
        <v>27.186848999999999</v>
      </c>
      <c r="M37" s="3">
        <v>26.816665</v>
      </c>
      <c r="N37" s="22">
        <v>26.045345999999999</v>
      </c>
      <c r="O37" s="3">
        <v>25.628259</v>
      </c>
      <c r="P37" s="22">
        <v>25.242097999999999</v>
      </c>
      <c r="Q37" s="3">
        <v>24.538170999999998</v>
      </c>
      <c r="R37" s="22">
        <v>24.157423000000001</v>
      </c>
      <c r="S37" s="3">
        <v>23.791751999999999</v>
      </c>
      <c r="T37" s="22">
        <v>23.437678999999999</v>
      </c>
      <c r="U37" s="3">
        <v>22.753466</v>
      </c>
      <c r="V37" s="22">
        <v>22.421422</v>
      </c>
      <c r="W37" s="3">
        <v>22.115779</v>
      </c>
      <c r="X37" s="22">
        <v>21.790367</v>
      </c>
      <c r="Y37" s="3">
        <v>21.482817000000001</v>
      </c>
      <c r="Z37" s="22">
        <v>20.920093000000001</v>
      </c>
      <c r="AA37" s="3">
        <v>20.621941</v>
      </c>
      <c r="AB37" s="22">
        <v>20.392372999999999</v>
      </c>
      <c r="AC37" s="3">
        <v>20.127922999999999</v>
      </c>
      <c r="AD37" s="22">
        <v>19.863101</v>
      </c>
      <c r="AE37" s="3">
        <v>19.631173</v>
      </c>
      <c r="AF37" s="22">
        <v>19.107453</v>
      </c>
      <c r="AG37" s="3">
        <v>18.879159999999999</v>
      </c>
      <c r="AH37" s="22">
        <v>18.632186999999998</v>
      </c>
      <c r="AI37" s="3">
        <v>18.412938</v>
      </c>
      <c r="AJ37" s="22">
        <v>18.185140000000001</v>
      </c>
      <c r="AK37" s="3">
        <v>17.981456999999999</v>
      </c>
      <c r="AL37" s="22">
        <v>17.771100000000001</v>
      </c>
      <c r="AM37" s="3">
        <v>17.550059000000001</v>
      </c>
      <c r="AN37" s="22">
        <v>17.364937999999999</v>
      </c>
      <c r="AO37" s="3">
        <v>17.171509</v>
      </c>
      <c r="AP37" s="22">
        <v>16.999465000000001</v>
      </c>
      <c r="AQ37" s="3">
        <v>16.834937</v>
      </c>
      <c r="AR37" s="22">
        <v>16.674631000000002</v>
      </c>
    </row>
    <row r="38" spans="1:44" x14ac:dyDescent="0.25">
      <c r="C38" s="1"/>
      <c r="D38" s="3">
        <v>33.066994000000001</v>
      </c>
      <c r="E38" s="3">
        <v>33.115532999999999</v>
      </c>
      <c r="F38" s="3">
        <v>33.123759999999997</v>
      </c>
      <c r="G38" s="3">
        <v>33.128355999999997</v>
      </c>
      <c r="H38" s="22">
        <v>33.081772999999998</v>
      </c>
      <c r="I38" s="3">
        <v>29.682879</v>
      </c>
      <c r="J38" s="22">
        <v>29.268567000000001</v>
      </c>
      <c r="K38" s="3">
        <v>28.408387000000001</v>
      </c>
      <c r="L38" s="22">
        <v>27.626145000000001</v>
      </c>
      <c r="M38" s="3">
        <v>27.225840999999999</v>
      </c>
      <c r="N38" s="22">
        <v>26.833912999999999</v>
      </c>
      <c r="O38" s="3">
        <v>26.020396999999999</v>
      </c>
      <c r="P38" s="22">
        <v>25.630800000000001</v>
      </c>
      <c r="Q38" s="3">
        <v>25.232669999999999</v>
      </c>
      <c r="R38" s="22">
        <v>24.514711999999999</v>
      </c>
      <c r="S38" s="3">
        <v>24.201931999999999</v>
      </c>
      <c r="T38" s="22">
        <v>23.83962</v>
      </c>
      <c r="U38" s="3">
        <v>23.544073000000001</v>
      </c>
      <c r="V38" s="22">
        <v>22.830749999999998</v>
      </c>
      <c r="W38" s="3">
        <v>22.510891999999998</v>
      </c>
      <c r="X38" s="22">
        <v>22.176407999999999</v>
      </c>
      <c r="Y38" s="3">
        <v>21.848638999999999</v>
      </c>
      <c r="Z38" s="22">
        <v>21.588215999999999</v>
      </c>
      <c r="AA38" s="3">
        <v>20.964704999999999</v>
      </c>
      <c r="AB38" s="22">
        <v>20.688898999999999</v>
      </c>
      <c r="AC38" s="3">
        <v>20.406635999999999</v>
      </c>
      <c r="AD38" s="22">
        <v>20.164709999999999</v>
      </c>
      <c r="AE38" s="3">
        <v>19.916958000000001</v>
      </c>
      <c r="AF38" s="22">
        <v>19.375025999999998</v>
      </c>
      <c r="AG38" s="3">
        <v>19.139803000000001</v>
      </c>
      <c r="AH38" s="22">
        <v>18.888636000000002</v>
      </c>
      <c r="AI38" s="3">
        <v>18.672599000000002</v>
      </c>
      <c r="AJ38" s="22">
        <v>18.427211</v>
      </c>
      <c r="AK38" s="3">
        <v>18.248128000000001</v>
      </c>
      <c r="AL38" s="22">
        <v>18.049593999999999</v>
      </c>
      <c r="AM38" s="3">
        <v>17.844871000000001</v>
      </c>
      <c r="AN38" s="22">
        <v>17.629574999999999</v>
      </c>
      <c r="AO38" s="3">
        <v>17.443431</v>
      </c>
      <c r="AP38" s="22">
        <v>17.258362000000002</v>
      </c>
      <c r="AQ38" s="3">
        <v>17.071342999999999</v>
      </c>
      <c r="AR38" s="22">
        <v>16.911425000000001</v>
      </c>
    </row>
    <row r="39" spans="1:44" x14ac:dyDescent="0.25">
      <c r="C39" s="1" t="s">
        <v>3</v>
      </c>
      <c r="D39" s="1">
        <f>AVERAGE(D36:D38)</f>
        <v>32.734858333333335</v>
      </c>
      <c r="E39" s="1">
        <f t="shared" ref="E39" si="1">AVERAGE(E36:E38)</f>
        <v>32.739729666666669</v>
      </c>
      <c r="F39" s="1">
        <f t="shared" ref="F39" si="2">AVERAGE(F36:F38)</f>
        <v>32.73251166666666</v>
      </c>
      <c r="G39" s="1">
        <f t="shared" ref="G39" si="3">AVERAGE(G36:G38)</f>
        <v>32.738568333333326</v>
      </c>
      <c r="H39" s="23">
        <f t="shared" ref="H39" si="4">AVERAGE(H36:H38)</f>
        <v>32.71994466666667</v>
      </c>
      <c r="I39" s="1">
        <f t="shared" ref="I39" si="5">AVERAGE(I36:I38)</f>
        <v>29.315123666666665</v>
      </c>
      <c r="J39" s="23">
        <f t="shared" ref="J39" si="6">AVERAGE(J36:J38)</f>
        <v>28.651600666666667</v>
      </c>
      <c r="K39" s="1">
        <f t="shared" ref="K39" si="7">AVERAGE(K36:K38)</f>
        <v>28.105602000000001</v>
      </c>
      <c r="L39" s="23">
        <f t="shared" ref="L39" si="8">AVERAGE(L36:L38)</f>
        <v>27.328849666666667</v>
      </c>
      <c r="M39" s="1">
        <f t="shared" ref="M39" si="9">AVERAGE(M36:M38)</f>
        <v>26.932879333333332</v>
      </c>
      <c r="N39" s="23">
        <f t="shared" ref="N39" si="10">AVERAGE(N36:N38)</f>
        <v>26.286276000000001</v>
      </c>
      <c r="O39" s="1">
        <f t="shared" ref="O39" si="11">AVERAGE(O36:O38)</f>
        <v>25.737975666666667</v>
      </c>
      <c r="P39" s="23">
        <f t="shared" ref="P39" si="12">AVERAGE(P36:P38)</f>
        <v>25.352446333333333</v>
      </c>
      <c r="Q39" s="1">
        <f t="shared" ref="Q39" si="13">AVERAGE(Q36:Q38)</f>
        <v>24.743072999999999</v>
      </c>
      <c r="R39" s="23">
        <f t="shared" ref="R39" si="14">AVERAGE(R36:R38)</f>
        <v>24.256003000000003</v>
      </c>
      <c r="S39" s="1">
        <f t="shared" ref="S39" si="15">AVERAGE(S36:S38)</f>
        <v>23.913701</v>
      </c>
      <c r="T39" s="23">
        <f t="shared" ref="T39" si="16">AVERAGE(T36:T38)</f>
        <v>23.560609333333332</v>
      </c>
      <c r="U39" s="1">
        <f t="shared" ref="U39" si="17">AVERAGE(U36:U38)</f>
        <v>23.017751000000001</v>
      </c>
      <c r="V39" s="23">
        <f t="shared" ref="V39" si="18">AVERAGE(V36:V38)</f>
        <v>22.556697333333332</v>
      </c>
      <c r="W39" s="1">
        <f t="shared" ref="W39" si="19">AVERAGE(W36:W38)</f>
        <v>22.244591666666665</v>
      </c>
      <c r="X39" s="23">
        <f t="shared" ref="X39" si="20">AVERAGE(X36:X38)</f>
        <v>21.920625999999999</v>
      </c>
      <c r="Y39" s="1">
        <f t="shared" ref="Y39" si="21">AVERAGE(Y36:Y38)</f>
        <v>21.611054333333332</v>
      </c>
      <c r="Z39" s="23">
        <f t="shared" ref="Z39" si="22">AVERAGE(Z36:Z38)</f>
        <v>21.136592000000004</v>
      </c>
      <c r="AA39" s="1">
        <f t="shared" ref="AA39" si="23">AVERAGE(AA36:AA38)</f>
        <v>20.736746333333333</v>
      </c>
      <c r="AB39" s="23">
        <f t="shared" ref="AB39" si="24">AVERAGE(AB36:AB38)</f>
        <v>20.473337333333333</v>
      </c>
      <c r="AC39" s="1">
        <f t="shared" ref="AC39" si="25">AVERAGE(AC36:AC38)</f>
        <v>20.205960000000001</v>
      </c>
      <c r="AD39" s="23">
        <f t="shared" ref="AD39" si="26">AVERAGE(AD36:AD38)</f>
        <v>19.951739333333332</v>
      </c>
      <c r="AE39" s="1">
        <f t="shared" ref="AE39" si="27">AVERAGE(AE36:AE38)</f>
        <v>19.711607000000001</v>
      </c>
      <c r="AF39" s="23">
        <f t="shared" ref="AF39" si="28">AVERAGE(AF36:AF38)</f>
        <v>19.180538666666667</v>
      </c>
      <c r="AG39" s="1">
        <f t="shared" ref="AG39" si="29">AVERAGE(AG36:AG38)</f>
        <v>18.945658666666667</v>
      </c>
      <c r="AH39" s="23">
        <f t="shared" ref="AH39" si="30">AVERAGE(AH36:AH38)</f>
        <v>18.699385000000003</v>
      </c>
      <c r="AI39" s="1">
        <f t="shared" ref="AI39" si="31">AVERAGE(AI36:AI38)</f>
        <v>18.48409666666667</v>
      </c>
      <c r="AJ39" s="23">
        <f t="shared" ref="AJ39" si="32">AVERAGE(AJ36:AJ38)</f>
        <v>18.250974333333332</v>
      </c>
      <c r="AK39" s="1">
        <f t="shared" ref="AK39" si="33">AVERAGE(AK36:AK38)</f>
        <v>18.056816999999999</v>
      </c>
      <c r="AL39" s="23">
        <f t="shared" ref="AL39" si="34">AVERAGE(AL36:AL38)</f>
        <v>17.847119333333335</v>
      </c>
      <c r="AM39" s="1">
        <f t="shared" ref="AM39" si="35">AVERAGE(AM36:AM38)</f>
        <v>17.641558333333332</v>
      </c>
      <c r="AN39" s="23">
        <f t="shared" ref="AN39" si="36">AVERAGE(AN36:AN38)</f>
        <v>17.441726333333335</v>
      </c>
      <c r="AO39" s="1">
        <f t="shared" ref="AO39" si="37">AVERAGE(AO36:AO38)</f>
        <v>17.25112</v>
      </c>
      <c r="AP39" s="23">
        <f t="shared" ref="AP39" si="38">AVERAGE(AP36:AP38)</f>
        <v>17.084015666666669</v>
      </c>
      <c r="AQ39" s="1">
        <f t="shared" ref="AQ39" si="39">AVERAGE(AQ36:AQ38)</f>
        <v>16.906970333333334</v>
      </c>
      <c r="AR39" s="23">
        <f t="shared" ref="AR39" si="40">AVERAGE(AR36:AR38)</f>
        <v>16.745926666666669</v>
      </c>
    </row>
    <row r="67" spans="3:44" x14ac:dyDescent="0.25">
      <c r="C67" s="4" t="s">
        <v>4</v>
      </c>
      <c r="D67" s="4">
        <v>12</v>
      </c>
      <c r="E67" s="4"/>
      <c r="F67" s="4"/>
      <c r="G67" s="4"/>
      <c r="I67" s="4"/>
      <c r="K67" s="4"/>
      <c r="M67" s="4"/>
      <c r="O67" s="4"/>
      <c r="Q67" s="4"/>
      <c r="S67" s="4"/>
      <c r="U67" s="4"/>
      <c r="W67" s="4"/>
      <c r="Y67" s="4"/>
      <c r="AA67" s="4"/>
      <c r="AC67" s="4"/>
      <c r="AE67" s="4"/>
      <c r="AG67" s="4"/>
      <c r="AI67" s="4"/>
      <c r="AK67" s="4"/>
      <c r="AM67" s="4"/>
      <c r="AO67" s="4"/>
      <c r="AQ67" s="4"/>
    </row>
    <row r="68" spans="3:44" x14ac:dyDescent="0.25">
      <c r="C68" s="1" t="s">
        <v>1</v>
      </c>
      <c r="D68" s="1">
        <v>1.8</v>
      </c>
      <c r="E68" s="2">
        <v>1.85</v>
      </c>
      <c r="F68" s="2">
        <v>1.9</v>
      </c>
      <c r="G68" s="2">
        <v>1.95</v>
      </c>
      <c r="H68" s="22">
        <v>2</v>
      </c>
      <c r="I68" s="2">
        <v>2.0499999999999998</v>
      </c>
      <c r="J68" s="22">
        <v>2.1</v>
      </c>
      <c r="K68" s="2">
        <v>2.15</v>
      </c>
      <c r="L68" s="22">
        <v>2.2000000000000002</v>
      </c>
      <c r="M68" s="2">
        <v>2.25</v>
      </c>
      <c r="N68" s="22">
        <v>2.2999999999999998</v>
      </c>
      <c r="O68" s="2">
        <v>2.35</v>
      </c>
      <c r="P68" s="22">
        <v>2.4</v>
      </c>
      <c r="Q68" s="2">
        <v>2.4500000000000002</v>
      </c>
      <c r="R68" s="22">
        <v>2.5</v>
      </c>
      <c r="S68" s="2">
        <v>2.5499999999999998</v>
      </c>
      <c r="T68" s="22">
        <v>2.6</v>
      </c>
      <c r="U68" s="2">
        <v>2.65</v>
      </c>
      <c r="V68" s="22">
        <v>2.7</v>
      </c>
      <c r="W68" s="2">
        <v>2.75</v>
      </c>
      <c r="X68" s="22">
        <v>2.8</v>
      </c>
      <c r="Y68" s="2">
        <v>2.85</v>
      </c>
      <c r="Z68" s="22">
        <v>2.9</v>
      </c>
      <c r="AA68" s="2">
        <v>2.95</v>
      </c>
      <c r="AB68" s="22">
        <v>3</v>
      </c>
      <c r="AC68" s="2">
        <v>3.05</v>
      </c>
      <c r="AD68" s="22">
        <v>3.1</v>
      </c>
      <c r="AE68" s="2">
        <v>3.15</v>
      </c>
      <c r="AF68" s="22">
        <v>3.2</v>
      </c>
      <c r="AG68" s="2">
        <v>3.25</v>
      </c>
      <c r="AH68" s="22">
        <v>3.3</v>
      </c>
      <c r="AI68" s="2">
        <v>3.35</v>
      </c>
      <c r="AJ68" s="22">
        <v>3.4</v>
      </c>
      <c r="AK68" s="2">
        <v>3.45</v>
      </c>
      <c r="AL68" s="22">
        <v>3.5</v>
      </c>
      <c r="AM68" s="2">
        <v>3.55</v>
      </c>
      <c r="AN68" s="22">
        <v>3.6</v>
      </c>
      <c r="AO68" s="2">
        <v>3.65</v>
      </c>
      <c r="AP68" s="22">
        <v>3.7</v>
      </c>
      <c r="AQ68" s="2">
        <v>3.75</v>
      </c>
      <c r="AR68" s="22">
        <v>3.8</v>
      </c>
    </row>
    <row r="69" spans="3:44" x14ac:dyDescent="0.25">
      <c r="C69" s="1" t="s">
        <v>2</v>
      </c>
      <c r="D69" s="3">
        <v>30.442374000000001</v>
      </c>
      <c r="E69" s="3">
        <v>30.445255</v>
      </c>
      <c r="F69" s="3">
        <v>30.438139</v>
      </c>
      <c r="G69" s="3">
        <v>30.436509000000001</v>
      </c>
      <c r="H69" s="22">
        <v>30.429848</v>
      </c>
      <c r="I69" s="3">
        <v>27.195277999999998</v>
      </c>
      <c r="J69" s="22">
        <v>26.435421999999999</v>
      </c>
      <c r="K69" s="3">
        <v>26.068518000000001</v>
      </c>
      <c r="L69" s="22">
        <v>25.340463</v>
      </c>
      <c r="M69" s="3">
        <v>24.941078000000001</v>
      </c>
      <c r="N69" s="22">
        <v>24.547360999999999</v>
      </c>
      <c r="O69" s="3">
        <v>23.810701999999999</v>
      </c>
      <c r="P69" s="22">
        <v>23.469473000000001</v>
      </c>
      <c r="Q69" s="3">
        <v>22.786667000000001</v>
      </c>
      <c r="R69" s="22">
        <v>22.443512999999999</v>
      </c>
      <c r="S69" s="3">
        <v>22.147131999999999</v>
      </c>
      <c r="T69" s="22">
        <v>21.809197000000001</v>
      </c>
      <c r="U69" s="3">
        <v>21.290298</v>
      </c>
      <c r="V69" s="22">
        <v>20.976828000000001</v>
      </c>
      <c r="W69" s="3">
        <v>20.677772999999998</v>
      </c>
      <c r="X69" s="22">
        <v>20.397169999999999</v>
      </c>
      <c r="Y69" s="3">
        <v>20.133555000000001</v>
      </c>
      <c r="Z69" s="22">
        <v>19.560517999999998</v>
      </c>
      <c r="AA69" s="3">
        <v>19.306550000000001</v>
      </c>
      <c r="AB69" s="22">
        <v>19.036653999999999</v>
      </c>
      <c r="AC69" s="3">
        <v>18.799657</v>
      </c>
      <c r="AD69" s="22">
        <v>18.544215000000001</v>
      </c>
      <c r="AE69" s="3">
        <v>18.322982</v>
      </c>
      <c r="AF69" s="22">
        <v>17.839904000000001</v>
      </c>
      <c r="AG69" s="3">
        <v>17.605623000000001</v>
      </c>
      <c r="AH69" s="22">
        <v>17.385038999999999</v>
      </c>
      <c r="AI69" s="3">
        <v>17.193621</v>
      </c>
      <c r="AJ69" s="22">
        <v>16.980609999999999</v>
      </c>
      <c r="AK69" s="3">
        <v>16.807310000000001</v>
      </c>
      <c r="AL69" s="22">
        <v>16.596094999999998</v>
      </c>
      <c r="AM69" s="3">
        <v>16.412652999999999</v>
      </c>
      <c r="AN69" s="22">
        <v>16.226402</v>
      </c>
      <c r="AO69" s="3">
        <v>16.047920000000001</v>
      </c>
      <c r="AP69" s="22">
        <v>15.964257999999999</v>
      </c>
      <c r="AQ69" s="3">
        <v>15.787167</v>
      </c>
      <c r="AR69" s="22">
        <v>15.638071999999999</v>
      </c>
    </row>
    <row r="70" spans="3:44" x14ac:dyDescent="0.25">
      <c r="C70" s="1"/>
      <c r="D70" s="3">
        <v>30.498753000000001</v>
      </c>
      <c r="E70" s="3">
        <v>30.499219</v>
      </c>
      <c r="F70" s="3">
        <v>30.473775</v>
      </c>
      <c r="G70" s="3">
        <v>30.499558</v>
      </c>
      <c r="H70" s="22">
        <v>30.474119999999999</v>
      </c>
      <c r="I70" s="3">
        <v>27.307117000000002</v>
      </c>
      <c r="J70" s="22">
        <v>26.571393</v>
      </c>
      <c r="K70" s="3">
        <v>26.182794999999999</v>
      </c>
      <c r="L70" s="22">
        <v>25.458334000000001</v>
      </c>
      <c r="M70" s="3">
        <v>25.198626999999998</v>
      </c>
      <c r="N70" s="22">
        <v>24.458973</v>
      </c>
      <c r="O70" s="3">
        <v>24.077711000000001</v>
      </c>
      <c r="P70" s="22">
        <v>23.722480999999998</v>
      </c>
      <c r="Q70" s="3">
        <v>23.059598000000001</v>
      </c>
      <c r="R70" s="22">
        <v>22.702303000000001</v>
      </c>
      <c r="S70" s="3">
        <v>22.356162000000001</v>
      </c>
      <c r="T70" s="22">
        <v>22.028714000000001</v>
      </c>
      <c r="U70" s="3">
        <v>21.380671</v>
      </c>
      <c r="V70" s="22">
        <v>21.067855000000002</v>
      </c>
      <c r="W70" s="3">
        <v>20.776506000000001</v>
      </c>
      <c r="X70" s="22">
        <v>20.471938999999999</v>
      </c>
      <c r="Y70" s="3">
        <v>20.197427000000001</v>
      </c>
      <c r="Z70" s="22">
        <v>19.657644999999999</v>
      </c>
      <c r="AA70" s="3">
        <v>19.381333000000001</v>
      </c>
      <c r="AB70" s="22">
        <v>19.217129</v>
      </c>
      <c r="AC70" s="3">
        <v>18.962819</v>
      </c>
      <c r="AD70" s="22">
        <v>18.710933000000001</v>
      </c>
      <c r="AE70" s="3">
        <v>18.489014000000001</v>
      </c>
      <c r="AF70" s="22">
        <v>17.999860000000002</v>
      </c>
      <c r="AG70" s="3">
        <v>17.786225000000002</v>
      </c>
      <c r="AH70" s="22">
        <v>17.5563</v>
      </c>
      <c r="AI70" s="3">
        <v>17.363271999999998</v>
      </c>
      <c r="AJ70" s="22">
        <v>17.135225999999999</v>
      </c>
      <c r="AK70" s="3">
        <v>16.940137</v>
      </c>
      <c r="AL70" s="22">
        <v>16.748090999999999</v>
      </c>
      <c r="AM70" s="3">
        <v>16.54768</v>
      </c>
      <c r="AN70" s="22">
        <v>16.366060000000001</v>
      </c>
      <c r="AO70" s="3">
        <v>16.178868999999999</v>
      </c>
      <c r="AP70" s="22">
        <v>16.013396</v>
      </c>
      <c r="AQ70" s="3">
        <v>15.831651000000001</v>
      </c>
      <c r="AR70" s="22">
        <v>15.674851</v>
      </c>
    </row>
    <row r="71" spans="3:44" x14ac:dyDescent="0.25">
      <c r="C71" s="1"/>
      <c r="D71" s="3">
        <v>31.130046</v>
      </c>
      <c r="E71" s="3">
        <v>31.107904000000001</v>
      </c>
      <c r="F71" s="3">
        <v>31.11055</v>
      </c>
      <c r="G71" s="3">
        <v>31.114778000000001</v>
      </c>
      <c r="H71" s="22">
        <v>31.090340000000001</v>
      </c>
      <c r="I71" s="3">
        <v>27.868822999999999</v>
      </c>
      <c r="J71" s="22">
        <v>27.100179000000001</v>
      </c>
      <c r="K71" s="3">
        <v>26.680410999999999</v>
      </c>
      <c r="L71" s="22">
        <v>25.936416000000001</v>
      </c>
      <c r="M71" s="3">
        <v>25.572448000000001</v>
      </c>
      <c r="N71" s="22">
        <v>25.194986</v>
      </c>
      <c r="O71" s="3">
        <v>24.433294</v>
      </c>
      <c r="P71" s="22">
        <v>24.179742999999998</v>
      </c>
      <c r="Q71" s="3">
        <v>23.687574999999999</v>
      </c>
      <c r="R71" s="22">
        <v>23.111713999999999</v>
      </c>
      <c r="S71" s="3">
        <v>22.765086</v>
      </c>
      <c r="T71" s="22">
        <v>22.44106</v>
      </c>
      <c r="U71" s="3">
        <v>22.155335000000001</v>
      </c>
      <c r="V71" s="22">
        <v>21.493789</v>
      </c>
      <c r="W71" s="3">
        <v>21.174799</v>
      </c>
      <c r="X71" s="22">
        <v>20.880040000000001</v>
      </c>
      <c r="Y71" s="3">
        <v>20.574684000000001</v>
      </c>
      <c r="Z71" s="22">
        <v>20.315971999999999</v>
      </c>
      <c r="AA71" s="3">
        <v>19.734881999999999</v>
      </c>
      <c r="AB71" s="22">
        <v>19.465481</v>
      </c>
      <c r="AC71" s="3">
        <v>19.22092</v>
      </c>
      <c r="AD71" s="22">
        <v>18.985607999999999</v>
      </c>
      <c r="AE71" s="3">
        <v>18.746157</v>
      </c>
      <c r="AF71" s="22">
        <v>18.239065</v>
      </c>
      <c r="AG71" s="3">
        <v>18.011921999999998</v>
      </c>
      <c r="AH71" s="22">
        <v>17.786504999999998</v>
      </c>
      <c r="AI71" s="3">
        <v>17.556367999999999</v>
      </c>
      <c r="AJ71" s="22">
        <v>17.341628</v>
      </c>
      <c r="AK71" s="3">
        <v>17.229058999999999</v>
      </c>
      <c r="AL71" s="22">
        <v>17.038107</v>
      </c>
      <c r="AM71" s="3">
        <v>16.835723000000002</v>
      </c>
      <c r="AN71" s="22">
        <v>16.644573000000001</v>
      </c>
      <c r="AO71" s="3">
        <v>16.458825000000001</v>
      </c>
      <c r="AP71" s="22">
        <v>16.296983000000001</v>
      </c>
      <c r="AQ71" s="3">
        <v>16.114927000000002</v>
      </c>
      <c r="AR71" s="22">
        <v>15.953887999999999</v>
      </c>
    </row>
    <row r="72" spans="3:44" x14ac:dyDescent="0.25">
      <c r="C72" s="1" t="s">
        <v>3</v>
      </c>
      <c r="D72" s="1">
        <f>AVERAGE(D69:D71)</f>
        <v>30.690391000000002</v>
      </c>
      <c r="E72" s="1">
        <f t="shared" ref="E72" si="41">AVERAGE(E69:E71)</f>
        <v>30.684126000000003</v>
      </c>
      <c r="F72" s="1">
        <f t="shared" ref="F72" si="42">AVERAGE(F69:F71)</f>
        <v>30.674154666666666</v>
      </c>
      <c r="G72" s="1">
        <f t="shared" ref="G72" si="43">AVERAGE(G69:G71)</f>
        <v>30.683615000000003</v>
      </c>
      <c r="H72" s="23">
        <f t="shared" ref="H72" si="44">AVERAGE(H69:H71)</f>
        <v>30.664769333333336</v>
      </c>
      <c r="I72" s="1">
        <f t="shared" ref="I72" si="45">AVERAGE(I69:I71)</f>
        <v>27.457072666666665</v>
      </c>
      <c r="J72" s="23">
        <f t="shared" ref="J72" si="46">AVERAGE(J69:J71)</f>
        <v>26.702331333333333</v>
      </c>
      <c r="K72" s="1">
        <f t="shared" ref="K72" si="47">AVERAGE(K69:K71)</f>
        <v>26.310574666666668</v>
      </c>
      <c r="L72" s="23">
        <f t="shared" ref="L72" si="48">AVERAGE(L69:L71)</f>
        <v>25.578404333333335</v>
      </c>
      <c r="M72" s="1">
        <f t="shared" ref="M72" si="49">AVERAGE(M69:M71)</f>
        <v>25.237384333333335</v>
      </c>
      <c r="N72" s="23">
        <f t="shared" ref="N72" si="50">AVERAGE(N69:N71)</f>
        <v>24.733773333333332</v>
      </c>
      <c r="O72" s="1">
        <f t="shared" ref="O72" si="51">AVERAGE(O69:O71)</f>
        <v>24.107235666666668</v>
      </c>
      <c r="P72" s="23">
        <f t="shared" ref="P72" si="52">AVERAGE(P69:P71)</f>
        <v>23.790565666666666</v>
      </c>
      <c r="Q72" s="1">
        <f t="shared" ref="Q72" si="53">AVERAGE(Q69:Q71)</f>
        <v>23.177946666666667</v>
      </c>
      <c r="R72" s="23">
        <f t="shared" ref="R72" si="54">AVERAGE(R69:R71)</f>
        <v>22.752510000000001</v>
      </c>
      <c r="S72" s="1">
        <f t="shared" ref="S72" si="55">AVERAGE(S69:S71)</f>
        <v>22.422793333333331</v>
      </c>
      <c r="T72" s="23">
        <f t="shared" ref="T72" si="56">AVERAGE(T69:T71)</f>
        <v>22.092990333333336</v>
      </c>
      <c r="U72" s="1">
        <f t="shared" ref="U72" si="57">AVERAGE(U69:U71)</f>
        <v>21.608767999999998</v>
      </c>
      <c r="V72" s="23">
        <f t="shared" ref="V72" si="58">AVERAGE(V69:V71)</f>
        <v>21.17949066666667</v>
      </c>
      <c r="W72" s="1">
        <f t="shared" ref="W72" si="59">AVERAGE(W69:W71)</f>
        <v>20.876359333333333</v>
      </c>
      <c r="X72" s="23">
        <f t="shared" ref="X72" si="60">AVERAGE(X69:X71)</f>
        <v>20.583049666666664</v>
      </c>
      <c r="Y72" s="1">
        <f t="shared" ref="Y72" si="61">AVERAGE(Y69:Y71)</f>
        <v>20.30188866666667</v>
      </c>
      <c r="Z72" s="23">
        <f t="shared" ref="Z72" si="62">AVERAGE(Z69:Z71)</f>
        <v>19.844711666666665</v>
      </c>
      <c r="AA72" s="1">
        <f t="shared" ref="AA72" si="63">AVERAGE(AA69:AA71)</f>
        <v>19.474254999999999</v>
      </c>
      <c r="AB72" s="23">
        <f t="shared" ref="AB72" si="64">AVERAGE(AB69:AB71)</f>
        <v>19.239754666666666</v>
      </c>
      <c r="AC72" s="1">
        <f t="shared" ref="AC72" si="65">AVERAGE(AC69:AC71)</f>
        <v>18.994465333333334</v>
      </c>
      <c r="AD72" s="23">
        <f t="shared" ref="AD72" si="66">AVERAGE(AD69:AD71)</f>
        <v>18.746918666666669</v>
      </c>
      <c r="AE72" s="1">
        <f t="shared" ref="AE72" si="67">AVERAGE(AE69:AE71)</f>
        <v>18.519384333333335</v>
      </c>
      <c r="AF72" s="23">
        <f t="shared" ref="AF72" si="68">AVERAGE(AF69:AF71)</f>
        <v>18.026276333333332</v>
      </c>
      <c r="AG72" s="1">
        <f t="shared" ref="AG72" si="69">AVERAGE(AG69:AG71)</f>
        <v>17.801256666666667</v>
      </c>
      <c r="AH72" s="23">
        <f t="shared" ref="AH72" si="70">AVERAGE(AH69:AH71)</f>
        <v>17.575948</v>
      </c>
      <c r="AI72" s="1">
        <f t="shared" ref="AI72" si="71">AVERAGE(AI69:AI71)</f>
        <v>17.371086999999999</v>
      </c>
      <c r="AJ72" s="23">
        <f t="shared" ref="AJ72" si="72">AVERAGE(AJ69:AJ71)</f>
        <v>17.152488000000002</v>
      </c>
      <c r="AK72" s="1">
        <f t="shared" ref="AK72" si="73">AVERAGE(AK69:AK71)</f>
        <v>16.992168666666668</v>
      </c>
      <c r="AL72" s="23">
        <f t="shared" ref="AL72" si="74">AVERAGE(AL69:AL71)</f>
        <v>16.794097666666662</v>
      </c>
      <c r="AM72" s="1">
        <f t="shared" ref="AM72" si="75">AVERAGE(AM69:AM71)</f>
        <v>16.598685333333332</v>
      </c>
      <c r="AN72" s="23">
        <f t="shared" ref="AN72" si="76">AVERAGE(AN69:AN71)</f>
        <v>16.412344999999998</v>
      </c>
      <c r="AO72" s="1">
        <f t="shared" ref="AO72" si="77">AVERAGE(AO69:AO71)</f>
        <v>16.228538</v>
      </c>
      <c r="AP72" s="23">
        <f t="shared" ref="AP72" si="78">AVERAGE(AP69:AP71)</f>
        <v>16.091545666666665</v>
      </c>
      <c r="AQ72" s="1">
        <f t="shared" ref="AQ72" si="79">AVERAGE(AQ69:AQ71)</f>
        <v>15.911248333333333</v>
      </c>
      <c r="AR72" s="23">
        <f t="shared" ref="AR72" si="80">AVERAGE(AR69:AR71)</f>
        <v>15.755603666666666</v>
      </c>
    </row>
    <row r="101" spans="3:44" x14ac:dyDescent="0.25">
      <c r="C101" s="5" t="s">
        <v>4</v>
      </c>
      <c r="D101" s="5">
        <v>11</v>
      </c>
      <c r="E101" s="5"/>
      <c r="F101" s="5"/>
      <c r="G101" s="5"/>
      <c r="I101" s="5"/>
      <c r="K101" s="5"/>
      <c r="M101" s="5"/>
      <c r="O101" s="5"/>
      <c r="Q101" s="5"/>
      <c r="S101" s="5"/>
      <c r="U101" s="5"/>
      <c r="W101" s="5"/>
      <c r="Y101" s="5"/>
      <c r="AA101" s="5"/>
      <c r="AC101" s="5"/>
      <c r="AE101" s="5"/>
      <c r="AG101" s="5"/>
      <c r="AI101" s="5"/>
      <c r="AK101" s="5"/>
      <c r="AM101" s="5"/>
      <c r="AO101" s="5"/>
      <c r="AQ101" s="5"/>
    </row>
    <row r="102" spans="3:44" x14ac:dyDescent="0.25">
      <c r="C102" s="1" t="s">
        <v>1</v>
      </c>
      <c r="D102" s="1">
        <v>1.8</v>
      </c>
      <c r="E102" s="2">
        <v>1.85</v>
      </c>
      <c r="F102" s="2">
        <v>1.9</v>
      </c>
      <c r="G102" s="2">
        <v>1.95</v>
      </c>
      <c r="H102" s="22">
        <v>2</v>
      </c>
      <c r="I102" s="2">
        <v>2.0499999999999998</v>
      </c>
      <c r="J102" s="22">
        <v>2.1</v>
      </c>
      <c r="K102" s="2">
        <v>2.15</v>
      </c>
      <c r="L102" s="22">
        <v>2.2000000000000002</v>
      </c>
      <c r="M102" s="2">
        <v>2.25</v>
      </c>
      <c r="N102" s="22">
        <v>2.2999999999999998</v>
      </c>
      <c r="O102" s="2">
        <v>2.35</v>
      </c>
      <c r="P102" s="22">
        <v>2.4</v>
      </c>
      <c r="Q102" s="2">
        <v>2.4500000000000002</v>
      </c>
      <c r="R102" s="22">
        <v>2.5</v>
      </c>
      <c r="S102" s="2">
        <v>2.5499999999999998</v>
      </c>
      <c r="T102" s="22">
        <v>2.6</v>
      </c>
      <c r="U102" s="2">
        <v>2.65</v>
      </c>
      <c r="V102" s="22">
        <v>2.7</v>
      </c>
      <c r="W102" s="2">
        <v>2.75</v>
      </c>
      <c r="X102" s="22">
        <v>2.8</v>
      </c>
      <c r="Y102" s="2">
        <v>2.85</v>
      </c>
      <c r="Z102" s="22">
        <v>2.9</v>
      </c>
      <c r="AA102" s="2">
        <v>2.95</v>
      </c>
      <c r="AB102" s="22">
        <v>3</v>
      </c>
      <c r="AC102" s="2">
        <v>3.05</v>
      </c>
      <c r="AD102" s="22">
        <v>3.1</v>
      </c>
      <c r="AE102" s="2">
        <v>3.15</v>
      </c>
      <c r="AF102" s="22">
        <v>3.2</v>
      </c>
      <c r="AG102" s="2">
        <v>3.25</v>
      </c>
      <c r="AH102" s="22">
        <v>3.3</v>
      </c>
      <c r="AI102" s="2">
        <v>3.35</v>
      </c>
      <c r="AJ102" s="22">
        <v>3.4</v>
      </c>
      <c r="AK102" s="2">
        <v>3.45</v>
      </c>
      <c r="AL102" s="22">
        <v>3.5</v>
      </c>
      <c r="AM102" s="2">
        <v>3.55</v>
      </c>
      <c r="AN102" s="22">
        <v>3.6</v>
      </c>
      <c r="AO102" s="2">
        <v>3.65</v>
      </c>
      <c r="AP102" s="22">
        <v>3.7</v>
      </c>
      <c r="AQ102" s="2">
        <v>3.75</v>
      </c>
      <c r="AR102" s="22">
        <v>3.8</v>
      </c>
    </row>
    <row r="103" spans="3:44" x14ac:dyDescent="0.25">
      <c r="C103" s="1" t="s">
        <v>2</v>
      </c>
      <c r="D103" s="3">
        <v>27.764036999999998</v>
      </c>
      <c r="E103" s="3">
        <v>27.769544</v>
      </c>
      <c r="F103" s="3">
        <v>27.758361000000001</v>
      </c>
      <c r="G103" s="3">
        <v>27.759371000000002</v>
      </c>
      <c r="H103" s="22">
        <v>27.760114000000002</v>
      </c>
      <c r="I103" s="3">
        <v>24.787206000000001</v>
      </c>
      <c r="J103" s="22">
        <v>24.098037000000001</v>
      </c>
      <c r="K103" s="3">
        <v>23.754524</v>
      </c>
      <c r="L103" s="22">
        <v>23.105124</v>
      </c>
      <c r="M103" s="3">
        <v>22.724311</v>
      </c>
      <c r="N103" s="22">
        <v>22.059225999999999</v>
      </c>
      <c r="O103" s="3">
        <v>21.714888999999999</v>
      </c>
      <c r="P103" s="22">
        <v>21.409562000000001</v>
      </c>
      <c r="Q103" s="3">
        <v>20.783850999999999</v>
      </c>
      <c r="R103" s="22">
        <v>20.471938000000002</v>
      </c>
      <c r="S103" s="3">
        <v>20.19698</v>
      </c>
      <c r="T103" s="22">
        <v>19.897888999999999</v>
      </c>
      <c r="U103" s="3">
        <v>19.302123999999999</v>
      </c>
      <c r="V103" s="22">
        <v>19.009488999999999</v>
      </c>
      <c r="W103" s="3">
        <v>18.747005000000001</v>
      </c>
      <c r="X103" s="22">
        <v>18.493855</v>
      </c>
      <c r="Y103" s="3">
        <v>18.258042</v>
      </c>
      <c r="Z103" s="22">
        <v>17.740943000000001</v>
      </c>
      <c r="AA103" s="3">
        <v>17.512941999999999</v>
      </c>
      <c r="AB103" s="22">
        <v>17.261749999999999</v>
      </c>
      <c r="AC103" s="3">
        <v>17.059176999999998</v>
      </c>
      <c r="AD103" s="22">
        <v>16.973806</v>
      </c>
      <c r="AE103" s="3">
        <v>16.769082000000001</v>
      </c>
      <c r="AF103" s="22">
        <v>16.319759000000001</v>
      </c>
      <c r="AG103" s="3">
        <v>16.120148</v>
      </c>
      <c r="AH103" s="22">
        <v>15.921381999999999</v>
      </c>
      <c r="AI103" s="3">
        <v>15.750289</v>
      </c>
      <c r="AJ103" s="22">
        <v>15.545515</v>
      </c>
      <c r="AK103" s="3">
        <v>15.385491999999999</v>
      </c>
      <c r="AL103" s="22">
        <v>15.198219999999999</v>
      </c>
      <c r="AM103" s="3">
        <v>15.029691</v>
      </c>
      <c r="AN103" s="22">
        <v>14.864708</v>
      </c>
      <c r="AO103" s="3">
        <v>14.689759</v>
      </c>
      <c r="AP103" s="22">
        <v>14.533047</v>
      </c>
      <c r="AQ103" s="3">
        <v>14.374853</v>
      </c>
      <c r="AR103" s="22">
        <v>14.243181</v>
      </c>
    </row>
    <row r="104" spans="3:44" x14ac:dyDescent="0.25">
      <c r="C104" s="1"/>
      <c r="D104" s="3">
        <v>27.320622</v>
      </c>
      <c r="E104" s="3">
        <v>27.542895999999999</v>
      </c>
      <c r="F104" s="3">
        <v>27.501286</v>
      </c>
      <c r="G104" s="3">
        <v>27.571901</v>
      </c>
      <c r="H104" s="22">
        <v>27.528544</v>
      </c>
      <c r="I104" s="3">
        <v>24.646923999999999</v>
      </c>
      <c r="J104" s="22">
        <v>23.972653999999999</v>
      </c>
      <c r="K104" s="3">
        <v>23.628454999999999</v>
      </c>
      <c r="L104" s="22">
        <v>22.973146</v>
      </c>
      <c r="M104" s="3">
        <v>22.619747</v>
      </c>
      <c r="N104" s="22">
        <v>21.966011999999999</v>
      </c>
      <c r="O104" s="3">
        <v>21.622699999999998</v>
      </c>
      <c r="P104" s="22">
        <v>21.313958</v>
      </c>
      <c r="Q104" s="3">
        <v>20.712876000000001</v>
      </c>
      <c r="R104" s="22">
        <v>20.39621</v>
      </c>
      <c r="S104" s="3">
        <v>20.088961999999999</v>
      </c>
      <c r="T104" s="22">
        <v>19.794305999999999</v>
      </c>
      <c r="U104" s="3">
        <v>19.201893999999999</v>
      </c>
      <c r="V104" s="22">
        <v>18.925312000000002</v>
      </c>
      <c r="W104" s="3">
        <v>18.673518999999999</v>
      </c>
      <c r="X104" s="22">
        <v>18.400534</v>
      </c>
      <c r="Y104" s="3">
        <v>18.155262</v>
      </c>
      <c r="Z104" s="22">
        <v>17.671842000000002</v>
      </c>
      <c r="AA104" s="3">
        <v>17.42201</v>
      </c>
      <c r="AB104" s="22">
        <v>17.340948999999998</v>
      </c>
      <c r="AC104" s="3">
        <v>17.109846000000001</v>
      </c>
      <c r="AD104" s="22">
        <v>16.890446000000001</v>
      </c>
      <c r="AE104" s="3">
        <v>16.468461000000001</v>
      </c>
      <c r="AF104" s="22">
        <v>16.242291000000002</v>
      </c>
      <c r="AG104" s="3">
        <v>16.056705000000001</v>
      </c>
      <c r="AH104" s="22">
        <v>15.840063000000001</v>
      </c>
      <c r="AI104" s="3">
        <v>15.662421</v>
      </c>
      <c r="AJ104" s="22">
        <v>15.471921999999999</v>
      </c>
      <c r="AK104" s="3">
        <v>15.288047000000001</v>
      </c>
      <c r="AL104" s="22">
        <v>15.112393000000001</v>
      </c>
      <c r="AM104" s="3">
        <v>14.939423</v>
      </c>
      <c r="AN104" s="22">
        <v>14.770237</v>
      </c>
      <c r="AO104" s="3">
        <v>14.604089999999999</v>
      </c>
      <c r="AP104" s="22">
        <v>14.435587</v>
      </c>
      <c r="AQ104" s="3">
        <v>14.290291</v>
      </c>
      <c r="AR104" s="22">
        <v>14.149315</v>
      </c>
    </row>
    <row r="105" spans="3:44" x14ac:dyDescent="0.25">
      <c r="C105" s="1"/>
      <c r="D105" s="3">
        <v>28.270994000000002</v>
      </c>
      <c r="E105" s="3">
        <v>28.238415</v>
      </c>
      <c r="F105" s="3">
        <v>28.254207999999998</v>
      </c>
      <c r="G105" s="3">
        <v>28.236784</v>
      </c>
      <c r="H105" s="22">
        <v>28.209064000000001</v>
      </c>
      <c r="I105" s="3">
        <v>25.278765</v>
      </c>
      <c r="J105" s="22">
        <v>24.588137</v>
      </c>
      <c r="K105" s="3">
        <v>24.189139000000001</v>
      </c>
      <c r="L105" s="22">
        <v>23.528462999999999</v>
      </c>
      <c r="M105" s="3">
        <v>23.194659000000001</v>
      </c>
      <c r="N105" s="22">
        <v>22.864433999999999</v>
      </c>
      <c r="O105" s="3">
        <v>22.172809000000001</v>
      </c>
      <c r="P105" s="22">
        <v>21.850093999999999</v>
      </c>
      <c r="Q105" s="3">
        <v>21.490767999999999</v>
      </c>
      <c r="R105" s="22">
        <v>21.076423999999999</v>
      </c>
      <c r="S105" s="3">
        <v>20.59113</v>
      </c>
      <c r="T105" s="22">
        <v>20.271501000000001</v>
      </c>
      <c r="U105" s="3">
        <v>19.880903</v>
      </c>
      <c r="V105" s="22">
        <v>19.591963</v>
      </c>
      <c r="W105" s="3">
        <v>19.312871000000001</v>
      </c>
      <c r="X105" s="22">
        <v>19.033068</v>
      </c>
      <c r="Y105" s="3">
        <v>18.742146999999999</v>
      </c>
      <c r="Z105" s="22">
        <v>18.265229000000001</v>
      </c>
      <c r="AA105" s="3">
        <v>17.994813000000001</v>
      </c>
      <c r="AB105" s="22">
        <v>17.761163</v>
      </c>
      <c r="AC105" s="3">
        <v>17.527576</v>
      </c>
      <c r="AD105" s="22">
        <v>17.314406000000002</v>
      </c>
      <c r="AE105" s="3">
        <v>17.105461999999999</v>
      </c>
      <c r="AF105" s="22">
        <v>16.635501000000001</v>
      </c>
      <c r="AG105" s="3">
        <v>16.439506000000002</v>
      </c>
      <c r="AH105" s="22">
        <v>16.230699000000001</v>
      </c>
      <c r="AI105" s="3">
        <v>16.034108</v>
      </c>
      <c r="AJ105" s="22">
        <v>15.837002</v>
      </c>
      <c r="AK105" s="3">
        <v>15.652151999999999</v>
      </c>
      <c r="AL105" s="22">
        <v>15.475847999999999</v>
      </c>
      <c r="AM105" s="3">
        <v>15.304157999999999</v>
      </c>
      <c r="AN105" s="22">
        <v>15.116972000000001</v>
      </c>
      <c r="AO105" s="3">
        <v>14.957470000000001</v>
      </c>
      <c r="AP105" s="22">
        <v>14.800844</v>
      </c>
      <c r="AQ105" s="3">
        <v>14.63443</v>
      </c>
      <c r="AR105" s="22">
        <v>14.492202000000001</v>
      </c>
    </row>
    <row r="106" spans="3:44" x14ac:dyDescent="0.25">
      <c r="C106" s="1" t="s">
        <v>3</v>
      </c>
      <c r="D106" s="1">
        <f>AVERAGE(D103:D105)</f>
        <v>27.785217666666668</v>
      </c>
      <c r="E106" s="1">
        <f t="shared" ref="E106" si="81">AVERAGE(E103:E105)</f>
        <v>27.850285</v>
      </c>
      <c r="F106" s="1">
        <f t="shared" ref="F106" si="82">AVERAGE(F103:F105)</f>
        <v>27.837951666666669</v>
      </c>
      <c r="G106" s="1">
        <f t="shared" ref="G106" si="83">AVERAGE(G103:G105)</f>
        <v>27.856018666666667</v>
      </c>
      <c r="H106" s="23">
        <f t="shared" ref="H106" si="84">AVERAGE(H103:H105)</f>
        <v>27.832573999999997</v>
      </c>
      <c r="I106" s="1">
        <f t="shared" ref="I106" si="85">AVERAGE(I103:I105)</f>
        <v>24.904298333333333</v>
      </c>
      <c r="J106" s="23">
        <f t="shared" ref="J106" si="86">AVERAGE(J103:J105)</f>
        <v>24.219609333333334</v>
      </c>
      <c r="K106" s="1">
        <f t="shared" ref="K106" si="87">AVERAGE(K103:K105)</f>
        <v>23.857372666666667</v>
      </c>
      <c r="L106" s="23">
        <f t="shared" ref="L106" si="88">AVERAGE(L103:L105)</f>
        <v>23.202244333333336</v>
      </c>
      <c r="M106" s="1">
        <f t="shared" ref="M106" si="89">AVERAGE(M103:M105)</f>
        <v>22.846239000000001</v>
      </c>
      <c r="N106" s="23">
        <f t="shared" ref="N106" si="90">AVERAGE(N103:N105)</f>
        <v>22.296557333333336</v>
      </c>
      <c r="O106" s="1">
        <f t="shared" ref="O106" si="91">AVERAGE(O103:O105)</f>
        <v>21.836799333333332</v>
      </c>
      <c r="P106" s="23">
        <f t="shared" ref="P106" si="92">AVERAGE(P103:P105)</f>
        <v>21.524537999999996</v>
      </c>
      <c r="Q106" s="1">
        <f t="shared" ref="Q106" si="93">AVERAGE(Q103:Q105)</f>
        <v>20.995831666666664</v>
      </c>
      <c r="R106" s="23">
        <f t="shared" ref="R106" si="94">AVERAGE(R103:R105)</f>
        <v>20.648190666666668</v>
      </c>
      <c r="S106" s="1">
        <f t="shared" ref="S106" si="95">AVERAGE(S103:S105)</f>
        <v>20.292357333333332</v>
      </c>
      <c r="T106" s="23">
        <f t="shared" ref="T106" si="96">AVERAGE(T103:T105)</f>
        <v>19.987898666666666</v>
      </c>
      <c r="U106" s="1">
        <f t="shared" ref="U106" si="97">AVERAGE(U103:U105)</f>
        <v>19.461640333333335</v>
      </c>
      <c r="V106" s="23">
        <f t="shared" ref="V106" si="98">AVERAGE(V103:V105)</f>
        <v>19.175588000000001</v>
      </c>
      <c r="W106" s="1">
        <f t="shared" ref="W106" si="99">AVERAGE(W103:W105)</f>
        <v>18.911131666666666</v>
      </c>
      <c r="X106" s="23">
        <f t="shared" ref="X106" si="100">AVERAGE(X103:X105)</f>
        <v>18.642485666666669</v>
      </c>
      <c r="Y106" s="1">
        <f t="shared" ref="Y106" si="101">AVERAGE(Y103:Y105)</f>
        <v>18.385150333333332</v>
      </c>
      <c r="Z106" s="23">
        <f t="shared" ref="Z106" si="102">AVERAGE(Z103:Z105)</f>
        <v>17.892671333333336</v>
      </c>
      <c r="AA106" s="1">
        <f t="shared" ref="AA106" si="103">AVERAGE(AA103:AA105)</f>
        <v>17.643255</v>
      </c>
      <c r="AB106" s="23">
        <f t="shared" ref="AB106" si="104">AVERAGE(AB103:AB105)</f>
        <v>17.454620666666667</v>
      </c>
      <c r="AC106" s="1">
        <f t="shared" ref="AC106" si="105">AVERAGE(AC103:AC105)</f>
        <v>17.232199666666663</v>
      </c>
      <c r="AD106" s="23">
        <f t="shared" ref="AD106" si="106">AVERAGE(AD103:AD105)</f>
        <v>17.059552666666665</v>
      </c>
      <c r="AE106" s="1">
        <f t="shared" ref="AE106" si="107">AVERAGE(AE103:AE105)</f>
        <v>16.781001666666668</v>
      </c>
      <c r="AF106" s="23">
        <f t="shared" ref="AF106" si="108">AVERAGE(AF103:AF105)</f>
        <v>16.399183666666669</v>
      </c>
      <c r="AG106" s="1">
        <f t="shared" ref="AG106" si="109">AVERAGE(AG103:AG105)</f>
        <v>16.205453000000002</v>
      </c>
      <c r="AH106" s="23">
        <f t="shared" ref="AH106" si="110">AVERAGE(AH103:AH105)</f>
        <v>15.997381333333335</v>
      </c>
      <c r="AI106" s="1">
        <f t="shared" ref="AI106" si="111">AVERAGE(AI103:AI105)</f>
        <v>15.815606000000001</v>
      </c>
      <c r="AJ106" s="23">
        <f t="shared" ref="AJ106" si="112">AVERAGE(AJ103:AJ105)</f>
        <v>15.618146333333334</v>
      </c>
      <c r="AK106" s="1">
        <f t="shared" ref="AK106" si="113">AVERAGE(AK103:AK105)</f>
        <v>15.441896999999999</v>
      </c>
      <c r="AL106" s="23">
        <f t="shared" ref="AL106" si="114">AVERAGE(AL103:AL105)</f>
        <v>15.262153666666668</v>
      </c>
      <c r="AM106" s="1">
        <f t="shared" ref="AM106" si="115">AVERAGE(AM103:AM105)</f>
        <v>15.091090666666666</v>
      </c>
      <c r="AN106" s="23">
        <f t="shared" ref="AN106" si="116">AVERAGE(AN103:AN105)</f>
        <v>14.917305666666669</v>
      </c>
      <c r="AO106" s="1">
        <f t="shared" ref="AO106" si="117">AVERAGE(AO103:AO105)</f>
        <v>14.750439666666667</v>
      </c>
      <c r="AP106" s="23">
        <f t="shared" ref="AP106" si="118">AVERAGE(AP103:AP105)</f>
        <v>14.589826</v>
      </c>
      <c r="AQ106" s="1">
        <f t="shared" ref="AQ106" si="119">AVERAGE(AQ103:AQ105)</f>
        <v>14.433191333333333</v>
      </c>
      <c r="AR106" s="23">
        <f t="shared" ref="AR106" si="120">AVERAGE(AR103:AR105)</f>
        <v>14.294899333333333</v>
      </c>
    </row>
    <row r="135" spans="3:44" x14ac:dyDescent="0.25">
      <c r="C135" s="6" t="s">
        <v>4</v>
      </c>
      <c r="D135" s="6">
        <v>10</v>
      </c>
      <c r="E135" s="6"/>
      <c r="F135" s="6"/>
      <c r="G135" s="6"/>
      <c r="I135" s="6"/>
      <c r="K135" s="6"/>
      <c r="M135" s="6"/>
      <c r="O135" s="6"/>
      <c r="Q135" s="6"/>
      <c r="S135" s="6"/>
      <c r="U135" s="6"/>
      <c r="W135" s="6"/>
      <c r="Y135" s="6"/>
      <c r="AA135" s="6"/>
      <c r="AC135" s="6"/>
      <c r="AE135" s="6"/>
      <c r="AG135" s="6"/>
      <c r="AI135" s="6"/>
      <c r="AK135" s="6"/>
      <c r="AM135" s="6"/>
      <c r="AO135" s="6"/>
      <c r="AQ135" s="6"/>
    </row>
    <row r="136" spans="3:44" x14ac:dyDescent="0.25">
      <c r="C136" s="1" t="s">
        <v>1</v>
      </c>
      <c r="D136" s="1">
        <v>1.8</v>
      </c>
      <c r="E136" s="2">
        <v>1.85</v>
      </c>
      <c r="F136" s="2">
        <v>1.9</v>
      </c>
      <c r="G136" s="2">
        <v>1.95</v>
      </c>
      <c r="H136" s="22">
        <v>2</v>
      </c>
      <c r="I136" s="2">
        <v>2.0499999999999998</v>
      </c>
      <c r="J136" s="22">
        <v>2.1</v>
      </c>
      <c r="K136" s="2">
        <v>2.15</v>
      </c>
      <c r="L136" s="22">
        <v>2.2000000000000002</v>
      </c>
      <c r="M136" s="2">
        <v>2.25</v>
      </c>
      <c r="N136" s="22">
        <v>2.2999999999999998</v>
      </c>
      <c r="O136" s="2">
        <v>2.35</v>
      </c>
      <c r="P136" s="22">
        <v>2.4</v>
      </c>
      <c r="Q136" s="2">
        <v>2.4500000000000002</v>
      </c>
      <c r="R136" s="22">
        <v>2.5</v>
      </c>
      <c r="S136" s="2">
        <v>2.5499999999999998</v>
      </c>
      <c r="T136" s="22">
        <v>2.6</v>
      </c>
      <c r="U136" s="2">
        <v>2.65</v>
      </c>
      <c r="V136" s="22">
        <v>2.7</v>
      </c>
      <c r="W136" s="2">
        <v>2.75</v>
      </c>
      <c r="X136" s="22">
        <v>2.8</v>
      </c>
      <c r="Y136" s="2">
        <v>2.85</v>
      </c>
      <c r="Z136" s="22">
        <v>2.9</v>
      </c>
      <c r="AA136" s="2">
        <v>2.95</v>
      </c>
      <c r="AB136" s="22">
        <v>3</v>
      </c>
      <c r="AC136" s="2">
        <v>3.05</v>
      </c>
      <c r="AD136" s="22">
        <v>3.1</v>
      </c>
      <c r="AE136" s="2">
        <v>3.15</v>
      </c>
      <c r="AF136" s="22">
        <v>3.2</v>
      </c>
      <c r="AG136" s="2">
        <v>3.25</v>
      </c>
      <c r="AH136" s="22">
        <v>3.3</v>
      </c>
      <c r="AI136" s="2">
        <v>3.35</v>
      </c>
      <c r="AJ136" s="22">
        <v>3.4</v>
      </c>
      <c r="AK136" s="2">
        <v>3.45</v>
      </c>
      <c r="AL136" s="22">
        <v>3.5</v>
      </c>
      <c r="AM136" s="2">
        <v>3.55</v>
      </c>
      <c r="AN136" s="22">
        <v>3.6</v>
      </c>
      <c r="AO136" s="2">
        <v>3.65</v>
      </c>
      <c r="AP136" s="22">
        <v>3.7</v>
      </c>
      <c r="AQ136" s="2">
        <v>3.75</v>
      </c>
      <c r="AR136" s="22">
        <v>3.8</v>
      </c>
    </row>
    <row r="137" spans="3:44" x14ac:dyDescent="0.25">
      <c r="C137" s="1" t="s">
        <v>2</v>
      </c>
      <c r="D137" s="3">
        <v>25.149951000000001</v>
      </c>
      <c r="E137" s="3">
        <v>25.14265</v>
      </c>
      <c r="F137" s="3">
        <v>25.116512</v>
      </c>
      <c r="G137" s="3">
        <v>25.142769000000001</v>
      </c>
      <c r="H137" s="22">
        <v>25.135873</v>
      </c>
      <c r="I137" s="3">
        <v>22.453154000000001</v>
      </c>
      <c r="J137" s="22">
        <v>22.169730000000001</v>
      </c>
      <c r="K137" s="3">
        <v>21.865478</v>
      </c>
      <c r="L137" s="22">
        <v>21.260676</v>
      </c>
      <c r="M137" s="3">
        <v>20.906359999999999</v>
      </c>
      <c r="N137" s="22">
        <v>20.309374999999999</v>
      </c>
      <c r="O137" s="3">
        <v>19.983754999999999</v>
      </c>
      <c r="P137" s="22">
        <v>19.696532000000001</v>
      </c>
      <c r="Q137" s="3">
        <v>19.128315000000001</v>
      </c>
      <c r="R137" s="22">
        <v>18.852080999999998</v>
      </c>
      <c r="S137" s="3">
        <v>18.599622</v>
      </c>
      <c r="T137" s="22">
        <v>18.312242000000001</v>
      </c>
      <c r="U137" s="3">
        <v>17.783055999999998</v>
      </c>
      <c r="V137" s="22">
        <v>17.513234000000001</v>
      </c>
      <c r="W137" s="3">
        <v>17.270441000000002</v>
      </c>
      <c r="X137" s="22">
        <v>17.039832000000001</v>
      </c>
      <c r="Y137" s="3">
        <v>16.80283</v>
      </c>
      <c r="Z137" s="22">
        <v>16.336521000000001</v>
      </c>
      <c r="AA137" s="3">
        <v>16.130668</v>
      </c>
      <c r="AB137" s="22">
        <v>15.910712</v>
      </c>
      <c r="AC137" s="3">
        <v>15.710784</v>
      </c>
      <c r="AD137" s="22">
        <v>15.502136</v>
      </c>
      <c r="AE137" s="3">
        <v>15.307098999999999</v>
      </c>
      <c r="AF137" s="22">
        <v>14.907439999999999</v>
      </c>
      <c r="AG137" s="3">
        <v>14.724641999999999</v>
      </c>
      <c r="AH137" s="22">
        <v>14.541758</v>
      </c>
      <c r="AI137" s="3">
        <v>14.369408</v>
      </c>
      <c r="AJ137" s="22">
        <v>14.19346</v>
      </c>
      <c r="AK137" s="3">
        <v>14.048450000000001</v>
      </c>
      <c r="AL137" s="22">
        <v>13.873722000000001</v>
      </c>
      <c r="AM137" s="3">
        <v>13.725917000000001</v>
      </c>
      <c r="AN137" s="22">
        <v>13.566708</v>
      </c>
      <c r="AO137" s="3">
        <v>13.414031</v>
      </c>
      <c r="AP137" s="22">
        <v>13.273607999999999</v>
      </c>
      <c r="AQ137" s="3">
        <v>13.128132000000001</v>
      </c>
      <c r="AR137" s="22">
        <v>13.003081</v>
      </c>
    </row>
    <row r="138" spans="3:44" x14ac:dyDescent="0.25">
      <c r="C138" s="1"/>
      <c r="D138" s="3">
        <v>25.047502000000001</v>
      </c>
      <c r="E138" s="3">
        <v>25.070778000000001</v>
      </c>
      <c r="F138" s="3">
        <v>25.045793</v>
      </c>
      <c r="G138" s="3">
        <v>25.032447000000001</v>
      </c>
      <c r="H138" s="22">
        <v>22.736865999999999</v>
      </c>
      <c r="I138" s="3">
        <v>22.404745999999999</v>
      </c>
      <c r="J138" s="22">
        <v>21.80621</v>
      </c>
      <c r="K138" s="3">
        <v>21.496850999999999</v>
      </c>
      <c r="L138" s="22">
        <v>20.893333999999999</v>
      </c>
      <c r="M138" s="3">
        <v>20.572524000000001</v>
      </c>
      <c r="N138" s="22">
        <v>19.977751000000001</v>
      </c>
      <c r="O138" s="3">
        <v>19.682013999999999</v>
      </c>
      <c r="P138" s="22">
        <v>19.385204000000002</v>
      </c>
      <c r="Q138" s="3">
        <v>18.835771999999999</v>
      </c>
      <c r="R138" s="22">
        <v>18.552849999999999</v>
      </c>
      <c r="S138" s="3">
        <v>18.290806</v>
      </c>
      <c r="T138" s="22">
        <v>18.007342999999999</v>
      </c>
      <c r="U138" s="3">
        <v>17.481006000000001</v>
      </c>
      <c r="V138" s="22">
        <v>17.237348000000001</v>
      </c>
      <c r="W138" s="3">
        <v>16.994858000000001</v>
      </c>
      <c r="X138" s="22">
        <v>16.741517999999999</v>
      </c>
      <c r="Y138" s="3">
        <v>16.511233000000001</v>
      </c>
      <c r="Z138" s="22">
        <v>16.072711000000002</v>
      </c>
      <c r="AA138" s="3">
        <v>15.854310999999999</v>
      </c>
      <c r="AB138" s="22">
        <v>15.888960000000001</v>
      </c>
      <c r="AC138" s="3">
        <v>15.676189000000001</v>
      </c>
      <c r="AD138" s="22">
        <v>15.460748000000001</v>
      </c>
      <c r="AE138" s="3">
        <v>15.081083</v>
      </c>
      <c r="AF138" s="22">
        <v>14.885842999999999</v>
      </c>
      <c r="AG138" s="3">
        <v>14.70552</v>
      </c>
      <c r="AH138" s="22">
        <v>14.513673000000001</v>
      </c>
      <c r="AI138" s="3">
        <v>14.359769</v>
      </c>
      <c r="AJ138" s="22">
        <v>14.162534000000001</v>
      </c>
      <c r="AK138" s="3">
        <v>14.003277000000001</v>
      </c>
      <c r="AL138" s="22">
        <v>13.837408999999999</v>
      </c>
      <c r="AM138" s="3">
        <v>13.688093</v>
      </c>
      <c r="AN138" s="22">
        <v>13.527047</v>
      </c>
      <c r="AO138" s="3">
        <v>13.385141000000001</v>
      </c>
      <c r="AP138" s="22">
        <v>13.244782000000001</v>
      </c>
      <c r="AQ138" s="3">
        <v>13.08863</v>
      </c>
      <c r="AR138" s="22">
        <v>12.967098999999999</v>
      </c>
    </row>
    <row r="139" spans="3:44" x14ac:dyDescent="0.25">
      <c r="C139" s="1"/>
      <c r="D139" s="3">
        <v>25.730913000000001</v>
      </c>
      <c r="E139" s="3">
        <v>25.700671</v>
      </c>
      <c r="F139" s="3">
        <v>25.69997</v>
      </c>
      <c r="G139" s="3">
        <v>25.708674999999999</v>
      </c>
      <c r="H139" s="22">
        <v>25.647929999999999</v>
      </c>
      <c r="I139" s="3">
        <v>22.973569000000001</v>
      </c>
      <c r="J139" s="22">
        <v>22.361647999999999</v>
      </c>
      <c r="K139" s="3">
        <v>21.99015</v>
      </c>
      <c r="L139" s="22">
        <v>21.412126000000001</v>
      </c>
      <c r="M139" s="3">
        <v>21.104074000000001</v>
      </c>
      <c r="N139" s="22">
        <v>20.79458</v>
      </c>
      <c r="O139" s="3">
        <v>20.179587999999999</v>
      </c>
      <c r="P139" s="22">
        <v>20.1846</v>
      </c>
      <c r="Q139" s="3">
        <v>19.557556999999999</v>
      </c>
      <c r="R139" s="22">
        <v>19.307047000000001</v>
      </c>
      <c r="S139" s="3">
        <v>19.037037000000002</v>
      </c>
      <c r="T139" s="22">
        <v>18.728601000000001</v>
      </c>
      <c r="U139" s="3">
        <v>18.506383</v>
      </c>
      <c r="V139" s="22">
        <v>17.947533</v>
      </c>
      <c r="W139" s="3">
        <v>17.701554000000002</v>
      </c>
      <c r="X139" s="22">
        <v>17.447717999999998</v>
      </c>
      <c r="Y139" s="3">
        <v>17.180378999999999</v>
      </c>
      <c r="Z139" s="22">
        <v>16.981235999999999</v>
      </c>
      <c r="AA139" s="3">
        <v>16.485534000000001</v>
      </c>
      <c r="AB139" s="22">
        <v>16.277996000000002</v>
      </c>
      <c r="AC139" s="3">
        <v>16.074207999999999</v>
      </c>
      <c r="AD139" s="22">
        <v>15.869835</v>
      </c>
      <c r="AE139" s="3">
        <v>15.671609999999999</v>
      </c>
      <c r="AF139" s="22">
        <v>15.258398</v>
      </c>
      <c r="AG139" s="3">
        <v>15.072493</v>
      </c>
      <c r="AH139" s="22">
        <v>14.877844</v>
      </c>
      <c r="AI139" s="3">
        <v>14.696187</v>
      </c>
      <c r="AJ139" s="22">
        <v>14.530287</v>
      </c>
      <c r="AK139" s="3">
        <v>14.342126</v>
      </c>
      <c r="AL139" s="22">
        <v>14.192902999999999</v>
      </c>
      <c r="AM139" s="3">
        <v>14.022651</v>
      </c>
      <c r="AN139" s="22">
        <v>13.857353</v>
      </c>
      <c r="AO139" s="3">
        <v>13.713378000000001</v>
      </c>
      <c r="AP139" s="22">
        <v>13.563231</v>
      </c>
      <c r="AQ139" s="3">
        <v>13.430001000000001</v>
      </c>
      <c r="AR139" s="22">
        <v>13.301494999999999</v>
      </c>
    </row>
    <row r="140" spans="3:44" x14ac:dyDescent="0.25">
      <c r="C140" s="1" t="s">
        <v>3</v>
      </c>
      <c r="D140" s="1">
        <f>AVERAGE(D137:D139)</f>
        <v>25.309455333333336</v>
      </c>
      <c r="E140" s="1">
        <f t="shared" ref="E140" si="121">AVERAGE(E137:E139)</f>
        <v>25.304699666666664</v>
      </c>
      <c r="F140" s="1">
        <f t="shared" ref="F140" si="122">AVERAGE(F137:F139)</f>
        <v>25.287425000000002</v>
      </c>
      <c r="G140" s="1">
        <f t="shared" ref="G140" si="123">AVERAGE(G137:G139)</f>
        <v>25.294630333333334</v>
      </c>
      <c r="H140" s="23">
        <f t="shared" ref="H140" si="124">AVERAGE(H137:H139)</f>
        <v>24.506889666666666</v>
      </c>
      <c r="I140" s="1">
        <f t="shared" ref="I140" si="125">AVERAGE(I137:I139)</f>
        <v>22.610489666666666</v>
      </c>
      <c r="J140" s="23">
        <f t="shared" ref="J140" si="126">AVERAGE(J137:J139)</f>
        <v>22.112529333333331</v>
      </c>
      <c r="K140" s="1">
        <f t="shared" ref="K140" si="127">AVERAGE(K137:K139)</f>
        <v>21.784159666666667</v>
      </c>
      <c r="L140" s="23">
        <f t="shared" ref="L140" si="128">AVERAGE(L137:L139)</f>
        <v>21.188711999999999</v>
      </c>
      <c r="M140" s="1">
        <f t="shared" ref="M140" si="129">AVERAGE(M137:M139)</f>
        <v>20.860986</v>
      </c>
      <c r="N140" s="23">
        <f t="shared" ref="N140" si="130">AVERAGE(N137:N139)</f>
        <v>20.360568666666666</v>
      </c>
      <c r="O140" s="1">
        <f t="shared" ref="O140" si="131">AVERAGE(O137:O139)</f>
        <v>19.948452333333332</v>
      </c>
      <c r="P140" s="23">
        <f t="shared" ref="P140" si="132">AVERAGE(P137:P139)</f>
        <v>19.755445333333338</v>
      </c>
      <c r="Q140" s="1">
        <f t="shared" ref="Q140" si="133">AVERAGE(Q137:Q139)</f>
        <v>19.17388133333333</v>
      </c>
      <c r="R140" s="23">
        <f t="shared" ref="R140" si="134">AVERAGE(R137:R139)</f>
        <v>18.903992666666667</v>
      </c>
      <c r="S140" s="1">
        <f t="shared" ref="S140" si="135">AVERAGE(S137:S139)</f>
        <v>18.642488333333333</v>
      </c>
      <c r="T140" s="23">
        <f t="shared" ref="T140" si="136">AVERAGE(T137:T139)</f>
        <v>18.349395333333334</v>
      </c>
      <c r="U140" s="1">
        <f t="shared" ref="U140" si="137">AVERAGE(U137:U139)</f>
        <v>17.923481666666664</v>
      </c>
      <c r="V140" s="23">
        <f t="shared" ref="V140" si="138">AVERAGE(V137:V139)</f>
        <v>17.566038333333335</v>
      </c>
      <c r="W140" s="1">
        <f t="shared" ref="W140" si="139">AVERAGE(W137:W139)</f>
        <v>17.322284333333332</v>
      </c>
      <c r="X140" s="23">
        <f t="shared" ref="X140" si="140">AVERAGE(X137:X139)</f>
        <v>17.076356000000001</v>
      </c>
      <c r="Y140" s="1">
        <f t="shared" ref="Y140" si="141">AVERAGE(Y137:Y139)</f>
        <v>16.831480666666668</v>
      </c>
      <c r="Z140" s="23">
        <f t="shared" ref="Z140" si="142">AVERAGE(Z137:Z139)</f>
        <v>16.463489333333332</v>
      </c>
      <c r="AA140" s="1">
        <f t="shared" ref="AA140" si="143">AVERAGE(AA137:AA139)</f>
        <v>16.156837666666664</v>
      </c>
      <c r="AB140" s="23">
        <f t="shared" ref="AB140" si="144">AVERAGE(AB137:AB139)</f>
        <v>16.025889333333335</v>
      </c>
      <c r="AC140" s="1">
        <f t="shared" ref="AC140" si="145">AVERAGE(AC137:AC139)</f>
        <v>15.820393666666666</v>
      </c>
      <c r="AD140" s="23">
        <f t="shared" ref="AD140" si="146">AVERAGE(AD137:AD139)</f>
        <v>15.610906333333334</v>
      </c>
      <c r="AE140" s="1">
        <f t="shared" ref="AE140" si="147">AVERAGE(AE137:AE139)</f>
        <v>15.353264000000001</v>
      </c>
      <c r="AF140" s="23">
        <f t="shared" ref="AF140" si="148">AVERAGE(AF137:AF139)</f>
        <v>15.017227</v>
      </c>
      <c r="AG140" s="1">
        <f t="shared" ref="AG140" si="149">AVERAGE(AG137:AG139)</f>
        <v>14.834218333333332</v>
      </c>
      <c r="AH140" s="23">
        <f t="shared" ref="AH140" si="150">AVERAGE(AH137:AH139)</f>
        <v>14.644424999999998</v>
      </c>
      <c r="AI140" s="1">
        <f t="shared" ref="AI140" si="151">AVERAGE(AI137:AI139)</f>
        <v>14.475121333333334</v>
      </c>
      <c r="AJ140" s="23">
        <f t="shared" ref="AJ140" si="152">AVERAGE(AJ137:AJ139)</f>
        <v>14.295427000000002</v>
      </c>
      <c r="AK140" s="1">
        <f t="shared" ref="AK140" si="153">AVERAGE(AK137:AK139)</f>
        <v>14.131284333333333</v>
      </c>
      <c r="AL140" s="23">
        <f t="shared" ref="AL140" si="154">AVERAGE(AL137:AL139)</f>
        <v>13.968011333333335</v>
      </c>
      <c r="AM140" s="1">
        <f t="shared" ref="AM140" si="155">AVERAGE(AM137:AM139)</f>
        <v>13.812220333333334</v>
      </c>
      <c r="AN140" s="23">
        <f t="shared" ref="AN140" si="156">AVERAGE(AN137:AN139)</f>
        <v>13.650369333333336</v>
      </c>
      <c r="AO140" s="1">
        <f t="shared" ref="AO140" si="157">AVERAGE(AO137:AO139)</f>
        <v>13.504183333333332</v>
      </c>
      <c r="AP140" s="23">
        <f t="shared" ref="AP140" si="158">AVERAGE(AP137:AP139)</f>
        <v>13.360540333333333</v>
      </c>
      <c r="AQ140" s="1">
        <f t="shared" ref="AQ140" si="159">AVERAGE(AQ137:AQ139)</f>
        <v>13.21558766666667</v>
      </c>
      <c r="AR140" s="23">
        <f t="shared" ref="AR140" si="160">AVERAGE(AR137:AR139)</f>
        <v>13.090558333333334</v>
      </c>
    </row>
    <row r="168" spans="3:44" x14ac:dyDescent="0.25">
      <c r="C168" s="7" t="s">
        <v>4</v>
      </c>
      <c r="D168" s="7">
        <v>9</v>
      </c>
      <c r="E168" s="7"/>
      <c r="F168" s="7"/>
      <c r="G168" s="7"/>
      <c r="I168" s="7"/>
      <c r="K168" s="7"/>
      <c r="M168" s="7"/>
      <c r="O168" s="7"/>
      <c r="Q168" s="7"/>
      <c r="S168" s="7"/>
      <c r="U168" s="7"/>
      <c r="W168" s="7"/>
      <c r="Y168" s="7"/>
      <c r="AA168" s="7"/>
      <c r="AC168" s="7"/>
      <c r="AE168" s="7"/>
      <c r="AG168" s="7"/>
      <c r="AI168" s="7"/>
      <c r="AK168" s="7"/>
      <c r="AM168" s="7"/>
      <c r="AO168" s="7"/>
      <c r="AQ168" s="7"/>
    </row>
    <row r="169" spans="3:44" x14ac:dyDescent="0.25">
      <c r="C169" s="1" t="s">
        <v>1</v>
      </c>
      <c r="D169" s="1">
        <v>1.8</v>
      </c>
      <c r="E169" s="2">
        <v>1.85</v>
      </c>
      <c r="F169" s="2">
        <v>1.9</v>
      </c>
      <c r="G169" s="2">
        <v>1.95</v>
      </c>
      <c r="H169" s="22">
        <v>2</v>
      </c>
      <c r="I169" s="2">
        <v>2.0499999999999998</v>
      </c>
      <c r="J169" s="22">
        <v>2.1</v>
      </c>
      <c r="K169" s="2">
        <v>2.15</v>
      </c>
      <c r="L169" s="22">
        <v>2.2000000000000002</v>
      </c>
      <c r="M169" s="2">
        <v>2.25</v>
      </c>
      <c r="N169" s="22">
        <v>2.2999999999999998</v>
      </c>
      <c r="O169" s="2">
        <v>2.35</v>
      </c>
      <c r="P169" s="22">
        <v>2.4</v>
      </c>
      <c r="Q169" s="2">
        <v>2.4500000000000002</v>
      </c>
      <c r="R169" s="22">
        <v>2.5</v>
      </c>
      <c r="S169" s="2">
        <v>2.5499999999999998</v>
      </c>
      <c r="T169" s="22">
        <v>2.6</v>
      </c>
      <c r="U169" s="2">
        <v>2.65</v>
      </c>
      <c r="V169" s="22">
        <v>2.7</v>
      </c>
      <c r="W169" s="2">
        <v>2.75</v>
      </c>
      <c r="X169" s="22">
        <v>2.8</v>
      </c>
      <c r="Y169" s="2">
        <v>2.85</v>
      </c>
      <c r="Z169" s="22">
        <v>2.9</v>
      </c>
      <c r="AA169" s="2">
        <v>2.95</v>
      </c>
      <c r="AB169" s="22">
        <v>3</v>
      </c>
      <c r="AC169" s="2">
        <v>3.05</v>
      </c>
      <c r="AD169" s="22">
        <v>3.1</v>
      </c>
      <c r="AE169" s="2">
        <v>3.15</v>
      </c>
      <c r="AF169" s="22">
        <v>3.2</v>
      </c>
      <c r="AG169" s="2">
        <v>3.25</v>
      </c>
      <c r="AH169" s="22">
        <v>3.3</v>
      </c>
      <c r="AI169" s="2">
        <v>3.35</v>
      </c>
      <c r="AJ169" s="22">
        <v>3.4</v>
      </c>
      <c r="AK169" s="2">
        <v>3.45</v>
      </c>
      <c r="AL169" s="22">
        <v>3.5</v>
      </c>
      <c r="AM169" s="2">
        <v>3.55</v>
      </c>
      <c r="AN169" s="22">
        <v>3.6</v>
      </c>
      <c r="AO169" s="2">
        <v>3.65</v>
      </c>
      <c r="AP169" s="22">
        <v>3.7</v>
      </c>
      <c r="AQ169" s="2">
        <v>3.75</v>
      </c>
      <c r="AR169" s="22">
        <v>3.8</v>
      </c>
    </row>
    <row r="170" spans="3:44" x14ac:dyDescent="0.25">
      <c r="C170" s="1" t="s">
        <v>2</v>
      </c>
      <c r="D170" s="3">
        <v>23.387097000000001</v>
      </c>
      <c r="E170" s="3">
        <v>23.375012999999999</v>
      </c>
      <c r="F170" s="3">
        <v>23.372450000000001</v>
      </c>
      <c r="G170" s="3">
        <v>23.410902</v>
      </c>
      <c r="H170" s="22">
        <v>21.123497</v>
      </c>
      <c r="I170" s="3">
        <v>20.873087999999999</v>
      </c>
      <c r="J170" s="22">
        <v>20.586759000000001</v>
      </c>
      <c r="K170" s="3">
        <v>20.304735000000001</v>
      </c>
      <c r="L170" s="22">
        <v>19.755918000000001</v>
      </c>
      <c r="M170" s="3">
        <v>19.422211000000001</v>
      </c>
      <c r="N170" s="22">
        <v>18.871734</v>
      </c>
      <c r="O170" s="3">
        <v>18.584668000000001</v>
      </c>
      <c r="P170" s="22">
        <v>18.292271</v>
      </c>
      <c r="Q170" s="3">
        <v>17.771298999999999</v>
      </c>
      <c r="R170" s="22">
        <v>17.520985</v>
      </c>
      <c r="S170" s="3">
        <v>17.273413000000001</v>
      </c>
      <c r="T170" s="22">
        <v>17.018374999999999</v>
      </c>
      <c r="U170" s="3">
        <v>16.517766000000002</v>
      </c>
      <c r="V170" s="22">
        <v>16.278203999999999</v>
      </c>
      <c r="W170" s="3">
        <v>16.039073999999999</v>
      </c>
      <c r="X170" s="22">
        <v>15.834314000000001</v>
      </c>
      <c r="Y170" s="3">
        <v>15.615771000000001</v>
      </c>
      <c r="Z170" s="22">
        <v>15.19415</v>
      </c>
      <c r="AA170" s="3">
        <v>14.989494000000001</v>
      </c>
      <c r="AB170" s="22">
        <v>14.79204</v>
      </c>
      <c r="AC170" s="3">
        <v>14.606717</v>
      </c>
      <c r="AD170" s="22">
        <v>14.410496</v>
      </c>
      <c r="AE170" s="3">
        <v>14.221175000000001</v>
      </c>
      <c r="AF170" s="22">
        <v>13.872685000000001</v>
      </c>
      <c r="AG170" s="3">
        <v>13.692275</v>
      </c>
      <c r="AH170" s="22">
        <v>13.519857999999999</v>
      </c>
      <c r="AI170" s="3">
        <v>13.36565</v>
      </c>
      <c r="AJ170" s="22">
        <v>13.202089000000001</v>
      </c>
      <c r="AK170" s="3">
        <v>13.061137</v>
      </c>
      <c r="AL170" s="22">
        <v>12.905307000000001</v>
      </c>
      <c r="AM170" s="3">
        <v>12.767612</v>
      </c>
      <c r="AN170" s="22">
        <v>12.618188999999999</v>
      </c>
      <c r="AO170" s="3">
        <v>12.481617</v>
      </c>
      <c r="AP170" s="22">
        <v>12.351896</v>
      </c>
      <c r="AQ170" s="3">
        <v>12.212462</v>
      </c>
      <c r="AR170" s="22">
        <v>12.106157</v>
      </c>
    </row>
    <row r="171" spans="3:44" x14ac:dyDescent="0.25">
      <c r="C171" s="1"/>
      <c r="D171" s="3">
        <v>23.298997</v>
      </c>
      <c r="E171" s="3">
        <v>23.33371</v>
      </c>
      <c r="F171" s="3">
        <v>23.296968</v>
      </c>
      <c r="G171" s="3">
        <v>23.309574999999999</v>
      </c>
      <c r="H171" s="22">
        <v>23.310369999999999</v>
      </c>
      <c r="I171" s="3">
        <v>20.857451999999999</v>
      </c>
      <c r="J171" s="22">
        <v>20.280569</v>
      </c>
      <c r="K171" s="3">
        <v>20.001632000000001</v>
      </c>
      <c r="L171" s="22">
        <v>19.456413000000001</v>
      </c>
      <c r="M171" s="3">
        <v>19.131796000000001</v>
      </c>
      <c r="N171" s="22">
        <v>18.602706000000001</v>
      </c>
      <c r="O171" s="3">
        <v>18.306501000000001</v>
      </c>
      <c r="P171" s="22">
        <v>18.046776000000001</v>
      </c>
      <c r="Q171" s="3">
        <v>17.539932</v>
      </c>
      <c r="R171" s="22">
        <v>17.265329999999999</v>
      </c>
      <c r="S171" s="3">
        <v>17.019110999999999</v>
      </c>
      <c r="T171" s="22">
        <v>16.759899999999998</v>
      </c>
      <c r="U171" s="3">
        <v>16.2743</v>
      </c>
      <c r="V171" s="22">
        <v>16.049524999999999</v>
      </c>
      <c r="W171" s="3">
        <v>15.814372000000001</v>
      </c>
      <c r="X171" s="22">
        <v>15.592968000000001</v>
      </c>
      <c r="Y171" s="3">
        <v>15.378117</v>
      </c>
      <c r="Z171" s="22">
        <v>14.974503</v>
      </c>
      <c r="AA171" s="3">
        <v>15.003717999999999</v>
      </c>
      <c r="AB171" s="22">
        <v>14.796916</v>
      </c>
      <c r="AC171" s="3">
        <v>14.612005999999999</v>
      </c>
      <c r="AD171" s="22">
        <v>14.422356000000001</v>
      </c>
      <c r="AE171" s="3">
        <v>14.063862</v>
      </c>
      <c r="AF171" s="22">
        <v>13.873316000000001</v>
      </c>
      <c r="AG171" s="3">
        <v>13.714048</v>
      </c>
      <c r="AH171" s="22">
        <v>13.534209000000001</v>
      </c>
      <c r="AI171" s="3">
        <v>13.382816</v>
      </c>
      <c r="AJ171" s="22">
        <v>13.208817</v>
      </c>
      <c r="AK171" s="3">
        <v>13.061249</v>
      </c>
      <c r="AL171" s="22">
        <v>12.90034</v>
      </c>
      <c r="AM171" s="3">
        <v>12.758972</v>
      </c>
      <c r="AN171" s="22">
        <v>12.620718999999999</v>
      </c>
      <c r="AO171" s="3">
        <v>12.476629000000001</v>
      </c>
      <c r="AP171" s="22">
        <v>12.351654</v>
      </c>
      <c r="AQ171" s="3">
        <v>12.211565999999999</v>
      </c>
      <c r="AR171" s="22">
        <v>12.099879</v>
      </c>
    </row>
    <row r="172" spans="3:44" x14ac:dyDescent="0.25">
      <c r="C172" s="1"/>
      <c r="D172" s="3">
        <v>24.088379</v>
      </c>
      <c r="E172" s="3">
        <v>24.051397000000001</v>
      </c>
      <c r="F172" s="3">
        <v>24.052199000000002</v>
      </c>
      <c r="G172" s="3">
        <v>24.072271000000001</v>
      </c>
      <c r="H172" s="22">
        <v>24.023083</v>
      </c>
      <c r="I172" s="3">
        <v>21.507411000000001</v>
      </c>
      <c r="J172" s="22">
        <v>20.916094000000001</v>
      </c>
      <c r="K172" s="3">
        <v>20.607710000000001</v>
      </c>
      <c r="L172" s="22">
        <v>20.047939</v>
      </c>
      <c r="M172" s="3">
        <v>19.74052</v>
      </c>
      <c r="N172" s="22">
        <v>19.468450000000001</v>
      </c>
      <c r="O172" s="3">
        <v>18.881924000000001</v>
      </c>
      <c r="P172" s="22">
        <v>18.59686</v>
      </c>
      <c r="Q172" s="3">
        <v>18.298776</v>
      </c>
      <c r="R172" s="22">
        <v>18.054817</v>
      </c>
      <c r="S172" s="3">
        <v>17.798452000000001</v>
      </c>
      <c r="T172" s="22">
        <v>17.532836</v>
      </c>
      <c r="U172" s="3">
        <v>17.312124000000001</v>
      </c>
      <c r="V172" s="22">
        <v>16.795504000000001</v>
      </c>
      <c r="W172" s="3">
        <v>16.564436000000001</v>
      </c>
      <c r="X172" s="22">
        <v>16.324957000000001</v>
      </c>
      <c r="Y172" s="3">
        <v>16.079398999999999</v>
      </c>
      <c r="Z172" s="22">
        <v>15.679634</v>
      </c>
      <c r="AA172" s="3">
        <v>15.439437</v>
      </c>
      <c r="AB172" s="22">
        <v>15.224736</v>
      </c>
      <c r="AC172" s="3">
        <v>15.044670999999999</v>
      </c>
      <c r="AD172" s="22">
        <v>14.850593</v>
      </c>
      <c r="AE172" s="3">
        <v>14.669346000000001</v>
      </c>
      <c r="AF172" s="22">
        <v>14.272990999999999</v>
      </c>
      <c r="AG172" s="3">
        <v>14.110372</v>
      </c>
      <c r="AH172" s="22">
        <v>13.934734000000001</v>
      </c>
      <c r="AI172" s="3">
        <v>13.766297</v>
      </c>
      <c r="AJ172" s="22">
        <v>13.602701</v>
      </c>
      <c r="AK172" s="3">
        <v>13.426999</v>
      </c>
      <c r="AL172" s="22">
        <v>13.280725</v>
      </c>
      <c r="AM172" s="3">
        <v>13.136279999999999</v>
      </c>
      <c r="AN172" s="22">
        <v>12.973127</v>
      </c>
      <c r="AO172" s="3">
        <v>12.837016</v>
      </c>
      <c r="AP172" s="22">
        <v>12.703227999999999</v>
      </c>
      <c r="AQ172" s="3">
        <v>12.584028999999999</v>
      </c>
      <c r="AR172" s="22">
        <v>12.457668999999999</v>
      </c>
    </row>
    <row r="173" spans="3:44" x14ac:dyDescent="0.25">
      <c r="C173" s="1" t="s">
        <v>3</v>
      </c>
      <c r="D173" s="1">
        <f>AVERAGE(D170:D172)</f>
        <v>23.591491000000001</v>
      </c>
      <c r="E173" s="1">
        <f t="shared" ref="E173" si="161">AVERAGE(E170:E172)</f>
        <v>23.586706666666668</v>
      </c>
      <c r="F173" s="1">
        <f t="shared" ref="F173" si="162">AVERAGE(F170:F172)</f>
        <v>23.573872333333338</v>
      </c>
      <c r="G173" s="1">
        <f t="shared" ref="G173" si="163">AVERAGE(G170:G172)</f>
        <v>23.597582666666668</v>
      </c>
      <c r="H173" s="23">
        <f t="shared" ref="H173" si="164">AVERAGE(H170:H172)</f>
        <v>22.818983333333335</v>
      </c>
      <c r="I173" s="1">
        <f t="shared" ref="I173" si="165">AVERAGE(I170:I172)</f>
        <v>21.079317</v>
      </c>
      <c r="J173" s="23">
        <f t="shared" ref="J173" si="166">AVERAGE(J170:J172)</f>
        <v>20.594474000000002</v>
      </c>
      <c r="K173" s="1">
        <f t="shared" ref="K173" si="167">AVERAGE(K170:K172)</f>
        <v>20.304692333333335</v>
      </c>
      <c r="L173" s="23">
        <f t="shared" ref="L173" si="168">AVERAGE(L170:L172)</f>
        <v>19.753423333333334</v>
      </c>
      <c r="M173" s="1">
        <f t="shared" ref="M173" si="169">AVERAGE(M170:M172)</f>
        <v>19.431509000000002</v>
      </c>
      <c r="N173" s="23">
        <f t="shared" ref="N173" si="170">AVERAGE(N170:N172)</f>
        <v>18.980963333333335</v>
      </c>
      <c r="O173" s="1">
        <f t="shared" ref="O173" si="171">AVERAGE(O170:O172)</f>
        <v>18.591031000000001</v>
      </c>
      <c r="P173" s="23">
        <f t="shared" ref="P173" si="172">AVERAGE(P170:P172)</f>
        <v>18.311969000000001</v>
      </c>
      <c r="Q173" s="1">
        <f t="shared" ref="Q173" si="173">AVERAGE(Q170:Q172)</f>
        <v>17.870002333333332</v>
      </c>
      <c r="R173" s="23">
        <f t="shared" ref="R173" si="174">AVERAGE(R170:R172)</f>
        <v>17.613710666666666</v>
      </c>
      <c r="S173" s="1">
        <f t="shared" ref="S173" si="175">AVERAGE(S170:S172)</f>
        <v>17.363658666666666</v>
      </c>
      <c r="T173" s="23">
        <f t="shared" ref="T173" si="176">AVERAGE(T170:T172)</f>
        <v>17.103703666666664</v>
      </c>
      <c r="U173" s="1">
        <f t="shared" ref="U173" si="177">AVERAGE(U170:U172)</f>
        <v>16.701396666666668</v>
      </c>
      <c r="V173" s="23">
        <f t="shared" ref="V173" si="178">AVERAGE(V170:V172)</f>
        <v>16.374410999999998</v>
      </c>
      <c r="W173" s="1">
        <f t="shared" ref="W173" si="179">AVERAGE(W170:W172)</f>
        <v>16.139294</v>
      </c>
      <c r="X173" s="23">
        <f t="shared" ref="X173" si="180">AVERAGE(X170:X172)</f>
        <v>15.917413000000002</v>
      </c>
      <c r="Y173" s="1">
        <f t="shared" ref="Y173" si="181">AVERAGE(Y170:Y172)</f>
        <v>15.691095666666664</v>
      </c>
      <c r="Z173" s="23">
        <f t="shared" ref="Z173" si="182">AVERAGE(Z170:Z172)</f>
        <v>15.282762333333332</v>
      </c>
      <c r="AA173" s="1">
        <f t="shared" ref="AA173" si="183">AVERAGE(AA170:AA172)</f>
        <v>15.144216333333333</v>
      </c>
      <c r="AB173" s="23">
        <f t="shared" ref="AB173" si="184">AVERAGE(AB170:AB172)</f>
        <v>14.937897333333334</v>
      </c>
      <c r="AC173" s="1">
        <f t="shared" ref="AC173" si="185">AVERAGE(AC170:AC172)</f>
        <v>14.754464666666665</v>
      </c>
      <c r="AD173" s="23">
        <f t="shared" ref="AD173" si="186">AVERAGE(AD170:AD172)</f>
        <v>14.561148333333335</v>
      </c>
      <c r="AE173" s="1">
        <f t="shared" ref="AE173" si="187">AVERAGE(AE170:AE172)</f>
        <v>14.318127666666669</v>
      </c>
      <c r="AF173" s="23">
        <f t="shared" ref="AF173" si="188">AVERAGE(AF170:AF172)</f>
        <v>14.006330666666665</v>
      </c>
      <c r="AG173" s="1">
        <f t="shared" ref="AG173" si="189">AVERAGE(AG170:AG172)</f>
        <v>13.838898333333333</v>
      </c>
      <c r="AH173" s="23">
        <f t="shared" ref="AH173" si="190">AVERAGE(AH170:AH172)</f>
        <v>13.662933666666667</v>
      </c>
      <c r="AI173" s="1">
        <f t="shared" ref="AI173" si="191">AVERAGE(AI170:AI172)</f>
        <v>13.504921000000001</v>
      </c>
      <c r="AJ173" s="23">
        <f t="shared" ref="AJ173" si="192">AVERAGE(AJ170:AJ172)</f>
        <v>13.337869</v>
      </c>
      <c r="AK173" s="1">
        <f t="shared" ref="AK173" si="193">AVERAGE(AK170:AK172)</f>
        <v>13.183128333333334</v>
      </c>
      <c r="AL173" s="23">
        <f t="shared" ref="AL173" si="194">AVERAGE(AL170:AL172)</f>
        <v>13.028790666666666</v>
      </c>
      <c r="AM173" s="1">
        <f t="shared" ref="AM173" si="195">AVERAGE(AM170:AM172)</f>
        <v>12.887621333333334</v>
      </c>
      <c r="AN173" s="23">
        <f t="shared" ref="AN173" si="196">AVERAGE(AN170:AN172)</f>
        <v>12.737344999999999</v>
      </c>
      <c r="AO173" s="1">
        <f t="shared" ref="AO173" si="197">AVERAGE(AO170:AO172)</f>
        <v>12.598420666666668</v>
      </c>
      <c r="AP173" s="23">
        <f t="shared" ref="AP173" si="198">AVERAGE(AP170:AP172)</f>
        <v>12.468926000000002</v>
      </c>
      <c r="AQ173" s="1">
        <f t="shared" ref="AQ173" si="199">AVERAGE(AQ170:AQ172)</f>
        <v>12.336019</v>
      </c>
      <c r="AR173" s="23">
        <f t="shared" ref="AR173" si="200">AVERAGE(AR170:AR172)</f>
        <v>12.221234999999998</v>
      </c>
    </row>
    <row r="202" spans="3:44" x14ac:dyDescent="0.25">
      <c r="C202" s="8" t="s">
        <v>4</v>
      </c>
      <c r="D202" s="8">
        <v>8</v>
      </c>
      <c r="E202" s="8"/>
      <c r="F202" s="8"/>
      <c r="G202" s="8"/>
      <c r="I202" s="8"/>
      <c r="K202" s="8"/>
      <c r="M202" s="8"/>
      <c r="O202" s="8"/>
      <c r="Q202" s="8"/>
      <c r="S202" s="8"/>
      <c r="U202" s="8"/>
      <c r="W202" s="8"/>
      <c r="Y202" s="8"/>
      <c r="AA202" s="8"/>
      <c r="AC202" s="8"/>
      <c r="AE202" s="8"/>
      <c r="AG202" s="8"/>
      <c r="AI202" s="8"/>
      <c r="AK202" s="8"/>
      <c r="AM202" s="8"/>
      <c r="AO202" s="8"/>
      <c r="AQ202" s="8"/>
    </row>
    <row r="203" spans="3:44" x14ac:dyDescent="0.25">
      <c r="C203" s="1" t="s">
        <v>1</v>
      </c>
      <c r="D203" s="1">
        <v>1.8</v>
      </c>
      <c r="E203" s="2">
        <v>1.85</v>
      </c>
      <c r="F203" s="2">
        <v>1.9</v>
      </c>
      <c r="G203" s="2">
        <v>1.95</v>
      </c>
      <c r="H203" s="22">
        <v>2</v>
      </c>
      <c r="I203" s="2">
        <v>2.0499999999999998</v>
      </c>
      <c r="J203" s="22">
        <v>2.1</v>
      </c>
      <c r="K203" s="2">
        <v>2.15</v>
      </c>
      <c r="L203" s="22">
        <v>2.2000000000000002</v>
      </c>
      <c r="M203" s="2">
        <v>2.25</v>
      </c>
      <c r="N203" s="22">
        <v>2.2999999999999998</v>
      </c>
      <c r="O203" s="2">
        <v>2.35</v>
      </c>
      <c r="P203" s="22">
        <v>2.4</v>
      </c>
      <c r="Q203" s="2">
        <v>2.4500000000000002</v>
      </c>
      <c r="R203" s="22">
        <v>2.5</v>
      </c>
      <c r="S203" s="2">
        <v>2.5499999999999998</v>
      </c>
      <c r="T203" s="22">
        <v>2.6</v>
      </c>
      <c r="U203" s="2">
        <v>2.65</v>
      </c>
      <c r="V203" s="22">
        <v>2.7</v>
      </c>
      <c r="W203" s="2">
        <v>2.75</v>
      </c>
      <c r="X203" s="22">
        <v>2.8</v>
      </c>
      <c r="Y203" s="2">
        <v>2.85</v>
      </c>
      <c r="Z203" s="22">
        <v>2.9</v>
      </c>
      <c r="AA203" s="2">
        <v>2.95</v>
      </c>
      <c r="AB203" s="22">
        <v>3</v>
      </c>
      <c r="AC203" s="2">
        <v>3.05</v>
      </c>
      <c r="AD203" s="22">
        <v>3.1</v>
      </c>
      <c r="AE203" s="2">
        <v>3.15</v>
      </c>
      <c r="AF203" s="22">
        <v>3.2</v>
      </c>
      <c r="AG203" s="2">
        <v>3.25</v>
      </c>
      <c r="AH203" s="22">
        <v>3.3</v>
      </c>
      <c r="AI203" s="2">
        <v>3.35</v>
      </c>
      <c r="AJ203" s="22">
        <v>3.4</v>
      </c>
      <c r="AK203" s="2">
        <v>3.45</v>
      </c>
      <c r="AL203" s="22">
        <v>3.5</v>
      </c>
      <c r="AM203" s="2">
        <v>3.55</v>
      </c>
      <c r="AN203" s="22">
        <v>3.6</v>
      </c>
      <c r="AO203" s="2">
        <v>3.65</v>
      </c>
      <c r="AP203" s="22">
        <v>3.7</v>
      </c>
      <c r="AQ203" s="2">
        <v>3.75</v>
      </c>
      <c r="AR203" s="22">
        <v>3.8</v>
      </c>
    </row>
    <row r="204" spans="3:44" x14ac:dyDescent="0.25">
      <c r="C204" s="1" t="s">
        <v>2</v>
      </c>
      <c r="D204" s="3">
        <v>22.236384000000001</v>
      </c>
      <c r="E204" s="3">
        <v>22.22871</v>
      </c>
      <c r="F204" s="3">
        <v>22.227734999999999</v>
      </c>
      <c r="G204" s="3">
        <v>22.244320999999999</v>
      </c>
      <c r="H204" s="22">
        <v>22.219840999999999</v>
      </c>
      <c r="I204" s="3">
        <v>19.828917000000001</v>
      </c>
      <c r="J204" s="22">
        <v>19.266030000000001</v>
      </c>
      <c r="K204" s="3">
        <v>19.001636000000001</v>
      </c>
      <c r="L204" s="22">
        <v>18.47683</v>
      </c>
      <c r="M204" s="3">
        <v>18.172405999999999</v>
      </c>
      <c r="N204" s="22">
        <v>17.65917</v>
      </c>
      <c r="O204" s="3">
        <v>17.392234999999999</v>
      </c>
      <c r="P204" s="22">
        <v>17.117771999999999</v>
      </c>
      <c r="Q204" s="3">
        <v>16.629180999999999</v>
      </c>
      <c r="R204" s="22">
        <v>16.400600000000001</v>
      </c>
      <c r="S204" s="3">
        <v>16.168084</v>
      </c>
      <c r="T204" s="22">
        <v>15.945631000000001</v>
      </c>
      <c r="U204" s="3">
        <v>15.464155</v>
      </c>
      <c r="V204" s="22">
        <v>15.226528999999999</v>
      </c>
      <c r="W204" s="3">
        <v>15.019016000000001</v>
      </c>
      <c r="X204" s="22">
        <v>14.814474000000001</v>
      </c>
      <c r="Y204" s="3">
        <v>14.618332000000001</v>
      </c>
      <c r="Z204" s="22">
        <v>14.221216</v>
      </c>
      <c r="AA204" s="3">
        <v>14.041344</v>
      </c>
      <c r="AB204" s="22">
        <v>13.843565</v>
      </c>
      <c r="AC204" s="3">
        <v>13.675383</v>
      </c>
      <c r="AD204" s="22">
        <v>13.490043999999999</v>
      </c>
      <c r="AE204" s="3">
        <v>13.309217</v>
      </c>
      <c r="AF204" s="22">
        <v>12.992457</v>
      </c>
      <c r="AG204" s="3">
        <v>12.815336</v>
      </c>
      <c r="AH204" s="22">
        <v>12.658847</v>
      </c>
      <c r="AI204" s="3">
        <v>12.511215</v>
      </c>
      <c r="AJ204" s="22">
        <v>12.364134</v>
      </c>
      <c r="AK204" s="3">
        <v>12.231154999999999</v>
      </c>
      <c r="AL204" s="22">
        <v>12.081493999999999</v>
      </c>
      <c r="AM204" s="3">
        <v>11.951427000000001</v>
      </c>
      <c r="AN204" s="22">
        <v>11.812868999999999</v>
      </c>
      <c r="AO204" s="3">
        <v>11.685159000000001</v>
      </c>
      <c r="AP204" s="22">
        <v>11.564679999999999</v>
      </c>
      <c r="AQ204" s="3">
        <v>11.439348000000001</v>
      </c>
      <c r="AR204" s="22">
        <v>11.333738</v>
      </c>
    </row>
    <row r="205" spans="3:44" x14ac:dyDescent="0.25">
      <c r="C205" s="1"/>
      <c r="D205" s="3">
        <v>21.837662000000002</v>
      </c>
      <c r="E205" s="3">
        <v>21.86551</v>
      </c>
      <c r="F205" s="3">
        <v>21.832455</v>
      </c>
      <c r="G205" s="3">
        <v>21.840937</v>
      </c>
      <c r="H205" s="22">
        <v>19.809021000000001</v>
      </c>
      <c r="I205" s="3">
        <v>19.533608000000001</v>
      </c>
      <c r="J205" s="22">
        <v>18.997318</v>
      </c>
      <c r="K205" s="3">
        <v>18.732061999999999</v>
      </c>
      <c r="L205" s="22">
        <v>18.211683000000001</v>
      </c>
      <c r="M205" s="3">
        <v>17.923373999999999</v>
      </c>
      <c r="N205" s="22">
        <v>17.428197999999998</v>
      </c>
      <c r="O205" s="3">
        <v>17.153375</v>
      </c>
      <c r="P205" s="22">
        <v>16.899146000000002</v>
      </c>
      <c r="Q205" s="3">
        <v>16.426379000000001</v>
      </c>
      <c r="R205" s="22">
        <v>16.178487000000001</v>
      </c>
      <c r="S205" s="3">
        <v>15.954224</v>
      </c>
      <c r="T205" s="22">
        <v>15.696151</v>
      </c>
      <c r="U205" s="3">
        <v>15.263855</v>
      </c>
      <c r="V205" s="22">
        <v>15.02815</v>
      </c>
      <c r="W205" s="3">
        <v>14.821749000000001</v>
      </c>
      <c r="X205" s="22">
        <v>14.613218</v>
      </c>
      <c r="Y205" s="3">
        <v>14.414673000000001</v>
      </c>
      <c r="Z205" s="22">
        <v>14.033687</v>
      </c>
      <c r="AA205" s="3">
        <v>13.837293000000001</v>
      </c>
      <c r="AB205" s="22">
        <v>13.888183</v>
      </c>
      <c r="AC205" s="3">
        <v>13.724454</v>
      </c>
      <c r="AD205" s="22">
        <v>13.534852000000001</v>
      </c>
      <c r="AE205" s="3">
        <v>13.192555</v>
      </c>
      <c r="AF205" s="22">
        <v>13.033507</v>
      </c>
      <c r="AG205" s="3">
        <v>12.882733</v>
      </c>
      <c r="AH205" s="22">
        <v>12.703645</v>
      </c>
      <c r="AI205" s="3">
        <v>12.558964</v>
      </c>
      <c r="AJ205" s="22">
        <v>12.394958000000001</v>
      </c>
      <c r="AK205" s="3">
        <v>12.264002</v>
      </c>
      <c r="AL205" s="22">
        <v>12.112978999999999</v>
      </c>
      <c r="AM205" s="3">
        <v>11.979791000000001</v>
      </c>
      <c r="AN205" s="22">
        <v>11.85023</v>
      </c>
      <c r="AO205" s="3">
        <v>11.717415000000001</v>
      </c>
      <c r="AP205" s="22">
        <v>11.587329</v>
      </c>
      <c r="AQ205" s="3">
        <v>11.459884000000001</v>
      </c>
      <c r="AR205" s="22">
        <v>11.361324</v>
      </c>
    </row>
    <row r="206" spans="3:44" x14ac:dyDescent="0.25">
      <c r="C206" s="1"/>
      <c r="D206" s="3">
        <v>22.552713000000001</v>
      </c>
      <c r="E206" s="3">
        <v>22.509526000000001</v>
      </c>
      <c r="F206" s="3">
        <v>22.515007000000001</v>
      </c>
      <c r="G206" s="3">
        <v>22.515034</v>
      </c>
      <c r="H206" s="22">
        <v>22.473018</v>
      </c>
      <c r="I206" s="3">
        <v>20.125510999999999</v>
      </c>
      <c r="J206" s="22">
        <v>19.574643999999999</v>
      </c>
      <c r="K206" s="3">
        <v>19.266397999999999</v>
      </c>
      <c r="L206" s="22">
        <v>18.745052999999999</v>
      </c>
      <c r="M206" s="3">
        <v>18.480915</v>
      </c>
      <c r="N206" s="22">
        <v>18.214449999999999</v>
      </c>
      <c r="O206" s="3">
        <v>17.65936</v>
      </c>
      <c r="P206" s="22">
        <v>17.396477999999998</v>
      </c>
      <c r="Q206" s="3">
        <v>17.126356999999999</v>
      </c>
      <c r="R206" s="22">
        <v>16.638542000000001</v>
      </c>
      <c r="S206" s="3">
        <v>16.712982</v>
      </c>
      <c r="T206" s="22">
        <v>16.464973000000001</v>
      </c>
      <c r="U206" s="3">
        <v>16.254773</v>
      </c>
      <c r="V206" s="22">
        <v>15.768806</v>
      </c>
      <c r="W206" s="3">
        <v>15.5449</v>
      </c>
      <c r="X206" s="22">
        <v>15.32103</v>
      </c>
      <c r="Y206" s="3">
        <v>15.084795</v>
      </c>
      <c r="Z206" s="22">
        <v>14.713226000000001</v>
      </c>
      <c r="AA206" s="3">
        <v>14.492039999999999</v>
      </c>
      <c r="AB206" s="22">
        <v>14.287687</v>
      </c>
      <c r="AC206" s="3">
        <v>14.114633</v>
      </c>
      <c r="AD206" s="22">
        <v>13.942997</v>
      </c>
      <c r="AE206" s="3">
        <v>13.772713</v>
      </c>
      <c r="AF206" s="22">
        <v>13.410777</v>
      </c>
      <c r="AG206" s="3">
        <v>13.238911</v>
      </c>
      <c r="AH206" s="22">
        <v>13.084452000000001</v>
      </c>
      <c r="AI206" s="3">
        <v>12.923185</v>
      </c>
      <c r="AJ206" s="22">
        <v>12.770447000000001</v>
      </c>
      <c r="AK206" s="3">
        <v>12.604554</v>
      </c>
      <c r="AL206" s="22">
        <v>12.470437</v>
      </c>
      <c r="AM206" s="3">
        <v>12.330558999999999</v>
      </c>
      <c r="AN206" s="22">
        <v>12.184169000000001</v>
      </c>
      <c r="AO206" s="3">
        <v>12.059998</v>
      </c>
      <c r="AP206" s="22">
        <v>11.932357</v>
      </c>
      <c r="AQ206" s="3">
        <v>11.805149999999999</v>
      </c>
      <c r="AR206" s="22">
        <v>11.701442</v>
      </c>
    </row>
    <row r="207" spans="3:44" x14ac:dyDescent="0.25">
      <c r="C207" s="1" t="s">
        <v>3</v>
      </c>
      <c r="D207" s="1">
        <f>AVERAGE(D204:D206)</f>
        <v>22.20891966666667</v>
      </c>
      <c r="E207" s="1">
        <f t="shared" ref="E207" si="201">AVERAGE(E204:E206)</f>
        <v>22.201248666666668</v>
      </c>
      <c r="F207" s="1">
        <f t="shared" ref="F207" si="202">AVERAGE(F204:F206)</f>
        <v>22.191732333333334</v>
      </c>
      <c r="G207" s="1">
        <f t="shared" ref="G207" si="203">AVERAGE(G204:G206)</f>
        <v>22.200097333333332</v>
      </c>
      <c r="H207" s="23">
        <f t="shared" ref="H207" si="204">AVERAGE(H204:H206)</f>
        <v>21.500626666666665</v>
      </c>
      <c r="I207" s="1">
        <f t="shared" ref="I207" si="205">AVERAGE(I204:I206)</f>
        <v>19.829345333333336</v>
      </c>
      <c r="J207" s="23">
        <f t="shared" ref="J207" si="206">AVERAGE(J204:J206)</f>
        <v>19.279330666666667</v>
      </c>
      <c r="K207" s="1">
        <f t="shared" ref="K207" si="207">AVERAGE(K204:K206)</f>
        <v>19.000032000000001</v>
      </c>
      <c r="L207" s="23">
        <f t="shared" ref="L207" si="208">AVERAGE(L204:L206)</f>
        <v>18.477855333333334</v>
      </c>
      <c r="M207" s="1">
        <f t="shared" ref="M207" si="209">AVERAGE(M204:M206)</f>
        <v>18.192231666666668</v>
      </c>
      <c r="N207" s="23">
        <f t="shared" ref="N207" si="210">AVERAGE(N204:N206)</f>
        <v>17.767272666666667</v>
      </c>
      <c r="O207" s="1">
        <f t="shared" ref="O207" si="211">AVERAGE(O204:O206)</f>
        <v>17.401656666666664</v>
      </c>
      <c r="P207" s="23">
        <f t="shared" ref="P207" si="212">AVERAGE(P204:P206)</f>
        <v>17.137798666666669</v>
      </c>
      <c r="Q207" s="1">
        <f t="shared" ref="Q207" si="213">AVERAGE(Q204:Q206)</f>
        <v>16.727305666666666</v>
      </c>
      <c r="R207" s="23">
        <f t="shared" ref="R207" si="214">AVERAGE(R204:R206)</f>
        <v>16.405876333333335</v>
      </c>
      <c r="S207" s="1">
        <f t="shared" ref="S207" si="215">AVERAGE(S204:S206)</f>
        <v>16.27843</v>
      </c>
      <c r="T207" s="23">
        <f t="shared" ref="T207" si="216">AVERAGE(T204:T206)</f>
        <v>16.035585000000001</v>
      </c>
      <c r="U207" s="1">
        <f t="shared" ref="U207" si="217">AVERAGE(U204:U206)</f>
        <v>15.660927666666666</v>
      </c>
      <c r="V207" s="23">
        <f t="shared" ref="V207" si="218">AVERAGE(V204:V206)</f>
        <v>15.341161666666666</v>
      </c>
      <c r="W207" s="1">
        <f t="shared" ref="W207" si="219">AVERAGE(W204:W206)</f>
        <v>15.128555</v>
      </c>
      <c r="X207" s="23">
        <f t="shared" ref="X207" si="220">AVERAGE(X204:X206)</f>
        <v>14.916240666666667</v>
      </c>
      <c r="Y207" s="1">
        <f t="shared" ref="Y207" si="221">AVERAGE(Y204:Y206)</f>
        <v>14.705933333333334</v>
      </c>
      <c r="Z207" s="23">
        <f t="shared" ref="Z207" si="222">AVERAGE(Z204:Z206)</f>
        <v>14.322709666666666</v>
      </c>
      <c r="AA207" s="1">
        <f t="shared" ref="AA207" si="223">AVERAGE(AA204:AA206)</f>
        <v>14.123559</v>
      </c>
      <c r="AB207" s="23">
        <f t="shared" ref="AB207" si="224">AVERAGE(AB204:AB206)</f>
        <v>14.006478333333334</v>
      </c>
      <c r="AC207" s="1">
        <f t="shared" ref="AC207" si="225">AVERAGE(AC204:AC206)</f>
        <v>13.838156666666665</v>
      </c>
      <c r="AD207" s="23">
        <f t="shared" ref="AD207" si="226">AVERAGE(AD204:AD206)</f>
        <v>13.655964333333332</v>
      </c>
      <c r="AE207" s="1">
        <f t="shared" ref="AE207" si="227">AVERAGE(AE204:AE206)</f>
        <v>13.424828333333332</v>
      </c>
      <c r="AF207" s="23">
        <f t="shared" ref="AF207" si="228">AVERAGE(AF204:AF206)</f>
        <v>13.145580333333333</v>
      </c>
      <c r="AG207" s="1">
        <f t="shared" ref="AG207" si="229">AVERAGE(AG204:AG206)</f>
        <v>12.978993333333333</v>
      </c>
      <c r="AH207" s="23">
        <f t="shared" ref="AH207" si="230">AVERAGE(AH204:AH206)</f>
        <v>12.815648000000001</v>
      </c>
      <c r="AI207" s="1">
        <f t="shared" ref="AI207" si="231">AVERAGE(AI204:AI206)</f>
        <v>12.664454666666666</v>
      </c>
      <c r="AJ207" s="23">
        <f t="shared" ref="AJ207" si="232">AVERAGE(AJ204:AJ206)</f>
        <v>12.509846333333334</v>
      </c>
      <c r="AK207" s="1">
        <f t="shared" ref="AK207" si="233">AVERAGE(AK204:AK206)</f>
        <v>12.366570333333334</v>
      </c>
      <c r="AL207" s="23">
        <f t="shared" ref="AL207" si="234">AVERAGE(AL204:AL206)</f>
        <v>12.221636666666667</v>
      </c>
      <c r="AM207" s="1">
        <f t="shared" ref="AM207" si="235">AVERAGE(AM204:AM206)</f>
        <v>12.087259000000001</v>
      </c>
      <c r="AN207" s="23">
        <f t="shared" ref="AN207" si="236">AVERAGE(AN204:AN206)</f>
        <v>11.949089333333333</v>
      </c>
      <c r="AO207" s="1">
        <f t="shared" ref="AO207" si="237">AVERAGE(AO204:AO206)</f>
        <v>11.820857333333334</v>
      </c>
      <c r="AP207" s="23">
        <f t="shared" ref="AP207" si="238">AVERAGE(AP204:AP206)</f>
        <v>11.694788666666668</v>
      </c>
      <c r="AQ207" s="1">
        <f t="shared" ref="AQ207" si="239">AVERAGE(AQ204:AQ206)</f>
        <v>11.568127333333335</v>
      </c>
      <c r="AR207" s="23">
        <f t="shared" ref="AR207" si="240">AVERAGE(AR204:AR206)</f>
        <v>11.465501333333334</v>
      </c>
    </row>
    <row r="234" spans="3:44" x14ac:dyDescent="0.25">
      <c r="C234" s="9" t="s">
        <v>4</v>
      </c>
      <c r="D234" s="9">
        <v>7</v>
      </c>
      <c r="E234" s="9"/>
      <c r="F234" s="9"/>
      <c r="G234" s="9"/>
      <c r="I234" s="9"/>
      <c r="K234" s="9"/>
      <c r="M234" s="9"/>
      <c r="O234" s="9"/>
      <c r="Q234" s="9"/>
      <c r="S234" s="9"/>
      <c r="U234" s="9"/>
      <c r="W234" s="9"/>
      <c r="Y234" s="9"/>
      <c r="AA234" s="9"/>
      <c r="AC234" s="9"/>
      <c r="AE234" s="9"/>
      <c r="AG234" s="9"/>
      <c r="AI234" s="9"/>
      <c r="AK234" s="9"/>
      <c r="AM234" s="9"/>
      <c r="AO234" s="9"/>
      <c r="AQ234" s="9"/>
    </row>
    <row r="235" spans="3:44" x14ac:dyDescent="0.25">
      <c r="C235" s="1" t="s">
        <v>1</v>
      </c>
      <c r="D235" s="1">
        <v>1.8</v>
      </c>
      <c r="E235" s="2">
        <v>1.85</v>
      </c>
      <c r="F235" s="2">
        <v>1.9</v>
      </c>
      <c r="G235" s="2">
        <v>1.95</v>
      </c>
      <c r="H235" s="22">
        <v>2</v>
      </c>
      <c r="I235" s="2">
        <v>2.0499999999999998</v>
      </c>
      <c r="J235" s="22">
        <v>2.1</v>
      </c>
      <c r="K235" s="2">
        <v>2.15</v>
      </c>
      <c r="L235" s="22">
        <v>2.2000000000000002</v>
      </c>
      <c r="M235" s="2">
        <v>2.25</v>
      </c>
      <c r="N235" s="22">
        <v>2.2999999999999998</v>
      </c>
      <c r="O235" s="2">
        <v>2.35</v>
      </c>
      <c r="P235" s="22">
        <v>2.4</v>
      </c>
      <c r="Q235" s="2">
        <v>2.4500000000000002</v>
      </c>
      <c r="R235" s="22">
        <v>2.5</v>
      </c>
      <c r="S235" s="2">
        <v>2.5499999999999998</v>
      </c>
      <c r="T235" s="22">
        <v>2.6</v>
      </c>
      <c r="U235" s="2">
        <v>2.65</v>
      </c>
      <c r="V235" s="22">
        <v>2.7</v>
      </c>
      <c r="W235" s="2">
        <v>2.75</v>
      </c>
      <c r="X235" s="22">
        <v>2.8</v>
      </c>
      <c r="Y235" s="2">
        <v>2.85</v>
      </c>
      <c r="Z235" s="22">
        <v>2.9</v>
      </c>
      <c r="AA235" s="2">
        <v>2.95</v>
      </c>
      <c r="AB235" s="22">
        <v>3</v>
      </c>
      <c r="AC235" s="2">
        <v>3.05</v>
      </c>
      <c r="AD235" s="22">
        <v>3.1</v>
      </c>
      <c r="AE235" s="2">
        <v>3.15</v>
      </c>
      <c r="AF235" s="22">
        <v>3.2</v>
      </c>
      <c r="AG235" s="2">
        <v>3.25</v>
      </c>
      <c r="AH235" s="22">
        <v>3.3</v>
      </c>
      <c r="AI235" s="2">
        <v>3.35</v>
      </c>
      <c r="AJ235" s="22">
        <v>3.4</v>
      </c>
      <c r="AK235" s="2">
        <v>3.45</v>
      </c>
      <c r="AL235" s="22">
        <v>3.5</v>
      </c>
      <c r="AM235" s="2">
        <v>3.55</v>
      </c>
      <c r="AN235" s="22">
        <v>3.6</v>
      </c>
      <c r="AO235" s="2">
        <v>3.65</v>
      </c>
      <c r="AP235" s="22">
        <v>3.7</v>
      </c>
      <c r="AQ235" s="2">
        <v>3.75</v>
      </c>
      <c r="AR235" s="22">
        <v>3.8</v>
      </c>
    </row>
    <row r="236" spans="3:44" x14ac:dyDescent="0.25">
      <c r="C236" s="1" t="s">
        <v>2</v>
      </c>
      <c r="D236" s="3">
        <v>20.436052</v>
      </c>
      <c r="E236" s="3">
        <v>20.406493999999999</v>
      </c>
      <c r="F236" s="3">
        <v>20.406811000000001</v>
      </c>
      <c r="G236" s="3">
        <v>20.405836000000001</v>
      </c>
      <c r="H236" s="22">
        <v>18.418517999999999</v>
      </c>
      <c r="I236" s="3">
        <v>18.199248999999998</v>
      </c>
      <c r="J236" s="22">
        <v>17.675602999999999</v>
      </c>
      <c r="K236" s="3">
        <v>17.462430000000001</v>
      </c>
      <c r="L236" s="22">
        <v>16.957153999999999</v>
      </c>
      <c r="M236" s="3">
        <v>16.664731</v>
      </c>
      <c r="N236" s="22">
        <v>16.207628</v>
      </c>
      <c r="O236" s="3">
        <v>15.969585</v>
      </c>
      <c r="P236" s="22">
        <v>15.712241000000001</v>
      </c>
      <c r="Q236" s="3">
        <v>15.267192</v>
      </c>
      <c r="R236" s="22">
        <v>15.057095</v>
      </c>
      <c r="S236" s="3">
        <v>14.842093</v>
      </c>
      <c r="T236" s="22">
        <v>14.631021</v>
      </c>
      <c r="U236" s="3">
        <v>14.190194</v>
      </c>
      <c r="V236" s="22">
        <v>13.985049999999999</v>
      </c>
      <c r="W236" s="3">
        <v>13.794653</v>
      </c>
      <c r="X236" s="22">
        <v>13.606403</v>
      </c>
      <c r="Y236" s="3">
        <v>13.415651</v>
      </c>
      <c r="Z236" s="22">
        <v>13.061404</v>
      </c>
      <c r="AA236" s="3">
        <v>12.888170000000001</v>
      </c>
      <c r="AB236" s="22">
        <v>12.712617</v>
      </c>
      <c r="AC236" s="3">
        <v>12.557746</v>
      </c>
      <c r="AD236" s="22">
        <v>12.382485000000001</v>
      </c>
      <c r="AE236" s="3">
        <v>12.233978</v>
      </c>
      <c r="AF236" s="22">
        <v>11.932067999999999</v>
      </c>
      <c r="AG236" s="3">
        <v>11.777003000000001</v>
      </c>
      <c r="AH236" s="22">
        <v>11.630013</v>
      </c>
      <c r="AI236" s="3">
        <v>11.490671000000001</v>
      </c>
      <c r="AJ236" s="22">
        <v>11.358893999999999</v>
      </c>
      <c r="AK236" s="3">
        <v>11.234626</v>
      </c>
      <c r="AL236" s="22">
        <v>11.092025</v>
      </c>
      <c r="AM236" s="3">
        <v>10.980316</v>
      </c>
      <c r="AN236" s="22">
        <v>10.848445999999999</v>
      </c>
      <c r="AO236" s="3">
        <v>10.734448</v>
      </c>
      <c r="AP236" s="22">
        <v>10.620417</v>
      </c>
      <c r="AQ236" s="3">
        <v>10.507733999999999</v>
      </c>
      <c r="AR236" s="22">
        <v>10.415995000000001</v>
      </c>
    </row>
    <row r="237" spans="3:44" x14ac:dyDescent="0.25">
      <c r="C237" s="1"/>
      <c r="D237" s="3">
        <v>20.124444</v>
      </c>
      <c r="E237" s="3">
        <v>20.154710000000001</v>
      </c>
      <c r="F237" s="3">
        <v>20.164048000000001</v>
      </c>
      <c r="G237" s="3">
        <v>20.152259999999998</v>
      </c>
      <c r="H237" s="22">
        <v>18.237295</v>
      </c>
      <c r="I237" s="3">
        <v>17.990064</v>
      </c>
      <c r="J237" s="22">
        <v>17.511327000000001</v>
      </c>
      <c r="K237" s="3">
        <v>17.254080999999999</v>
      </c>
      <c r="L237" s="22">
        <v>16.773472000000002</v>
      </c>
      <c r="M237" s="3">
        <v>16.521301000000001</v>
      </c>
      <c r="N237" s="22">
        <v>16.057921</v>
      </c>
      <c r="O237" s="3">
        <v>15.804012999999999</v>
      </c>
      <c r="P237" s="22">
        <v>15.585464999999999</v>
      </c>
      <c r="Q237" s="3">
        <v>15.147448000000001</v>
      </c>
      <c r="R237" s="22">
        <v>14.908319000000001</v>
      </c>
      <c r="S237" s="3">
        <v>14.695638000000001</v>
      </c>
      <c r="T237" s="22">
        <v>14.47892</v>
      </c>
      <c r="U237" s="3">
        <v>14.057449999999999</v>
      </c>
      <c r="V237" s="22">
        <v>13.860825999999999</v>
      </c>
      <c r="W237" s="3">
        <v>13.658165</v>
      </c>
      <c r="X237" s="22">
        <v>13.464617000000001</v>
      </c>
      <c r="Y237" s="3">
        <v>13.276541</v>
      </c>
      <c r="Z237" s="22">
        <v>12.932575</v>
      </c>
      <c r="AA237" s="3">
        <v>13.055103000000001</v>
      </c>
      <c r="AB237" s="22">
        <v>12.884022</v>
      </c>
      <c r="AC237" s="3">
        <v>12.727629</v>
      </c>
      <c r="AD237" s="22">
        <v>12.550734</v>
      </c>
      <c r="AE237" s="3">
        <v>12.239882</v>
      </c>
      <c r="AF237" s="22">
        <v>12.090482</v>
      </c>
      <c r="AG237" s="3">
        <v>11.942193</v>
      </c>
      <c r="AH237" s="22">
        <v>11.785371</v>
      </c>
      <c r="AI237" s="3">
        <v>11.65884</v>
      </c>
      <c r="AJ237" s="22">
        <v>11.506745</v>
      </c>
      <c r="AK237" s="3">
        <v>11.371055999999999</v>
      </c>
      <c r="AL237" s="22">
        <v>11.247726</v>
      </c>
      <c r="AM237" s="3">
        <v>11.115195999999999</v>
      </c>
      <c r="AN237" s="22">
        <v>10.986419</v>
      </c>
      <c r="AO237" s="3">
        <v>10.869583</v>
      </c>
      <c r="AP237" s="22">
        <v>10.752996</v>
      </c>
      <c r="AQ237" s="3">
        <v>10.632676</v>
      </c>
      <c r="AR237" s="22">
        <v>10.542006000000001</v>
      </c>
    </row>
    <row r="238" spans="3:44" x14ac:dyDescent="0.25">
      <c r="C238" s="1"/>
      <c r="D238" s="3">
        <v>20.754014999999999</v>
      </c>
      <c r="E238" s="3">
        <v>20.716457999999999</v>
      </c>
      <c r="F238" s="3">
        <v>20.732756999999999</v>
      </c>
      <c r="G238" s="3">
        <v>20.741826</v>
      </c>
      <c r="H238" s="22">
        <v>20.70523</v>
      </c>
      <c r="I238" s="3">
        <v>18.519833999999999</v>
      </c>
      <c r="J238" s="22">
        <v>18.013414000000001</v>
      </c>
      <c r="K238" s="3">
        <v>17.742936</v>
      </c>
      <c r="L238" s="22">
        <v>17.256429000000001</v>
      </c>
      <c r="M238" s="3">
        <v>16.990537</v>
      </c>
      <c r="N238" s="22">
        <v>16.740299</v>
      </c>
      <c r="O238" s="3">
        <v>16.246914</v>
      </c>
      <c r="P238" s="22">
        <v>16.016490999999998</v>
      </c>
      <c r="Q238" s="3">
        <v>15.750787000000001</v>
      </c>
      <c r="R238" s="22">
        <v>15.648198000000001</v>
      </c>
      <c r="S238" s="3">
        <v>15.455615</v>
      </c>
      <c r="T238" s="22">
        <v>15.229327</v>
      </c>
      <c r="U238" s="3">
        <v>15.025413</v>
      </c>
      <c r="V238" s="22">
        <v>14.569501000000001</v>
      </c>
      <c r="W238" s="3">
        <v>14.37811</v>
      </c>
      <c r="X238" s="22">
        <v>14.170634</v>
      </c>
      <c r="Y238" s="3">
        <v>13.950835</v>
      </c>
      <c r="Z238" s="22">
        <v>13.613405</v>
      </c>
      <c r="AA238" s="3">
        <v>13.401546</v>
      </c>
      <c r="AB238" s="22">
        <v>13.222405999999999</v>
      </c>
      <c r="AC238" s="3">
        <v>13.062321000000001</v>
      </c>
      <c r="AD238" s="22">
        <v>12.883292000000001</v>
      </c>
      <c r="AE238" s="3">
        <v>12.733181</v>
      </c>
      <c r="AF238" s="22">
        <v>12.403309</v>
      </c>
      <c r="AG238" s="3">
        <v>12.251042999999999</v>
      </c>
      <c r="AH238" s="22">
        <v>12.104609</v>
      </c>
      <c r="AI238" s="3">
        <v>11.956212000000001</v>
      </c>
      <c r="AJ238" s="22">
        <v>11.818166</v>
      </c>
      <c r="AK238" s="3">
        <v>11.660067</v>
      </c>
      <c r="AL238" s="22">
        <v>11.52491</v>
      </c>
      <c r="AM238" s="3">
        <v>11.415585</v>
      </c>
      <c r="AN238" s="22">
        <v>11.265112999999999</v>
      </c>
      <c r="AO238" s="3">
        <v>11.153618</v>
      </c>
      <c r="AP238" s="22">
        <v>11.033891000000001</v>
      </c>
      <c r="AQ238" s="3">
        <v>10.926035000000001</v>
      </c>
      <c r="AR238" s="22">
        <v>10.824546</v>
      </c>
    </row>
    <row r="239" spans="3:44" x14ac:dyDescent="0.25">
      <c r="C239" s="1" t="s">
        <v>3</v>
      </c>
      <c r="D239" s="1">
        <f>AVERAGE(D236:D238)</f>
        <v>20.438170333333332</v>
      </c>
      <c r="E239" s="1">
        <f t="shared" ref="E239" si="241">AVERAGE(E236:E238)</f>
        <v>20.425887333333336</v>
      </c>
      <c r="F239" s="1">
        <f t="shared" ref="F239" si="242">AVERAGE(F236:F238)</f>
        <v>20.434538666666665</v>
      </c>
      <c r="G239" s="1">
        <f t="shared" ref="G239" si="243">AVERAGE(G236:G238)</f>
        <v>20.433307333333332</v>
      </c>
      <c r="H239" s="23">
        <f t="shared" ref="H239" si="244">AVERAGE(H236:H238)</f>
        <v>19.120347666666664</v>
      </c>
      <c r="I239" s="1">
        <f t="shared" ref="I239" si="245">AVERAGE(I236:I238)</f>
        <v>18.236382333333335</v>
      </c>
      <c r="J239" s="23">
        <f t="shared" ref="J239" si="246">AVERAGE(J236:J238)</f>
        <v>17.733447999999999</v>
      </c>
      <c r="K239" s="1">
        <f t="shared" ref="K239" si="247">AVERAGE(K236:K238)</f>
        <v>17.486482333333331</v>
      </c>
      <c r="L239" s="23">
        <f t="shared" ref="L239" si="248">AVERAGE(L236:L238)</f>
        <v>16.995684999999998</v>
      </c>
      <c r="M239" s="1">
        <f t="shared" ref="M239" si="249">AVERAGE(M236:M238)</f>
        <v>16.725522999999999</v>
      </c>
      <c r="N239" s="23">
        <f t="shared" ref="N239" si="250">AVERAGE(N236:N238)</f>
        <v>16.335282666666668</v>
      </c>
      <c r="O239" s="1">
        <f t="shared" ref="O239" si="251">AVERAGE(O236:O238)</f>
        <v>16.006837333333333</v>
      </c>
      <c r="P239" s="23">
        <f t="shared" ref="P239" si="252">AVERAGE(P236:P238)</f>
        <v>15.771398999999997</v>
      </c>
      <c r="Q239" s="1">
        <f t="shared" ref="Q239" si="253">AVERAGE(Q236:Q238)</f>
        <v>15.388475666666666</v>
      </c>
      <c r="R239" s="23">
        <f t="shared" ref="R239" si="254">AVERAGE(R236:R238)</f>
        <v>15.204537333333334</v>
      </c>
      <c r="S239" s="1">
        <f t="shared" ref="S239" si="255">AVERAGE(S236:S238)</f>
        <v>14.997782000000001</v>
      </c>
      <c r="T239" s="23">
        <f t="shared" ref="T239" si="256">AVERAGE(T236:T238)</f>
        <v>14.779755999999999</v>
      </c>
      <c r="U239" s="1">
        <f t="shared" ref="U239" si="257">AVERAGE(U236:U238)</f>
        <v>14.424352333333333</v>
      </c>
      <c r="V239" s="23">
        <f t="shared" ref="V239" si="258">AVERAGE(V236:V238)</f>
        <v>14.138458999999999</v>
      </c>
      <c r="W239" s="1">
        <f t="shared" ref="W239" si="259">AVERAGE(W236:W238)</f>
        <v>13.943642666666667</v>
      </c>
      <c r="X239" s="23">
        <f t="shared" ref="X239" si="260">AVERAGE(X236:X238)</f>
        <v>13.747217999999998</v>
      </c>
      <c r="Y239" s="1">
        <f t="shared" ref="Y239" si="261">AVERAGE(Y236:Y238)</f>
        <v>13.547675666666665</v>
      </c>
      <c r="Z239" s="23">
        <f t="shared" ref="Z239" si="262">AVERAGE(Z236:Z238)</f>
        <v>13.202461333333332</v>
      </c>
      <c r="AA239" s="1">
        <f t="shared" ref="AA239" si="263">AVERAGE(AA236:AA238)</f>
        <v>13.114939666666666</v>
      </c>
      <c r="AB239" s="23">
        <f t="shared" ref="AB239" si="264">AVERAGE(AB236:AB238)</f>
        <v>12.939681666666667</v>
      </c>
      <c r="AC239" s="1">
        <f t="shared" ref="AC239" si="265">AVERAGE(AC236:AC238)</f>
        <v>12.782565333333332</v>
      </c>
      <c r="AD239" s="23">
        <f t="shared" ref="AD239" si="266">AVERAGE(AD236:AD238)</f>
        <v>12.605503666666669</v>
      </c>
      <c r="AE239" s="1">
        <f t="shared" ref="AE239" si="267">AVERAGE(AE236:AE238)</f>
        <v>12.402347000000001</v>
      </c>
      <c r="AF239" s="23">
        <f t="shared" ref="AF239" si="268">AVERAGE(AF236:AF238)</f>
        <v>12.141953000000001</v>
      </c>
      <c r="AG239" s="1">
        <f t="shared" ref="AG239" si="269">AVERAGE(AG236:AG238)</f>
        <v>11.990079666666666</v>
      </c>
      <c r="AH239" s="23">
        <f t="shared" ref="AH239" si="270">AVERAGE(AH236:AH238)</f>
        <v>11.839997666666667</v>
      </c>
      <c r="AI239" s="1">
        <f t="shared" ref="AI239" si="271">AVERAGE(AI236:AI238)</f>
        <v>11.701907666666665</v>
      </c>
      <c r="AJ239" s="23">
        <f t="shared" ref="AJ239" si="272">AVERAGE(AJ236:AJ238)</f>
        <v>11.561268333333333</v>
      </c>
      <c r="AK239" s="1">
        <f t="shared" ref="AK239" si="273">AVERAGE(AK236:AK238)</f>
        <v>11.421916333333334</v>
      </c>
      <c r="AL239" s="23">
        <f t="shared" ref="AL239" si="274">AVERAGE(AL236:AL238)</f>
        <v>11.288220333333333</v>
      </c>
      <c r="AM239" s="1">
        <f t="shared" ref="AM239" si="275">AVERAGE(AM236:AM238)</f>
        <v>11.170365666666667</v>
      </c>
      <c r="AN239" s="23">
        <f t="shared" ref="AN239" si="276">AVERAGE(AN236:AN238)</f>
        <v>11.033326000000001</v>
      </c>
      <c r="AO239" s="1">
        <f t="shared" ref="AO239" si="277">AVERAGE(AO236:AO238)</f>
        <v>10.919216333333333</v>
      </c>
      <c r="AP239" s="23">
        <f t="shared" ref="AP239" si="278">AVERAGE(AP236:AP238)</f>
        <v>10.802434666666665</v>
      </c>
      <c r="AQ239" s="1">
        <f t="shared" ref="AQ239" si="279">AVERAGE(AQ236:AQ238)</f>
        <v>10.688815</v>
      </c>
      <c r="AR239" s="23">
        <f t="shared" ref="AR239" si="280">AVERAGE(AR236:AR238)</f>
        <v>10.594182333333334</v>
      </c>
    </row>
    <row r="265" spans="3:44" x14ac:dyDescent="0.25">
      <c r="C265" s="10" t="s">
        <v>4</v>
      </c>
      <c r="D265" s="10">
        <v>6</v>
      </c>
      <c r="E265" s="10"/>
      <c r="F265" s="10"/>
      <c r="G265" s="10"/>
      <c r="I265" s="10"/>
      <c r="K265" s="10"/>
      <c r="M265" s="10"/>
      <c r="O265" s="10"/>
      <c r="Q265" s="10"/>
      <c r="S265" s="10"/>
      <c r="U265" s="10"/>
      <c r="W265" s="10"/>
      <c r="Y265" s="10"/>
      <c r="AA265" s="10"/>
      <c r="AC265" s="10"/>
      <c r="AE265" s="10"/>
      <c r="AG265" s="10"/>
      <c r="AI265" s="10"/>
      <c r="AK265" s="10"/>
      <c r="AM265" s="10"/>
      <c r="AO265" s="10"/>
      <c r="AQ265" s="10"/>
    </row>
    <row r="266" spans="3:44" x14ac:dyDescent="0.25">
      <c r="C266" s="1" t="s">
        <v>1</v>
      </c>
      <c r="D266" s="1">
        <v>1.8</v>
      </c>
      <c r="E266" s="2">
        <v>1.85</v>
      </c>
      <c r="F266" s="2">
        <v>1.9</v>
      </c>
      <c r="G266" s="2">
        <v>1.95</v>
      </c>
      <c r="H266" s="22">
        <v>2</v>
      </c>
      <c r="I266" s="2">
        <v>2.0499999999999998</v>
      </c>
      <c r="J266" s="22">
        <v>2.1</v>
      </c>
      <c r="K266" s="2">
        <v>2.15</v>
      </c>
      <c r="L266" s="22">
        <v>2.2000000000000002</v>
      </c>
      <c r="M266" s="2">
        <v>2.25</v>
      </c>
      <c r="N266" s="22">
        <v>2.2999999999999998</v>
      </c>
      <c r="O266" s="2">
        <v>2.35</v>
      </c>
      <c r="P266" s="22">
        <v>2.4</v>
      </c>
      <c r="Q266" s="2">
        <v>2.4500000000000002</v>
      </c>
      <c r="R266" s="22">
        <v>2.5</v>
      </c>
      <c r="S266" s="2">
        <v>2.5499999999999998</v>
      </c>
      <c r="T266" s="22">
        <v>2.6</v>
      </c>
      <c r="U266" s="2">
        <v>2.65</v>
      </c>
      <c r="V266" s="22">
        <v>2.7</v>
      </c>
      <c r="W266" s="2">
        <v>2.75</v>
      </c>
      <c r="X266" s="22">
        <v>2.8</v>
      </c>
      <c r="Y266" s="2">
        <v>2.85</v>
      </c>
      <c r="Z266" s="22">
        <v>2.9</v>
      </c>
      <c r="AA266" s="2">
        <v>2.95</v>
      </c>
      <c r="AB266" s="22">
        <v>3</v>
      </c>
      <c r="AC266" s="2">
        <v>3.05</v>
      </c>
      <c r="AD266" s="22">
        <v>3.1</v>
      </c>
      <c r="AE266" s="2">
        <v>3.15</v>
      </c>
      <c r="AF266" s="22">
        <v>3.2</v>
      </c>
      <c r="AG266" s="2">
        <v>3.25</v>
      </c>
      <c r="AH266" s="22">
        <v>3.3</v>
      </c>
      <c r="AI266" s="2">
        <v>3.35</v>
      </c>
      <c r="AJ266" s="22">
        <v>3.4</v>
      </c>
      <c r="AK266" s="2">
        <v>3.45</v>
      </c>
      <c r="AL266" s="22">
        <v>3.5</v>
      </c>
      <c r="AM266" s="2">
        <v>3.55</v>
      </c>
      <c r="AN266" s="22">
        <v>3.6</v>
      </c>
      <c r="AO266" s="2">
        <v>3.65</v>
      </c>
      <c r="AP266" s="22">
        <v>3.7</v>
      </c>
      <c r="AQ266" s="2">
        <v>3.75</v>
      </c>
      <c r="AR266" s="22">
        <v>3.8</v>
      </c>
    </row>
    <row r="267" spans="3:44" x14ac:dyDescent="0.25">
      <c r="C267" s="1" t="s">
        <v>2</v>
      </c>
      <c r="D267" s="3">
        <v>18.861302999999999</v>
      </c>
      <c r="E267" s="3">
        <v>18.845825000000001</v>
      </c>
      <c r="F267" s="3">
        <v>18.867004000000001</v>
      </c>
      <c r="G267" s="3">
        <v>18.849352</v>
      </c>
      <c r="H267" s="22">
        <v>18.834029999999998</v>
      </c>
      <c r="I267" s="3">
        <v>16.817305000000001</v>
      </c>
      <c r="J267" s="22">
        <v>16.326906999999999</v>
      </c>
      <c r="K267" s="3">
        <v>16.114965999999999</v>
      </c>
      <c r="L267" s="22">
        <v>15.652725</v>
      </c>
      <c r="M267" s="3">
        <v>15.401175</v>
      </c>
      <c r="N267" s="22">
        <v>14.966850000000001</v>
      </c>
      <c r="O267" s="3">
        <v>14.748823</v>
      </c>
      <c r="P267" s="22">
        <v>14.517265</v>
      </c>
      <c r="Q267" s="3">
        <v>14.09807</v>
      </c>
      <c r="R267" s="22">
        <v>13.91513</v>
      </c>
      <c r="S267" s="3">
        <v>13.706576999999999</v>
      </c>
      <c r="T267" s="22">
        <v>13.516261</v>
      </c>
      <c r="U267" s="3">
        <v>13.118516</v>
      </c>
      <c r="V267" s="22">
        <v>12.914612999999999</v>
      </c>
      <c r="W267" s="3">
        <v>12.747429</v>
      </c>
      <c r="X267" s="22">
        <v>12.571014999999999</v>
      </c>
      <c r="Y267" s="3">
        <v>12.395562</v>
      </c>
      <c r="Z267" s="22">
        <v>12.066139</v>
      </c>
      <c r="AA267" s="3">
        <v>11.911593</v>
      </c>
      <c r="AB267" s="22">
        <v>11.751261</v>
      </c>
      <c r="AC267" s="3">
        <v>11.597281000000001</v>
      </c>
      <c r="AD267" s="22">
        <v>11.446049</v>
      </c>
      <c r="AE267" s="3">
        <v>11.306129</v>
      </c>
      <c r="AF267" s="22">
        <v>11.018246</v>
      </c>
      <c r="AG267" s="3">
        <v>10.878484</v>
      </c>
      <c r="AH267" s="22">
        <v>10.742558000000001</v>
      </c>
      <c r="AI267" s="3">
        <v>10.618093</v>
      </c>
      <c r="AJ267" s="22">
        <v>10.495027</v>
      </c>
      <c r="AK267" s="3">
        <v>10.384231</v>
      </c>
      <c r="AL267" s="22">
        <v>10.249553000000001</v>
      </c>
      <c r="AM267" s="3">
        <v>10.140075</v>
      </c>
      <c r="AN267" s="22">
        <v>10.0284</v>
      </c>
      <c r="AO267" s="3">
        <v>9.9189039999999995</v>
      </c>
      <c r="AP267" s="22">
        <v>9.8192059999999994</v>
      </c>
      <c r="AQ267" s="3">
        <v>9.7197420000000001</v>
      </c>
      <c r="AR267" s="22">
        <v>9.6261559999999999</v>
      </c>
    </row>
    <row r="268" spans="3:44" x14ac:dyDescent="0.25">
      <c r="C268" s="1"/>
      <c r="D268" s="3">
        <v>18.695827000000001</v>
      </c>
      <c r="E268" s="3">
        <v>18.706009000000002</v>
      </c>
      <c r="F268" s="3">
        <v>18.697071999999999</v>
      </c>
      <c r="G268" s="3">
        <v>18.707453000000001</v>
      </c>
      <c r="H268" s="22">
        <v>16.941196999999999</v>
      </c>
      <c r="I268" s="3">
        <v>16.694188</v>
      </c>
      <c r="J268" s="22">
        <v>16.242341</v>
      </c>
      <c r="K268" s="3">
        <v>16.026309999999999</v>
      </c>
      <c r="L268" s="22">
        <v>15.578917000000001</v>
      </c>
      <c r="M268" s="3">
        <v>15.338474</v>
      </c>
      <c r="N268" s="22">
        <v>14.898702</v>
      </c>
      <c r="O268" s="3">
        <v>14.669859000000001</v>
      </c>
      <c r="P268" s="22">
        <v>14.462813000000001</v>
      </c>
      <c r="Q268" s="3">
        <v>14.030581</v>
      </c>
      <c r="R268" s="22">
        <v>13.839124999999999</v>
      </c>
      <c r="S268" s="3">
        <v>13.644926</v>
      </c>
      <c r="T268" s="22">
        <v>13.44162</v>
      </c>
      <c r="U268" s="3">
        <v>13.068963</v>
      </c>
      <c r="V268" s="22">
        <v>12.874981999999999</v>
      </c>
      <c r="W268" s="3">
        <v>12.678998</v>
      </c>
      <c r="X268" s="22">
        <v>12.506826999999999</v>
      </c>
      <c r="Y268" s="3">
        <v>12.324325999999999</v>
      </c>
      <c r="Z268" s="22">
        <v>12.017286</v>
      </c>
      <c r="AA268" s="3">
        <v>11.855893</v>
      </c>
      <c r="AB268" s="22">
        <v>12.009883</v>
      </c>
      <c r="AC268" s="3">
        <v>11.865454</v>
      </c>
      <c r="AD268" s="22">
        <v>11.702277</v>
      </c>
      <c r="AE268" s="3">
        <v>11.414384</v>
      </c>
      <c r="AF268" s="22">
        <v>11.263733</v>
      </c>
      <c r="AG268" s="3">
        <v>11.129085</v>
      </c>
      <c r="AH268" s="22">
        <v>10.988410999999999</v>
      </c>
      <c r="AI268" s="3">
        <v>10.868651</v>
      </c>
      <c r="AJ268" s="22">
        <v>10.723293999999999</v>
      </c>
      <c r="AK268" s="3">
        <v>10.602236</v>
      </c>
      <c r="AL268" s="22">
        <v>10.479352</v>
      </c>
      <c r="AM268" s="3">
        <v>10.353438000000001</v>
      </c>
      <c r="AN268" s="22">
        <v>10.247419000000001</v>
      </c>
      <c r="AO268" s="3">
        <v>10.137494</v>
      </c>
      <c r="AP268" s="22">
        <v>10.032197</v>
      </c>
      <c r="AQ268" s="3">
        <v>9.9194790000000008</v>
      </c>
      <c r="AR268" s="22">
        <v>9.8284260000000003</v>
      </c>
    </row>
    <row r="269" spans="3:44" x14ac:dyDescent="0.25">
      <c r="C269" s="1"/>
      <c r="D269" s="3">
        <v>19.195786999999999</v>
      </c>
      <c r="E269" s="3">
        <v>19.135013000000001</v>
      </c>
      <c r="F269" s="3">
        <v>19.159395</v>
      </c>
      <c r="G269" s="3">
        <v>19.177745999999999</v>
      </c>
      <c r="H269" s="22">
        <v>19.155763</v>
      </c>
      <c r="I269" s="3">
        <v>17.126840000000001</v>
      </c>
      <c r="J269" s="22">
        <v>16.647472</v>
      </c>
      <c r="K269" s="3">
        <v>16.423027000000001</v>
      </c>
      <c r="L269" s="22">
        <v>15.959866999999999</v>
      </c>
      <c r="M269" s="3">
        <v>15.713120999999999</v>
      </c>
      <c r="N269" s="22">
        <v>15.494173999999999</v>
      </c>
      <c r="O269" s="3">
        <v>15.034865999999999</v>
      </c>
      <c r="P269" s="22">
        <v>14.814358</v>
      </c>
      <c r="Q269" s="3">
        <v>14.566091</v>
      </c>
      <c r="R269" s="22">
        <v>14.553936</v>
      </c>
      <c r="S269" s="3">
        <v>14.371665</v>
      </c>
      <c r="T269" s="22">
        <v>14.161814</v>
      </c>
      <c r="U269" s="3">
        <v>13.757949</v>
      </c>
      <c r="V269" s="22">
        <v>13.550048</v>
      </c>
      <c r="W269" s="3">
        <v>13.36379</v>
      </c>
      <c r="X269" s="22">
        <v>13.178069000000001</v>
      </c>
      <c r="Y269" s="3">
        <v>12.967438</v>
      </c>
      <c r="Z269" s="22">
        <v>12.651365</v>
      </c>
      <c r="AA269" s="3">
        <v>12.443403999999999</v>
      </c>
      <c r="AB269" s="22">
        <v>12.291867999999999</v>
      </c>
      <c r="AC269" s="3">
        <v>12.126457</v>
      </c>
      <c r="AD269" s="22">
        <v>11.970421</v>
      </c>
      <c r="AE269" s="3">
        <v>11.833432999999999</v>
      </c>
      <c r="AF269" s="22">
        <v>11.524473</v>
      </c>
      <c r="AG269" s="3">
        <v>11.384734999999999</v>
      </c>
      <c r="AH269" s="22">
        <v>11.254047999999999</v>
      </c>
      <c r="AI269" s="3">
        <v>11.118309</v>
      </c>
      <c r="AJ269" s="22">
        <v>10.990416</v>
      </c>
      <c r="AK269" s="3">
        <v>10.852023000000001</v>
      </c>
      <c r="AL269" s="22">
        <v>10.721417000000001</v>
      </c>
      <c r="AM269" s="3">
        <v>10.610443999999999</v>
      </c>
      <c r="AN269" s="22">
        <v>10.475146000000001</v>
      </c>
      <c r="AO269" s="3">
        <v>10.373772000000001</v>
      </c>
      <c r="AP269" s="22">
        <v>10.257783</v>
      </c>
      <c r="AQ269" s="3">
        <v>10.168310999999999</v>
      </c>
      <c r="AR269" s="22">
        <v>10.071020000000001</v>
      </c>
    </row>
    <row r="270" spans="3:44" x14ac:dyDescent="0.25">
      <c r="C270" s="1" t="s">
        <v>3</v>
      </c>
      <c r="D270" s="1">
        <f>AVERAGE(D267:D269)</f>
        <v>18.917638999999998</v>
      </c>
      <c r="E270" s="1">
        <f t="shared" ref="E270" si="281">AVERAGE(E267:E269)</f>
        <v>18.895615666666668</v>
      </c>
      <c r="F270" s="1">
        <f t="shared" ref="F270" si="282">AVERAGE(F267:F269)</f>
        <v>18.907823666666669</v>
      </c>
      <c r="G270" s="1">
        <f t="shared" ref="G270" si="283">AVERAGE(G267:G269)</f>
        <v>18.911517</v>
      </c>
      <c r="H270" s="23">
        <f t="shared" ref="H270" si="284">AVERAGE(H267:H269)</f>
        <v>18.31033</v>
      </c>
      <c r="I270" s="1">
        <f t="shared" ref="I270" si="285">AVERAGE(I267:I269)</f>
        <v>16.879444333333335</v>
      </c>
      <c r="J270" s="23">
        <f t="shared" ref="J270" si="286">AVERAGE(J267:J269)</f>
        <v>16.405573333333333</v>
      </c>
      <c r="K270" s="1">
        <f t="shared" ref="K270" si="287">AVERAGE(K267:K269)</f>
        <v>16.188101</v>
      </c>
      <c r="L270" s="23">
        <f t="shared" ref="L270" si="288">AVERAGE(L267:L269)</f>
        <v>15.730502999999999</v>
      </c>
      <c r="M270" s="1">
        <f t="shared" ref="M270" si="289">AVERAGE(M267:M269)</f>
        <v>15.484256666666667</v>
      </c>
      <c r="N270" s="23">
        <f t="shared" ref="N270" si="290">AVERAGE(N267:N269)</f>
        <v>15.119908666666667</v>
      </c>
      <c r="O270" s="1">
        <f t="shared" ref="O270" si="291">AVERAGE(O267:O269)</f>
        <v>14.817849333333333</v>
      </c>
      <c r="P270" s="23">
        <f t="shared" ref="P270" si="292">AVERAGE(P267:P269)</f>
        <v>14.598145333333333</v>
      </c>
      <c r="Q270" s="1">
        <f t="shared" ref="Q270" si="293">AVERAGE(Q267:Q269)</f>
        <v>14.231580666666666</v>
      </c>
      <c r="R270" s="23">
        <f t="shared" ref="R270" si="294">AVERAGE(R267:R269)</f>
        <v>14.102730333333334</v>
      </c>
      <c r="S270" s="1">
        <f t="shared" ref="S270" si="295">AVERAGE(S267:S269)</f>
        <v>13.907722666666666</v>
      </c>
      <c r="T270" s="23">
        <f t="shared" ref="T270" si="296">AVERAGE(T267:T269)</f>
        <v>13.706564999999999</v>
      </c>
      <c r="U270" s="1">
        <f t="shared" ref="U270" si="297">AVERAGE(U267:U269)</f>
        <v>13.315142666666667</v>
      </c>
      <c r="V270" s="23">
        <f t="shared" ref="V270" si="298">AVERAGE(V267:V269)</f>
        <v>13.113214333333332</v>
      </c>
      <c r="W270" s="1">
        <f t="shared" ref="W270" si="299">AVERAGE(W267:W269)</f>
        <v>12.930072333333333</v>
      </c>
      <c r="X270" s="23">
        <f t="shared" ref="X270" si="300">AVERAGE(X267:X269)</f>
        <v>12.751970333333333</v>
      </c>
      <c r="Y270" s="1">
        <f t="shared" ref="Y270" si="301">AVERAGE(Y267:Y269)</f>
        <v>12.562441999999999</v>
      </c>
      <c r="Z270" s="23">
        <f t="shared" ref="Z270" si="302">AVERAGE(Z267:Z269)</f>
        <v>12.244929999999998</v>
      </c>
      <c r="AA270" s="1">
        <f t="shared" ref="AA270" si="303">AVERAGE(AA267:AA269)</f>
        <v>12.070296666666666</v>
      </c>
      <c r="AB270" s="23">
        <f t="shared" ref="AB270" si="304">AVERAGE(AB267:AB269)</f>
        <v>12.017670666666668</v>
      </c>
      <c r="AC270" s="1">
        <f t="shared" ref="AC270" si="305">AVERAGE(AC267:AC269)</f>
        <v>11.863064000000001</v>
      </c>
      <c r="AD270" s="23">
        <f t="shared" ref="AD270" si="306">AVERAGE(AD267:AD269)</f>
        <v>11.706249</v>
      </c>
      <c r="AE270" s="1">
        <f t="shared" ref="AE270" si="307">AVERAGE(AE267:AE269)</f>
        <v>11.517981999999998</v>
      </c>
      <c r="AF270" s="23">
        <f t="shared" ref="AF270" si="308">AVERAGE(AF267:AF269)</f>
        <v>11.268817333333333</v>
      </c>
      <c r="AG270" s="1">
        <f t="shared" ref="AG270" si="309">AVERAGE(AG267:AG269)</f>
        <v>11.130767999999998</v>
      </c>
      <c r="AH270" s="23">
        <f t="shared" ref="AH270" si="310">AVERAGE(AH267:AH269)</f>
        <v>10.995005666666666</v>
      </c>
      <c r="AI270" s="1">
        <f t="shared" ref="AI270" si="311">AVERAGE(AI267:AI269)</f>
        <v>10.868350999999999</v>
      </c>
      <c r="AJ270" s="23">
        <f t="shared" ref="AJ270" si="312">AVERAGE(AJ267:AJ269)</f>
        <v>10.736245666666667</v>
      </c>
      <c r="AK270" s="1">
        <f t="shared" ref="AK270" si="313">AVERAGE(AK267:AK269)</f>
        <v>10.612830000000001</v>
      </c>
      <c r="AL270" s="23">
        <f t="shared" ref="AL270" si="314">AVERAGE(AL267:AL269)</f>
        <v>10.483440666666667</v>
      </c>
      <c r="AM270" s="1">
        <f t="shared" ref="AM270" si="315">AVERAGE(AM267:AM269)</f>
        <v>10.367985666666668</v>
      </c>
      <c r="AN270" s="23">
        <f t="shared" ref="AN270" si="316">AVERAGE(AN267:AN269)</f>
        <v>10.250321666666666</v>
      </c>
      <c r="AO270" s="1">
        <f t="shared" ref="AO270" si="317">AVERAGE(AO267:AO269)</f>
        <v>10.143390000000002</v>
      </c>
      <c r="AP270" s="23">
        <f t="shared" ref="AP270" si="318">AVERAGE(AP267:AP269)</f>
        <v>10.036395333333333</v>
      </c>
      <c r="AQ270" s="1">
        <f t="shared" ref="AQ270" si="319">AVERAGE(AQ267:AQ269)</f>
        <v>9.9358439999999995</v>
      </c>
      <c r="AR270" s="23">
        <f t="shared" ref="AR270" si="320">AVERAGE(AR267:AR269)</f>
        <v>9.8418673333333349</v>
      </c>
    </row>
    <row r="297" spans="3:44" x14ac:dyDescent="0.25">
      <c r="C297" s="11" t="s">
        <v>4</v>
      </c>
      <c r="D297" s="11">
        <v>5</v>
      </c>
      <c r="E297" s="11"/>
      <c r="F297" s="11"/>
      <c r="G297" s="11"/>
      <c r="I297" s="11"/>
      <c r="K297" s="11"/>
      <c r="M297" s="11"/>
      <c r="O297" s="11"/>
      <c r="Q297" s="11"/>
      <c r="S297" s="11"/>
      <c r="U297" s="11"/>
      <c r="W297" s="11"/>
      <c r="Y297" s="11"/>
      <c r="AA297" s="11"/>
      <c r="AC297" s="11"/>
      <c r="AE297" s="11"/>
      <c r="AG297" s="11"/>
      <c r="AI297" s="11"/>
      <c r="AK297" s="11"/>
      <c r="AM297" s="11"/>
      <c r="AO297" s="11"/>
      <c r="AQ297" s="11"/>
    </row>
    <row r="298" spans="3:44" x14ac:dyDescent="0.25">
      <c r="C298" s="1" t="s">
        <v>1</v>
      </c>
      <c r="D298" s="1">
        <v>1.8</v>
      </c>
      <c r="E298" s="2">
        <v>1.85</v>
      </c>
      <c r="F298" s="2">
        <v>1.9</v>
      </c>
      <c r="G298" s="2">
        <v>1.95</v>
      </c>
      <c r="H298" s="22">
        <v>2</v>
      </c>
      <c r="I298" s="2">
        <v>2.0499999999999998</v>
      </c>
      <c r="J298" s="22">
        <v>2.1</v>
      </c>
      <c r="K298" s="2">
        <v>2.15</v>
      </c>
      <c r="L298" s="22">
        <v>2.2000000000000002</v>
      </c>
      <c r="M298" s="2">
        <v>2.25</v>
      </c>
      <c r="N298" s="22">
        <v>2.2999999999999998</v>
      </c>
      <c r="O298" s="2">
        <v>2.35</v>
      </c>
      <c r="P298" s="22">
        <v>2.4</v>
      </c>
      <c r="Q298" s="2">
        <v>2.4500000000000002</v>
      </c>
      <c r="R298" s="22">
        <v>2.5</v>
      </c>
      <c r="S298" s="2">
        <v>2.5499999999999998</v>
      </c>
      <c r="T298" s="22">
        <v>2.6</v>
      </c>
      <c r="U298" s="2">
        <v>2.65</v>
      </c>
      <c r="V298" s="22">
        <v>2.7</v>
      </c>
      <c r="W298" s="2">
        <v>2.75</v>
      </c>
      <c r="X298" s="22">
        <v>2.8</v>
      </c>
      <c r="Y298" s="2">
        <v>2.85</v>
      </c>
      <c r="Z298" s="22">
        <v>2.9</v>
      </c>
      <c r="AA298" s="2">
        <v>2.95</v>
      </c>
      <c r="AB298" s="22">
        <v>3</v>
      </c>
      <c r="AC298" s="2">
        <v>3.05</v>
      </c>
      <c r="AD298" s="22">
        <v>3.1</v>
      </c>
      <c r="AE298" s="2">
        <v>3.15</v>
      </c>
      <c r="AF298" s="22">
        <v>3.2</v>
      </c>
      <c r="AG298" s="2">
        <v>3.25</v>
      </c>
      <c r="AH298" s="22">
        <v>3.3</v>
      </c>
      <c r="AI298" s="2">
        <v>3.35</v>
      </c>
      <c r="AJ298" s="22">
        <v>3.4</v>
      </c>
      <c r="AK298" s="2">
        <v>3.45</v>
      </c>
      <c r="AL298" s="22">
        <v>3.5</v>
      </c>
      <c r="AM298" s="2">
        <v>3.55</v>
      </c>
      <c r="AN298" s="22">
        <v>3.6</v>
      </c>
      <c r="AO298" s="2">
        <v>3.65</v>
      </c>
      <c r="AP298" s="22">
        <v>3.7</v>
      </c>
      <c r="AQ298" s="2">
        <v>3.75</v>
      </c>
      <c r="AR298" s="22">
        <v>3.8</v>
      </c>
    </row>
    <row r="299" spans="3:44" x14ac:dyDescent="0.25">
      <c r="C299" s="1" t="s">
        <v>2</v>
      </c>
      <c r="D299" s="3">
        <v>17.060784999999999</v>
      </c>
      <c r="E299" s="3">
        <v>17.026592999999998</v>
      </c>
      <c r="F299" s="3">
        <v>17.06551</v>
      </c>
      <c r="G299" s="3">
        <v>17.063072999999999</v>
      </c>
      <c r="H299" s="22">
        <v>15.377955999999999</v>
      </c>
      <c r="I299" s="3">
        <v>15.218019</v>
      </c>
      <c r="J299" s="22">
        <v>14.761148</v>
      </c>
      <c r="K299" s="3">
        <v>14.576821000000001</v>
      </c>
      <c r="L299" s="22">
        <v>14.164778999999999</v>
      </c>
      <c r="M299" s="3">
        <v>13.937644000000001</v>
      </c>
      <c r="N299" s="22">
        <v>13.551094000000001</v>
      </c>
      <c r="O299" s="3">
        <v>13.339677</v>
      </c>
      <c r="P299" s="22">
        <v>13.140186999999999</v>
      </c>
      <c r="Q299" s="3">
        <v>12.745454000000001</v>
      </c>
      <c r="R299" s="22">
        <v>12.586411999999999</v>
      </c>
      <c r="S299" s="3">
        <v>12.402331</v>
      </c>
      <c r="T299" s="22">
        <v>12.228121</v>
      </c>
      <c r="U299" s="3">
        <v>11.872235</v>
      </c>
      <c r="V299" s="22">
        <v>11.694112000000001</v>
      </c>
      <c r="W299" s="3">
        <v>11.526802</v>
      </c>
      <c r="X299" s="22">
        <v>11.381785000000001</v>
      </c>
      <c r="Y299" s="3">
        <v>11.216869000000001</v>
      </c>
      <c r="Z299" s="22">
        <v>10.913219</v>
      </c>
      <c r="AA299" s="3">
        <v>10.781229</v>
      </c>
      <c r="AB299" s="22">
        <v>10.632604000000001</v>
      </c>
      <c r="AC299" s="3">
        <v>10.499318000000001</v>
      </c>
      <c r="AD299" s="22">
        <v>10.361355</v>
      </c>
      <c r="AE299" s="3">
        <v>10.227962</v>
      </c>
      <c r="AF299" s="22">
        <v>9.9777740000000001</v>
      </c>
      <c r="AG299" s="3">
        <v>9.8501569999999994</v>
      </c>
      <c r="AH299" s="22">
        <v>9.7258399999999998</v>
      </c>
      <c r="AI299" s="3">
        <v>9.6197420000000005</v>
      </c>
      <c r="AJ299" s="22">
        <v>9.4989539999999995</v>
      </c>
      <c r="AK299" s="3">
        <v>9.3975419999999996</v>
      </c>
      <c r="AL299" s="22">
        <v>9.2772220000000001</v>
      </c>
      <c r="AM299" s="3">
        <v>9.1876350000000002</v>
      </c>
      <c r="AN299" s="22">
        <v>9.0816040000000005</v>
      </c>
      <c r="AO299" s="3">
        <v>8.980594</v>
      </c>
      <c r="AP299" s="22">
        <v>8.8896890000000006</v>
      </c>
      <c r="AQ299" s="3">
        <v>8.7995180000000008</v>
      </c>
      <c r="AR299" s="22">
        <v>8.7100849999999994</v>
      </c>
    </row>
    <row r="300" spans="3:44" x14ac:dyDescent="0.25">
      <c r="C300" s="1"/>
      <c r="D300" s="3">
        <v>17.129339000000002</v>
      </c>
      <c r="E300" s="3">
        <v>17.142592</v>
      </c>
      <c r="F300" s="3">
        <v>17.133195000000001</v>
      </c>
      <c r="G300" s="3">
        <v>17.122060000000001</v>
      </c>
      <c r="H300" s="22">
        <v>15.504797</v>
      </c>
      <c r="I300" s="3">
        <v>15.303074000000001</v>
      </c>
      <c r="J300" s="22">
        <v>14.862954</v>
      </c>
      <c r="K300" s="3">
        <v>14.66952</v>
      </c>
      <c r="L300" s="22">
        <v>14.266556</v>
      </c>
      <c r="M300" s="3">
        <v>14.031445</v>
      </c>
      <c r="N300" s="22">
        <v>13.644926999999999</v>
      </c>
      <c r="O300" s="3">
        <v>13.439036</v>
      </c>
      <c r="P300" s="22">
        <v>13.246041999999999</v>
      </c>
      <c r="Q300" s="3">
        <v>12.867224999999999</v>
      </c>
      <c r="R300" s="22">
        <v>12.676615999999999</v>
      </c>
      <c r="S300" s="3">
        <v>12.492514999999999</v>
      </c>
      <c r="T300" s="22">
        <v>12.313661</v>
      </c>
      <c r="U300" s="3">
        <v>11.957216000000001</v>
      </c>
      <c r="V300" s="22">
        <v>11.791765</v>
      </c>
      <c r="W300" s="3">
        <v>11.628469000000001</v>
      </c>
      <c r="X300" s="22">
        <v>11.458437</v>
      </c>
      <c r="Y300" s="3">
        <v>11.307254</v>
      </c>
      <c r="Z300" s="22">
        <v>11.008929999999999</v>
      </c>
      <c r="AA300" s="3">
        <v>10.849104000000001</v>
      </c>
      <c r="AB300" s="22">
        <v>11.038537</v>
      </c>
      <c r="AC300" s="3">
        <v>10.894225</v>
      </c>
      <c r="AD300" s="22">
        <v>10.761614</v>
      </c>
      <c r="AE300" s="3">
        <v>10.498730999999999</v>
      </c>
      <c r="AF300" s="22">
        <v>10.373319</v>
      </c>
      <c r="AG300" s="3">
        <v>10.24044</v>
      </c>
      <c r="AH300" s="22">
        <v>10.101591000000001</v>
      </c>
      <c r="AI300" s="3">
        <v>9.9999070000000003</v>
      </c>
      <c r="AJ300" s="22">
        <v>9.8700740000000007</v>
      </c>
      <c r="AK300" s="3">
        <v>9.7612959999999998</v>
      </c>
      <c r="AL300" s="22">
        <v>9.6414779999999993</v>
      </c>
      <c r="AM300" s="3">
        <v>9.5294260000000008</v>
      </c>
      <c r="AN300" s="22">
        <v>9.4265629999999998</v>
      </c>
      <c r="AO300" s="3">
        <v>9.3171940000000006</v>
      </c>
      <c r="AP300" s="22">
        <v>9.2245819999999998</v>
      </c>
      <c r="AQ300" s="3">
        <v>9.1213499999999996</v>
      </c>
      <c r="AR300" s="22">
        <v>9.0404859999999996</v>
      </c>
    </row>
    <row r="301" spans="3:44" x14ac:dyDescent="0.25">
      <c r="C301" s="1"/>
      <c r="D301" s="3">
        <v>17.529440000000001</v>
      </c>
      <c r="E301" s="3">
        <v>17.483933</v>
      </c>
      <c r="F301" s="3">
        <v>17.528428999999999</v>
      </c>
      <c r="G301" s="3">
        <v>17.504339000000002</v>
      </c>
      <c r="H301" s="22">
        <v>17.498242000000001</v>
      </c>
      <c r="I301" s="3">
        <v>15.615506</v>
      </c>
      <c r="J301" s="22">
        <v>15.184602999999999</v>
      </c>
      <c r="K301" s="3">
        <v>14.977743</v>
      </c>
      <c r="L301" s="22">
        <v>14.565670000000001</v>
      </c>
      <c r="M301" s="3">
        <v>14.330640000000001</v>
      </c>
      <c r="N301" s="22">
        <v>14.124127</v>
      </c>
      <c r="O301" s="3">
        <v>13.709745</v>
      </c>
      <c r="P301" s="22">
        <v>13.523211</v>
      </c>
      <c r="Q301" s="3">
        <v>13.293539000000001</v>
      </c>
      <c r="R301" s="22">
        <v>13.379985</v>
      </c>
      <c r="S301" s="3">
        <v>12.757809</v>
      </c>
      <c r="T301" s="22">
        <v>12.579530999999999</v>
      </c>
      <c r="U301" s="3">
        <v>12.830337999999999</v>
      </c>
      <c r="V301" s="22">
        <v>12.449593</v>
      </c>
      <c r="W301" s="3">
        <v>12.26308</v>
      </c>
      <c r="X301" s="22">
        <v>12.117385000000001</v>
      </c>
      <c r="Y301" s="3">
        <v>11.927211</v>
      </c>
      <c r="Z301" s="22">
        <v>11.631195999999999</v>
      </c>
      <c r="AA301" s="3">
        <v>11.446834000000001</v>
      </c>
      <c r="AB301" s="22">
        <v>11.314823000000001</v>
      </c>
      <c r="AC301" s="3">
        <v>11.160788999999999</v>
      </c>
      <c r="AD301" s="22">
        <v>11.010903000000001</v>
      </c>
      <c r="AE301" s="3">
        <v>10.886433</v>
      </c>
      <c r="AF301" s="22">
        <v>10.594808</v>
      </c>
      <c r="AG301" s="3">
        <v>10.47505</v>
      </c>
      <c r="AH301" s="22">
        <v>10.339778000000001</v>
      </c>
      <c r="AI301" s="3">
        <v>10.234904999999999</v>
      </c>
      <c r="AJ301" s="22">
        <v>10.107488999999999</v>
      </c>
      <c r="AK301" s="3">
        <v>9.9819270000000007</v>
      </c>
      <c r="AL301" s="22">
        <v>9.8513769999999994</v>
      </c>
      <c r="AM301" s="3">
        <v>9.7625159999999997</v>
      </c>
      <c r="AN301" s="22">
        <v>9.6300570000000008</v>
      </c>
      <c r="AO301" s="3">
        <v>9.5480499999999999</v>
      </c>
      <c r="AP301" s="22">
        <v>9.4382330000000003</v>
      </c>
      <c r="AQ301" s="3">
        <v>9.3490450000000003</v>
      </c>
      <c r="AR301" s="22">
        <v>9.2703220000000002</v>
      </c>
    </row>
    <row r="302" spans="3:44" x14ac:dyDescent="0.25">
      <c r="C302" s="1" t="s">
        <v>3</v>
      </c>
      <c r="D302" s="1">
        <f>AVERAGE(D299:D301)</f>
        <v>17.239854666666666</v>
      </c>
      <c r="E302" s="1">
        <f t="shared" ref="E302" si="321">AVERAGE(E299:E301)</f>
        <v>17.217706</v>
      </c>
      <c r="F302" s="1">
        <f t="shared" ref="F302" si="322">AVERAGE(F299:F301)</f>
        <v>17.242378000000002</v>
      </c>
      <c r="G302" s="1">
        <f t="shared" ref="G302" si="323">AVERAGE(G299:G301)</f>
        <v>17.229824000000001</v>
      </c>
      <c r="H302" s="23">
        <f t="shared" ref="H302" si="324">AVERAGE(H299:H301)</f>
        <v>16.126998333333333</v>
      </c>
      <c r="I302" s="1">
        <f t="shared" ref="I302" si="325">AVERAGE(I299:I301)</f>
        <v>15.378866333333335</v>
      </c>
      <c r="J302" s="23">
        <f t="shared" ref="J302" si="326">AVERAGE(J299:J301)</f>
        <v>14.936235000000002</v>
      </c>
      <c r="K302" s="1">
        <f t="shared" ref="K302" si="327">AVERAGE(K299:K301)</f>
        <v>14.741361333333336</v>
      </c>
      <c r="L302" s="23">
        <f t="shared" ref="L302" si="328">AVERAGE(L299:L301)</f>
        <v>14.332335</v>
      </c>
      <c r="M302" s="1">
        <f t="shared" ref="M302" si="329">AVERAGE(M299:M301)</f>
        <v>14.099909666666667</v>
      </c>
      <c r="N302" s="23">
        <f t="shared" ref="N302" si="330">AVERAGE(N299:N301)</f>
        <v>13.773382666666668</v>
      </c>
      <c r="O302" s="1">
        <f t="shared" ref="O302" si="331">AVERAGE(O299:O301)</f>
        <v>13.496152666666667</v>
      </c>
      <c r="P302" s="23">
        <f t="shared" ref="P302" si="332">AVERAGE(P299:P301)</f>
        <v>13.303146666666668</v>
      </c>
      <c r="Q302" s="1">
        <f t="shared" ref="Q302" si="333">AVERAGE(Q299:Q301)</f>
        <v>12.968739333333334</v>
      </c>
      <c r="R302" s="23">
        <f t="shared" ref="R302" si="334">AVERAGE(R299:R301)</f>
        <v>12.881004333333332</v>
      </c>
      <c r="S302" s="1">
        <f t="shared" ref="S302" si="335">AVERAGE(S299:S301)</f>
        <v>12.550885000000001</v>
      </c>
      <c r="T302" s="23">
        <f t="shared" ref="T302" si="336">AVERAGE(T299:T301)</f>
        <v>12.373771</v>
      </c>
      <c r="U302" s="1">
        <f t="shared" ref="U302" si="337">AVERAGE(U299:U301)</f>
        <v>12.219929666666665</v>
      </c>
      <c r="V302" s="23">
        <f t="shared" ref="V302" si="338">AVERAGE(V299:V301)</f>
        <v>11.978490000000001</v>
      </c>
      <c r="W302" s="1">
        <f t="shared" ref="W302" si="339">AVERAGE(W299:W301)</f>
        <v>11.806117</v>
      </c>
      <c r="X302" s="23">
        <f t="shared" ref="X302" si="340">AVERAGE(X299:X301)</f>
        <v>11.652535666666667</v>
      </c>
      <c r="Y302" s="1">
        <f t="shared" ref="Y302" si="341">AVERAGE(Y299:Y301)</f>
        <v>11.483778000000001</v>
      </c>
      <c r="Z302" s="23">
        <f t="shared" ref="Z302" si="342">AVERAGE(Z299:Z301)</f>
        <v>11.18444833333333</v>
      </c>
      <c r="AA302" s="1">
        <f t="shared" ref="AA302" si="343">AVERAGE(AA299:AA301)</f>
        <v>11.025722333333334</v>
      </c>
      <c r="AB302" s="23">
        <f t="shared" ref="AB302" si="344">AVERAGE(AB299:AB301)</f>
        <v>10.995321333333331</v>
      </c>
      <c r="AC302" s="1">
        <f t="shared" ref="AC302" si="345">AVERAGE(AC299:AC301)</f>
        <v>10.851444000000001</v>
      </c>
      <c r="AD302" s="23">
        <f t="shared" ref="AD302" si="346">AVERAGE(AD299:AD301)</f>
        <v>10.711290666666665</v>
      </c>
      <c r="AE302" s="1">
        <f t="shared" ref="AE302" si="347">AVERAGE(AE299:AE301)</f>
        <v>10.537708666666665</v>
      </c>
      <c r="AF302" s="23">
        <f t="shared" ref="AF302" si="348">AVERAGE(AF299:AF301)</f>
        <v>10.315300333333333</v>
      </c>
      <c r="AG302" s="1">
        <f t="shared" ref="AG302" si="349">AVERAGE(AG299:AG301)</f>
        <v>10.188549</v>
      </c>
      <c r="AH302" s="23">
        <f t="shared" ref="AH302" si="350">AVERAGE(AH299:AH301)</f>
        <v>10.055736333333334</v>
      </c>
      <c r="AI302" s="1">
        <f t="shared" ref="AI302" si="351">AVERAGE(AI299:AI301)</f>
        <v>9.9515180000000001</v>
      </c>
      <c r="AJ302" s="23">
        <f t="shared" ref="AJ302" si="352">AVERAGE(AJ299:AJ301)</f>
        <v>9.8255056666666665</v>
      </c>
      <c r="AK302" s="1">
        <f t="shared" ref="AK302" si="353">AVERAGE(AK299:AK301)</f>
        <v>9.7135883333333339</v>
      </c>
      <c r="AL302" s="23">
        <f t="shared" ref="AL302" si="354">AVERAGE(AL299:AL301)</f>
        <v>9.5900256666666674</v>
      </c>
      <c r="AM302" s="1">
        <f t="shared" ref="AM302" si="355">AVERAGE(AM299:AM301)</f>
        <v>9.493192333333333</v>
      </c>
      <c r="AN302" s="23">
        <f t="shared" ref="AN302" si="356">AVERAGE(AN299:AN301)</f>
        <v>9.3794079999999997</v>
      </c>
      <c r="AO302" s="1">
        <f t="shared" ref="AO302" si="357">AVERAGE(AO299:AO301)</f>
        <v>9.2819459999999996</v>
      </c>
      <c r="AP302" s="23">
        <f t="shared" ref="AP302" si="358">AVERAGE(AP299:AP301)</f>
        <v>9.1841680000000014</v>
      </c>
      <c r="AQ302" s="1">
        <f t="shared" ref="AQ302" si="359">AVERAGE(AQ299:AQ301)</f>
        <v>9.0899710000000002</v>
      </c>
      <c r="AR302" s="23">
        <f t="shared" ref="AR302" si="360">AVERAGE(AR299:AR301)</f>
        <v>9.0069643333333342</v>
      </c>
    </row>
    <row r="330" spans="3:44" x14ac:dyDescent="0.25">
      <c r="C330" s="12" t="s">
        <v>4</v>
      </c>
      <c r="D330" s="12">
        <v>4</v>
      </c>
      <c r="E330" s="12"/>
      <c r="F330" s="12"/>
      <c r="G330" s="12"/>
      <c r="I330" s="12"/>
      <c r="K330" s="12"/>
      <c r="M330" s="12"/>
      <c r="O330" s="12"/>
      <c r="Q330" s="12"/>
      <c r="S330" s="12"/>
      <c r="U330" s="12"/>
      <c r="W330" s="12"/>
      <c r="Y330" s="12"/>
      <c r="AA330" s="12"/>
      <c r="AC330" s="12"/>
      <c r="AE330" s="12"/>
      <c r="AG330" s="12"/>
      <c r="AI330" s="12"/>
      <c r="AK330" s="12"/>
      <c r="AM330" s="12"/>
      <c r="AO330" s="12"/>
      <c r="AQ330" s="12"/>
    </row>
    <row r="331" spans="3:44" x14ac:dyDescent="0.25">
      <c r="C331" s="1" t="s">
        <v>1</v>
      </c>
      <c r="D331" s="1">
        <v>1.8</v>
      </c>
      <c r="E331" s="2">
        <v>1.85</v>
      </c>
      <c r="F331" s="2">
        <v>1.9</v>
      </c>
      <c r="G331" s="2">
        <v>1.95</v>
      </c>
      <c r="H331" s="22">
        <v>2</v>
      </c>
      <c r="I331" s="2">
        <v>2.0499999999999998</v>
      </c>
      <c r="J331" s="22">
        <v>2.1</v>
      </c>
      <c r="K331" s="2">
        <v>2.15</v>
      </c>
      <c r="L331" s="22">
        <v>2.2000000000000002</v>
      </c>
      <c r="M331" s="2">
        <v>2.25</v>
      </c>
      <c r="N331" s="22">
        <v>2.2999999999999998</v>
      </c>
      <c r="O331" s="2">
        <v>2.35</v>
      </c>
      <c r="P331" s="22">
        <v>2.4</v>
      </c>
      <c r="Q331" s="2">
        <v>2.4500000000000002</v>
      </c>
      <c r="R331" s="22">
        <v>2.5</v>
      </c>
      <c r="S331" s="2">
        <v>2.5499999999999998</v>
      </c>
      <c r="T331" s="22">
        <v>2.6</v>
      </c>
      <c r="U331" s="2">
        <v>2.65</v>
      </c>
      <c r="V331" s="22">
        <v>2.7</v>
      </c>
      <c r="W331" s="2">
        <v>2.75</v>
      </c>
      <c r="X331" s="22">
        <v>2.8</v>
      </c>
      <c r="Y331" s="2">
        <v>2.85</v>
      </c>
      <c r="Z331" s="22">
        <v>2.9</v>
      </c>
      <c r="AA331" s="2">
        <v>2.95</v>
      </c>
      <c r="AB331" s="22">
        <v>3</v>
      </c>
      <c r="AC331" s="2">
        <v>3.05</v>
      </c>
      <c r="AD331" s="22">
        <v>3.1</v>
      </c>
      <c r="AE331" s="2">
        <v>3.15</v>
      </c>
      <c r="AF331" s="22">
        <v>3.2</v>
      </c>
      <c r="AG331" s="2">
        <v>3.25</v>
      </c>
      <c r="AH331" s="22">
        <v>3.3</v>
      </c>
      <c r="AI331" s="2">
        <v>3.35</v>
      </c>
      <c r="AJ331" s="22">
        <v>3.4</v>
      </c>
      <c r="AK331" s="2">
        <v>3.45</v>
      </c>
      <c r="AL331" s="22">
        <v>3.5</v>
      </c>
      <c r="AM331" s="2">
        <v>3.55</v>
      </c>
      <c r="AN331" s="22">
        <v>3.6</v>
      </c>
      <c r="AO331" s="2">
        <v>3.65</v>
      </c>
      <c r="AP331" s="22">
        <v>3.7</v>
      </c>
      <c r="AQ331" s="2">
        <v>3.75</v>
      </c>
      <c r="AR331" s="22">
        <v>3.8</v>
      </c>
    </row>
    <row r="332" spans="3:44" x14ac:dyDescent="0.25">
      <c r="C332" s="1" t="s">
        <v>2</v>
      </c>
      <c r="D332" s="3">
        <v>16.434186</v>
      </c>
      <c r="E332" s="3">
        <v>16.434593</v>
      </c>
      <c r="F332" s="3">
        <v>16.449836000000001</v>
      </c>
      <c r="G332" s="3">
        <v>16.430966000000002</v>
      </c>
      <c r="H332" s="22">
        <v>14.805418</v>
      </c>
      <c r="I332" s="3">
        <v>14.642625000000001</v>
      </c>
      <c r="J332" s="22">
        <v>14.223445999999999</v>
      </c>
      <c r="K332" s="3">
        <v>14.034484000000001</v>
      </c>
      <c r="L332" s="22">
        <v>13.647270000000001</v>
      </c>
      <c r="M332" s="3">
        <v>13.433260000000001</v>
      </c>
      <c r="N332" s="22">
        <v>13.051451</v>
      </c>
      <c r="O332" s="3">
        <v>12.870058</v>
      </c>
      <c r="P332" s="22">
        <v>12.655825999999999</v>
      </c>
      <c r="Q332" s="3">
        <v>12.292356</v>
      </c>
      <c r="R332" s="22">
        <v>12.12781</v>
      </c>
      <c r="S332" s="3">
        <v>11.942610999999999</v>
      </c>
      <c r="T332" s="22">
        <v>11.786681</v>
      </c>
      <c r="U332" s="3">
        <v>11.442742000000001</v>
      </c>
      <c r="V332" s="22">
        <v>11.263177000000001</v>
      </c>
      <c r="W332" s="3">
        <v>11.104843000000001</v>
      </c>
      <c r="X332" s="22">
        <v>10.973272</v>
      </c>
      <c r="Y332" s="3">
        <v>10.813492999999999</v>
      </c>
      <c r="Z332" s="22">
        <v>10.520180999999999</v>
      </c>
      <c r="AA332" s="3">
        <v>10.381011000000001</v>
      </c>
      <c r="AB332" s="22">
        <v>10.243226</v>
      </c>
      <c r="AC332" s="3">
        <v>10.112579</v>
      </c>
      <c r="AD332" s="22">
        <v>9.9865259999999996</v>
      </c>
      <c r="AE332" s="3">
        <v>9.8578220000000005</v>
      </c>
      <c r="AF332" s="22">
        <v>9.6061519999999998</v>
      </c>
      <c r="AG332" s="3">
        <v>9.4912980000000005</v>
      </c>
      <c r="AH332" s="22">
        <v>9.3756240000000002</v>
      </c>
      <c r="AI332" s="3">
        <v>9.2619869999999995</v>
      </c>
      <c r="AJ332" s="22">
        <v>9.1548839999999991</v>
      </c>
      <c r="AK332" s="3">
        <v>9.0553830000000008</v>
      </c>
      <c r="AL332" s="22">
        <v>8.9380030000000001</v>
      </c>
      <c r="AM332" s="3">
        <v>8.8580059999999996</v>
      </c>
      <c r="AN332" s="22">
        <v>8.7567439999999994</v>
      </c>
      <c r="AO332" s="3">
        <v>8.6481879999999993</v>
      </c>
      <c r="AP332" s="22">
        <v>8.5604189999999996</v>
      </c>
      <c r="AQ332" s="3">
        <v>8.4780610000000003</v>
      </c>
      <c r="AR332" s="22">
        <v>8.3946839999999998</v>
      </c>
    </row>
    <row r="333" spans="3:44" x14ac:dyDescent="0.25">
      <c r="C333" s="1"/>
      <c r="D333" s="3">
        <v>16.559794</v>
      </c>
      <c r="E333" s="3">
        <v>16.545985000000002</v>
      </c>
      <c r="F333" s="3">
        <v>16.536553999999999</v>
      </c>
      <c r="G333" s="3">
        <v>16.544521</v>
      </c>
      <c r="H333" s="22">
        <v>14.966485</v>
      </c>
      <c r="I333" s="3">
        <v>14.786640999999999</v>
      </c>
      <c r="J333" s="22">
        <v>14.36763</v>
      </c>
      <c r="K333" s="3">
        <v>14.179383</v>
      </c>
      <c r="L333" s="22">
        <v>13.781612000000001</v>
      </c>
      <c r="M333" s="3">
        <v>13.559377</v>
      </c>
      <c r="N333" s="22">
        <v>13.18436</v>
      </c>
      <c r="O333" s="3">
        <v>12.986779</v>
      </c>
      <c r="P333" s="22">
        <v>12.80039</v>
      </c>
      <c r="Q333" s="3">
        <v>12.429542</v>
      </c>
      <c r="R333" s="22">
        <v>12.239516</v>
      </c>
      <c r="S333" s="3">
        <v>12.066304000000001</v>
      </c>
      <c r="T333" s="22">
        <v>11.890188</v>
      </c>
      <c r="U333" s="3">
        <v>11.563135000000001</v>
      </c>
      <c r="V333" s="22">
        <v>11.382167000000001</v>
      </c>
      <c r="W333" s="3">
        <v>11.219962000000001</v>
      </c>
      <c r="X333" s="22">
        <v>11.064221999999999</v>
      </c>
      <c r="Y333" s="3">
        <v>10.918415</v>
      </c>
      <c r="Z333" s="22">
        <v>10.624332000000001</v>
      </c>
      <c r="AA333" s="3">
        <v>10.477130000000001</v>
      </c>
      <c r="AB333" s="22">
        <v>10.71233</v>
      </c>
      <c r="AC333" s="3">
        <v>10.575136000000001</v>
      </c>
      <c r="AD333" s="22">
        <v>10.432214999999999</v>
      </c>
      <c r="AE333" s="3">
        <v>10.177837999999999</v>
      </c>
      <c r="AF333" s="22">
        <v>10.052415999999999</v>
      </c>
      <c r="AG333" s="3">
        <v>9.933389</v>
      </c>
      <c r="AH333" s="22">
        <v>9.8084950000000006</v>
      </c>
      <c r="AI333" s="3">
        <v>9.6876610000000003</v>
      </c>
      <c r="AJ333" s="22">
        <v>9.5684819999999995</v>
      </c>
      <c r="AK333" s="3">
        <v>9.4602129999999995</v>
      </c>
      <c r="AL333" s="22">
        <v>9.3515470000000001</v>
      </c>
      <c r="AM333" s="3">
        <v>9.2376620000000003</v>
      </c>
      <c r="AN333" s="22">
        <v>9.1335560000000005</v>
      </c>
      <c r="AO333" s="3">
        <v>9.0379050000000003</v>
      </c>
      <c r="AP333" s="22">
        <v>8.9460479999999993</v>
      </c>
      <c r="AQ333" s="3">
        <v>8.8415759999999999</v>
      </c>
      <c r="AR333" s="22">
        <v>8.7702950000000008</v>
      </c>
    </row>
    <row r="334" spans="3:44" x14ac:dyDescent="0.25">
      <c r="C334" s="1"/>
      <c r="D334" s="3">
        <v>16.905235999999999</v>
      </c>
      <c r="E334" s="3">
        <v>16.88653</v>
      </c>
      <c r="F334" s="3">
        <v>16.893516999999999</v>
      </c>
      <c r="G334" s="3">
        <v>16.899819999999998</v>
      </c>
      <c r="H334" s="22">
        <v>16.876100000000001</v>
      </c>
      <c r="I334" s="3">
        <v>15.062189</v>
      </c>
      <c r="J334" s="22">
        <v>14.644287</v>
      </c>
      <c r="K334" s="3">
        <v>14.449873999999999</v>
      </c>
      <c r="L334" s="22">
        <v>14.059388</v>
      </c>
      <c r="M334" s="3">
        <v>13.834225</v>
      </c>
      <c r="N334" s="22">
        <v>13.642906999999999</v>
      </c>
      <c r="O334" s="3">
        <v>13.221506</v>
      </c>
      <c r="P334" s="22">
        <v>13.526630000000001</v>
      </c>
      <c r="Q334" s="3">
        <v>12.829912999999999</v>
      </c>
      <c r="R334" s="22">
        <v>12.922459999999999</v>
      </c>
      <c r="S334" s="3">
        <v>12.757212000000001</v>
      </c>
      <c r="T334" s="22">
        <v>12.580018000000001</v>
      </c>
      <c r="U334" s="3">
        <v>12.214850999999999</v>
      </c>
      <c r="V334" s="22">
        <v>12.020474</v>
      </c>
      <c r="W334" s="3">
        <v>11.854191999999999</v>
      </c>
      <c r="X334" s="22">
        <v>11.700016</v>
      </c>
      <c r="Y334" s="3">
        <v>11.521387000000001</v>
      </c>
      <c r="Z334" s="22">
        <v>11.237043999999999</v>
      </c>
      <c r="AA334" s="3">
        <v>11.054179</v>
      </c>
      <c r="AB334" s="22">
        <v>10.924810000000001</v>
      </c>
      <c r="AC334" s="3">
        <v>10.775529000000001</v>
      </c>
      <c r="AD334" s="22">
        <v>10.635666000000001</v>
      </c>
      <c r="AE334" s="3">
        <v>10.511205</v>
      </c>
      <c r="AF334" s="22">
        <v>10.229452</v>
      </c>
      <c r="AG334" s="3">
        <v>10.110393</v>
      </c>
      <c r="AH334" s="22">
        <v>9.9905980000000003</v>
      </c>
      <c r="AI334" s="3">
        <v>9.8818169999999999</v>
      </c>
      <c r="AJ334" s="22">
        <v>9.7696039999999993</v>
      </c>
      <c r="AK334" s="3">
        <v>9.6563280000000002</v>
      </c>
      <c r="AL334" s="22">
        <v>9.5238820000000004</v>
      </c>
      <c r="AM334" s="3">
        <v>9.440626</v>
      </c>
      <c r="AN334" s="22">
        <v>9.3155040000000007</v>
      </c>
      <c r="AO334" s="3">
        <v>9.2177450000000007</v>
      </c>
      <c r="AP334" s="22">
        <v>9.1079840000000001</v>
      </c>
      <c r="AQ334" s="3">
        <v>9.036073</v>
      </c>
      <c r="AR334" s="22">
        <v>8.9538790000000006</v>
      </c>
    </row>
    <row r="335" spans="3:44" x14ac:dyDescent="0.25">
      <c r="C335" s="1" t="s">
        <v>3</v>
      </c>
      <c r="D335" s="1">
        <f>AVERAGE(D332:D334)</f>
        <v>16.633071999999999</v>
      </c>
      <c r="E335" s="1">
        <f t="shared" ref="E335" si="361">AVERAGE(E332:E334)</f>
        <v>16.622369333333335</v>
      </c>
      <c r="F335" s="1">
        <f t="shared" ref="F335" si="362">AVERAGE(F332:F334)</f>
        <v>16.626635666666669</v>
      </c>
      <c r="G335" s="1">
        <f t="shared" ref="G335" si="363">AVERAGE(G332:G334)</f>
        <v>16.625102333333334</v>
      </c>
      <c r="H335" s="23">
        <f t="shared" ref="H335" si="364">AVERAGE(H332:H334)</f>
        <v>15.549334333333334</v>
      </c>
      <c r="I335" s="1">
        <f t="shared" ref="I335" si="365">AVERAGE(I332:I334)</f>
        <v>14.830485000000001</v>
      </c>
      <c r="J335" s="23">
        <f t="shared" ref="J335" si="366">AVERAGE(J332:J334)</f>
        <v>14.411787666666667</v>
      </c>
      <c r="K335" s="1">
        <f t="shared" ref="K335" si="367">AVERAGE(K332:K334)</f>
        <v>14.221247</v>
      </c>
      <c r="L335" s="23">
        <f t="shared" ref="L335" si="368">AVERAGE(L332:L334)</f>
        <v>13.829423333333333</v>
      </c>
      <c r="M335" s="1">
        <f t="shared" ref="M335" si="369">AVERAGE(M332:M334)</f>
        <v>13.608954000000002</v>
      </c>
      <c r="N335" s="23">
        <f t="shared" ref="N335" si="370">AVERAGE(N332:N334)</f>
        <v>13.292906</v>
      </c>
      <c r="O335" s="1">
        <f t="shared" ref="O335" si="371">AVERAGE(O332:O334)</f>
        <v>13.026114333333332</v>
      </c>
      <c r="P335" s="23">
        <f t="shared" ref="P335" si="372">AVERAGE(P332:P334)</f>
        <v>12.994281999999998</v>
      </c>
      <c r="Q335" s="1">
        <f t="shared" ref="Q335" si="373">AVERAGE(Q332:Q334)</f>
        <v>12.517270333333334</v>
      </c>
      <c r="R335" s="23">
        <f t="shared" ref="R335" si="374">AVERAGE(R332:R334)</f>
        <v>12.429928666666667</v>
      </c>
      <c r="S335" s="1">
        <f t="shared" ref="S335" si="375">AVERAGE(S332:S334)</f>
        <v>12.255375666666668</v>
      </c>
      <c r="T335" s="23">
        <f t="shared" ref="T335" si="376">AVERAGE(T332:T334)</f>
        <v>12.085628999999999</v>
      </c>
      <c r="U335" s="1">
        <f t="shared" ref="U335" si="377">AVERAGE(U332:U334)</f>
        <v>11.740242666666667</v>
      </c>
      <c r="V335" s="23">
        <f t="shared" ref="V335" si="378">AVERAGE(V332:V334)</f>
        <v>11.555272666666667</v>
      </c>
      <c r="W335" s="1">
        <f t="shared" ref="W335" si="379">AVERAGE(W332:W334)</f>
        <v>11.392999000000001</v>
      </c>
      <c r="X335" s="23">
        <f t="shared" ref="X335" si="380">AVERAGE(X332:X334)</f>
        <v>11.245836666666667</v>
      </c>
      <c r="Y335" s="1">
        <f t="shared" ref="Y335" si="381">AVERAGE(Y332:Y334)</f>
        <v>11.084431666666665</v>
      </c>
      <c r="Z335" s="23">
        <f t="shared" ref="Z335" si="382">AVERAGE(Z332:Z334)</f>
        <v>10.793852333333334</v>
      </c>
      <c r="AA335" s="1">
        <f t="shared" ref="AA335" si="383">AVERAGE(AA332:AA334)</f>
        <v>10.63744</v>
      </c>
      <c r="AB335" s="23">
        <f t="shared" ref="AB335" si="384">AVERAGE(AB332:AB334)</f>
        <v>10.626788666666668</v>
      </c>
      <c r="AC335" s="1">
        <f t="shared" ref="AC335" si="385">AVERAGE(AC332:AC334)</f>
        <v>10.487748000000002</v>
      </c>
      <c r="AD335" s="23">
        <f t="shared" ref="AD335" si="386">AVERAGE(AD332:AD334)</f>
        <v>10.351469</v>
      </c>
      <c r="AE335" s="1">
        <f t="shared" ref="AE335" si="387">AVERAGE(AE332:AE334)</f>
        <v>10.182288333333334</v>
      </c>
      <c r="AF335" s="23">
        <f t="shared" ref="AF335" si="388">AVERAGE(AF332:AF334)</f>
        <v>9.962673333333333</v>
      </c>
      <c r="AG335" s="1">
        <f t="shared" ref="AG335" si="389">AVERAGE(AG332:AG334)</f>
        <v>9.8450266666666675</v>
      </c>
      <c r="AH335" s="23">
        <f t="shared" ref="AH335" si="390">AVERAGE(AH332:AH334)</f>
        <v>9.7249056666666664</v>
      </c>
      <c r="AI335" s="1">
        <f t="shared" ref="AI335" si="391">AVERAGE(AI332:AI334)</f>
        <v>9.6104883333333344</v>
      </c>
      <c r="AJ335" s="23">
        <f t="shared" ref="AJ335" si="392">AVERAGE(AJ332:AJ334)</f>
        <v>9.497656666666666</v>
      </c>
      <c r="AK335" s="1">
        <f t="shared" ref="AK335" si="393">AVERAGE(AK332:AK334)</f>
        <v>9.3906413333333347</v>
      </c>
      <c r="AL335" s="23">
        <f t="shared" ref="AL335" si="394">AVERAGE(AL332:AL334)</f>
        <v>9.2711439999999996</v>
      </c>
      <c r="AM335" s="1">
        <f t="shared" ref="AM335" si="395">AVERAGE(AM332:AM334)</f>
        <v>9.178764666666666</v>
      </c>
      <c r="AN335" s="23">
        <f t="shared" ref="AN335" si="396">AVERAGE(AN332:AN334)</f>
        <v>9.0686013333333335</v>
      </c>
      <c r="AO335" s="1">
        <f t="shared" ref="AO335" si="397">AVERAGE(AO332:AO334)</f>
        <v>8.9679459999999995</v>
      </c>
      <c r="AP335" s="23">
        <f t="shared" ref="AP335" si="398">AVERAGE(AP332:AP334)</f>
        <v>8.8714836666666681</v>
      </c>
      <c r="AQ335" s="1">
        <f t="shared" ref="AQ335" si="399">AVERAGE(AQ332:AQ334)</f>
        <v>8.7852366666666679</v>
      </c>
      <c r="AR335" s="23">
        <f t="shared" ref="AR335" si="400">AVERAGE(AR332:AR334)</f>
        <v>8.7062860000000004</v>
      </c>
    </row>
    <row r="363" spans="3:44" x14ac:dyDescent="0.25">
      <c r="C363" s="13" t="s">
        <v>4</v>
      </c>
      <c r="D363" s="13">
        <v>3</v>
      </c>
      <c r="E363" s="13"/>
      <c r="F363" s="13"/>
      <c r="G363" s="13"/>
      <c r="I363" s="13"/>
      <c r="K363" s="13"/>
      <c r="M363" s="13"/>
      <c r="O363" s="13"/>
      <c r="Q363" s="13"/>
      <c r="S363" s="13"/>
      <c r="U363" s="13"/>
      <c r="W363" s="13"/>
      <c r="Y363" s="13"/>
      <c r="AA363" s="13"/>
      <c r="AC363" s="13"/>
      <c r="AE363" s="13"/>
      <c r="AG363" s="13"/>
      <c r="AI363" s="13"/>
      <c r="AK363" s="13"/>
      <c r="AM363" s="13"/>
      <c r="AO363" s="13"/>
      <c r="AQ363" s="13"/>
    </row>
    <row r="364" spans="3:44" x14ac:dyDescent="0.25">
      <c r="C364" s="1" t="s">
        <v>1</v>
      </c>
      <c r="D364" s="1">
        <v>1.8</v>
      </c>
      <c r="E364" s="2">
        <v>1.85</v>
      </c>
      <c r="F364" s="2">
        <v>1.9</v>
      </c>
      <c r="G364" s="2">
        <v>1.95</v>
      </c>
      <c r="H364" s="22">
        <v>2</v>
      </c>
      <c r="I364" s="2">
        <v>2.0499999999999998</v>
      </c>
      <c r="J364" s="22">
        <v>2.1</v>
      </c>
      <c r="K364" s="2">
        <v>2.15</v>
      </c>
      <c r="L364" s="22">
        <v>2.2000000000000002</v>
      </c>
      <c r="M364" s="2">
        <v>2.25</v>
      </c>
      <c r="N364" s="22">
        <v>2.2999999999999998</v>
      </c>
      <c r="O364" s="2">
        <v>2.35</v>
      </c>
      <c r="P364" s="22">
        <v>2.4</v>
      </c>
      <c r="Q364" s="2">
        <v>2.4500000000000002</v>
      </c>
      <c r="R364" s="22">
        <v>2.5</v>
      </c>
      <c r="S364" s="2">
        <v>2.5499999999999998</v>
      </c>
      <c r="T364" s="22">
        <v>2.6</v>
      </c>
      <c r="U364" s="2">
        <v>2.65</v>
      </c>
      <c r="V364" s="22">
        <v>2.7</v>
      </c>
      <c r="W364" s="2">
        <v>2.75</v>
      </c>
      <c r="X364" s="22">
        <v>2.8</v>
      </c>
      <c r="Y364" s="2">
        <v>2.85</v>
      </c>
      <c r="Z364" s="22">
        <v>2.9</v>
      </c>
      <c r="AA364" s="2">
        <v>2.95</v>
      </c>
      <c r="AB364" s="22">
        <v>3</v>
      </c>
      <c r="AC364" s="2">
        <v>3.05</v>
      </c>
      <c r="AD364" s="22">
        <v>3.1</v>
      </c>
      <c r="AE364" s="2">
        <v>3.15</v>
      </c>
      <c r="AF364" s="22">
        <v>3.2</v>
      </c>
      <c r="AG364" s="2">
        <v>3.25</v>
      </c>
      <c r="AH364" s="22">
        <v>3.3</v>
      </c>
      <c r="AI364" s="2">
        <v>3.35</v>
      </c>
      <c r="AJ364" s="22">
        <v>3.4</v>
      </c>
      <c r="AK364" s="2">
        <v>3.45</v>
      </c>
      <c r="AL364" s="22">
        <v>3.5</v>
      </c>
      <c r="AM364" s="2">
        <v>3.55</v>
      </c>
      <c r="AN364" s="22">
        <v>3.6</v>
      </c>
      <c r="AO364" s="2">
        <v>3.65</v>
      </c>
      <c r="AP364" s="22">
        <v>3.7</v>
      </c>
      <c r="AQ364" s="2">
        <v>3.75</v>
      </c>
      <c r="AR364" s="22">
        <v>3.8</v>
      </c>
    </row>
    <row r="365" spans="3:44" x14ac:dyDescent="0.25">
      <c r="C365" s="1" t="s">
        <v>2</v>
      </c>
      <c r="D365" s="3">
        <v>15.133456000000001</v>
      </c>
      <c r="E365" s="3">
        <v>15.138337999999999</v>
      </c>
      <c r="F365" s="3">
        <v>15.137411</v>
      </c>
      <c r="G365" s="3">
        <v>15.105404</v>
      </c>
      <c r="H365" s="22">
        <v>13.630316000000001</v>
      </c>
      <c r="I365" s="3">
        <v>13.495232</v>
      </c>
      <c r="J365" s="22">
        <v>13.082373</v>
      </c>
      <c r="K365" s="3">
        <v>12.918628999999999</v>
      </c>
      <c r="L365" s="22">
        <v>12.556079</v>
      </c>
      <c r="M365" s="3">
        <v>12.371114</v>
      </c>
      <c r="N365" s="22">
        <v>12.020683999999999</v>
      </c>
      <c r="O365" s="3">
        <v>11.846387</v>
      </c>
      <c r="P365" s="22">
        <v>11.65577</v>
      </c>
      <c r="Q365" s="3">
        <v>11.324433000000001</v>
      </c>
      <c r="R365" s="22">
        <v>11.177723</v>
      </c>
      <c r="S365" s="3">
        <v>11.001315</v>
      </c>
      <c r="T365" s="22">
        <v>10.852985</v>
      </c>
      <c r="U365" s="3">
        <v>10.535062999999999</v>
      </c>
      <c r="V365" s="22">
        <v>10.380896</v>
      </c>
      <c r="W365" s="3">
        <v>10.239618</v>
      </c>
      <c r="X365" s="22">
        <v>10.10549</v>
      </c>
      <c r="Y365" s="3">
        <v>9.9638799999999996</v>
      </c>
      <c r="Z365" s="22">
        <v>9.6934149999999999</v>
      </c>
      <c r="AA365" s="3">
        <v>9.5696379999999994</v>
      </c>
      <c r="AB365" s="22">
        <v>9.4494760000000007</v>
      </c>
      <c r="AC365" s="3">
        <v>9.3153509999999997</v>
      </c>
      <c r="AD365" s="22">
        <v>9.1927590000000006</v>
      </c>
      <c r="AE365" s="3">
        <v>9.0825639999999996</v>
      </c>
      <c r="AF365" s="22">
        <v>8.8535310000000003</v>
      </c>
      <c r="AG365" s="3">
        <v>8.7400249999999993</v>
      </c>
      <c r="AH365" s="22">
        <v>8.6402529999999995</v>
      </c>
      <c r="AI365" s="3">
        <v>8.5374160000000003</v>
      </c>
      <c r="AJ365" s="22">
        <v>8.4377999999999993</v>
      </c>
      <c r="AK365" s="3">
        <v>8.3444520000000004</v>
      </c>
      <c r="AL365" s="22">
        <v>8.2385959999999994</v>
      </c>
      <c r="AM365" s="3">
        <v>8.1669</v>
      </c>
      <c r="AN365" s="22">
        <v>8.0614729999999994</v>
      </c>
      <c r="AO365" s="3">
        <v>7.9753800000000004</v>
      </c>
      <c r="AP365" s="22">
        <v>7.8964470000000002</v>
      </c>
      <c r="AQ365" s="3">
        <v>7.8134969999999999</v>
      </c>
      <c r="AR365" s="22">
        <v>7.7293010000000004</v>
      </c>
    </row>
    <row r="366" spans="3:44" x14ac:dyDescent="0.25">
      <c r="C366" s="1"/>
      <c r="D366" s="3">
        <v>15.281987000000001</v>
      </c>
      <c r="E366" s="3">
        <v>15.284514</v>
      </c>
      <c r="F366" s="3">
        <v>15.276657999999999</v>
      </c>
      <c r="G366" s="3">
        <v>15.279987999999999</v>
      </c>
      <c r="H366" s="22">
        <v>13.817632</v>
      </c>
      <c r="I366" s="3">
        <v>13.637029</v>
      </c>
      <c r="J366" s="22">
        <v>13.270028999999999</v>
      </c>
      <c r="K366" s="3">
        <v>13.055127000000001</v>
      </c>
      <c r="L366" s="22">
        <v>12.727162999999999</v>
      </c>
      <c r="M366" s="3">
        <v>12.525337</v>
      </c>
      <c r="N366" s="22">
        <v>12.178516999999999</v>
      </c>
      <c r="O366" s="3">
        <v>11.986841999999999</v>
      </c>
      <c r="P366" s="22">
        <v>11.812441</v>
      </c>
      <c r="Q366" s="3">
        <v>11.475963</v>
      </c>
      <c r="R366" s="22">
        <v>11.317484</v>
      </c>
      <c r="S366" s="3">
        <v>11.130867</v>
      </c>
      <c r="T366" s="22">
        <v>10.98306</v>
      </c>
      <c r="U366" s="3">
        <v>10.679114999999999</v>
      </c>
      <c r="V366" s="22">
        <v>10.514094999999999</v>
      </c>
      <c r="W366" s="3">
        <v>10.370955</v>
      </c>
      <c r="X366" s="22">
        <v>10.231318</v>
      </c>
      <c r="Y366" s="3">
        <v>10.077159999999999</v>
      </c>
      <c r="Z366" s="22">
        <v>9.8249709999999997</v>
      </c>
      <c r="AA366" s="3">
        <v>9.6877099999999992</v>
      </c>
      <c r="AB366" s="22">
        <v>9.954129</v>
      </c>
      <c r="AC366" s="3">
        <v>9.8244779999999992</v>
      </c>
      <c r="AD366" s="22">
        <v>9.6828400000000006</v>
      </c>
      <c r="AE366" s="3">
        <v>9.4584100000000007</v>
      </c>
      <c r="AF366" s="22">
        <v>9.3318119999999993</v>
      </c>
      <c r="AG366" s="3">
        <v>9.2259019999999996</v>
      </c>
      <c r="AH366" s="22">
        <v>9.0832899999999999</v>
      </c>
      <c r="AI366" s="3">
        <v>9.0068000000000001</v>
      </c>
      <c r="AJ366" s="22">
        <v>8.8877830000000007</v>
      </c>
      <c r="AK366" s="3">
        <v>8.7856930000000002</v>
      </c>
      <c r="AL366" s="22">
        <v>8.6798529999999996</v>
      </c>
      <c r="AM366" s="3">
        <v>8.5822819999999993</v>
      </c>
      <c r="AN366" s="22">
        <v>8.4751709999999996</v>
      </c>
      <c r="AO366" s="3">
        <v>8.4060550000000003</v>
      </c>
      <c r="AP366" s="22">
        <v>8.3057020000000001</v>
      </c>
      <c r="AQ366" s="3">
        <v>8.2078439999999997</v>
      </c>
      <c r="AR366" s="22">
        <v>8.1406419999999997</v>
      </c>
    </row>
    <row r="367" spans="3:44" x14ac:dyDescent="0.25">
      <c r="C367" s="1"/>
      <c r="D367" s="3">
        <v>15.609590000000001</v>
      </c>
      <c r="E367" s="3">
        <v>15.590061</v>
      </c>
      <c r="F367" s="3">
        <v>15.609757999999999</v>
      </c>
      <c r="G367" s="3">
        <v>15.590487</v>
      </c>
      <c r="H367" s="22">
        <v>15.593733</v>
      </c>
      <c r="I367" s="3">
        <v>13.890815999999999</v>
      </c>
      <c r="J367" s="22">
        <v>13.513019</v>
      </c>
      <c r="K367" s="3">
        <v>13.35778</v>
      </c>
      <c r="L367" s="22">
        <v>12.977398000000001</v>
      </c>
      <c r="M367" s="3">
        <v>12.791354</v>
      </c>
      <c r="N367" s="22">
        <v>12.602326</v>
      </c>
      <c r="O367" s="3">
        <v>12.200367999999999</v>
      </c>
      <c r="P367" s="22">
        <v>12.0464</v>
      </c>
      <c r="Q367" s="3">
        <v>11.849104000000001</v>
      </c>
      <c r="R367" s="22">
        <v>11.524825</v>
      </c>
      <c r="S367" s="3">
        <v>11.850020000000001</v>
      </c>
      <c r="T367" s="22">
        <v>11.675931</v>
      </c>
      <c r="U367" s="3">
        <v>11.337218999999999</v>
      </c>
      <c r="V367" s="22">
        <v>11.150225000000001</v>
      </c>
      <c r="W367" s="3">
        <v>10.987387</v>
      </c>
      <c r="X367" s="22">
        <v>10.865052</v>
      </c>
      <c r="Y367" s="3">
        <v>10.686797</v>
      </c>
      <c r="Z367" s="22">
        <v>10.421154</v>
      </c>
      <c r="AA367" s="3">
        <v>10.258642999999999</v>
      </c>
      <c r="AB367" s="22">
        <v>10.138954</v>
      </c>
      <c r="AC367" s="3">
        <v>10.004616</v>
      </c>
      <c r="AD367" s="22">
        <v>9.8773049999999998</v>
      </c>
      <c r="AE367" s="3">
        <v>9.7503810000000009</v>
      </c>
      <c r="AF367" s="22">
        <v>9.4982159999999993</v>
      </c>
      <c r="AG367" s="3">
        <v>9.3835719999999991</v>
      </c>
      <c r="AH367" s="22">
        <v>9.2666629999999994</v>
      </c>
      <c r="AI367" s="3">
        <v>9.1815189999999998</v>
      </c>
      <c r="AJ367" s="22">
        <v>9.0711329999999997</v>
      </c>
      <c r="AK367" s="3">
        <v>8.9626590000000004</v>
      </c>
      <c r="AL367" s="22">
        <v>8.8441559999999999</v>
      </c>
      <c r="AM367" s="3">
        <v>8.7592429999999997</v>
      </c>
      <c r="AN367" s="22">
        <v>8.6521380000000008</v>
      </c>
      <c r="AO367" s="3">
        <v>8.5691919999999993</v>
      </c>
      <c r="AP367" s="22">
        <v>8.452064</v>
      </c>
      <c r="AQ367" s="3">
        <v>8.3946839999999998</v>
      </c>
      <c r="AR367" s="22">
        <v>8.3135589999999997</v>
      </c>
    </row>
    <row r="368" spans="3:44" x14ac:dyDescent="0.25">
      <c r="C368" s="1" t="s">
        <v>3</v>
      </c>
      <c r="D368" s="1">
        <f>AVERAGE(D365:D367)</f>
        <v>15.341677666666669</v>
      </c>
      <c r="E368" s="1">
        <f t="shared" ref="E368" si="401">AVERAGE(E365:E367)</f>
        <v>15.337637666666666</v>
      </c>
      <c r="F368" s="1">
        <f t="shared" ref="F368" si="402">AVERAGE(F365:F367)</f>
        <v>15.341275666666666</v>
      </c>
      <c r="G368" s="1">
        <f t="shared" ref="G368" si="403">AVERAGE(G365:G367)</f>
        <v>15.325293</v>
      </c>
      <c r="H368" s="23">
        <f t="shared" ref="H368" si="404">AVERAGE(H365:H367)</f>
        <v>14.347226999999998</v>
      </c>
      <c r="I368" s="1">
        <f t="shared" ref="I368" si="405">AVERAGE(I365:I367)</f>
        <v>13.674359000000001</v>
      </c>
      <c r="J368" s="23">
        <f t="shared" ref="J368" si="406">AVERAGE(J365:J367)</f>
        <v>13.288473666666667</v>
      </c>
      <c r="K368" s="1">
        <f t="shared" ref="K368" si="407">AVERAGE(K365:K367)</f>
        <v>13.110512</v>
      </c>
      <c r="L368" s="23">
        <f t="shared" ref="L368" si="408">AVERAGE(L365:L367)</f>
        <v>12.753546666666667</v>
      </c>
      <c r="M368" s="1">
        <f t="shared" ref="M368" si="409">AVERAGE(M365:M367)</f>
        <v>12.562601666666666</v>
      </c>
      <c r="N368" s="23">
        <f t="shared" ref="N368" si="410">AVERAGE(N365:N367)</f>
        <v>12.267175666666667</v>
      </c>
      <c r="O368" s="1">
        <f t="shared" ref="O368" si="411">AVERAGE(O365:O367)</f>
        <v>12.011199</v>
      </c>
      <c r="P368" s="23">
        <f t="shared" ref="P368" si="412">AVERAGE(P365:P367)</f>
        <v>11.838203666666667</v>
      </c>
      <c r="Q368" s="1">
        <f t="shared" ref="Q368" si="413">AVERAGE(Q365:Q367)</f>
        <v>11.549833333333334</v>
      </c>
      <c r="R368" s="23">
        <f t="shared" ref="R368" si="414">AVERAGE(R365:R367)</f>
        <v>11.340010666666666</v>
      </c>
      <c r="S368" s="1">
        <f t="shared" ref="S368" si="415">AVERAGE(S365:S367)</f>
        <v>11.327400666666668</v>
      </c>
      <c r="T368" s="23">
        <f t="shared" ref="T368" si="416">AVERAGE(T365:T367)</f>
        <v>11.170658666666666</v>
      </c>
      <c r="U368" s="1">
        <f t="shared" ref="U368" si="417">AVERAGE(U365:U367)</f>
        <v>10.850465666666665</v>
      </c>
      <c r="V368" s="23">
        <f t="shared" ref="V368" si="418">AVERAGE(V365:V367)</f>
        <v>10.681738666666666</v>
      </c>
      <c r="W368" s="1">
        <f t="shared" ref="W368" si="419">AVERAGE(W365:W367)</f>
        <v>10.532653333333334</v>
      </c>
      <c r="X368" s="23">
        <f t="shared" ref="X368" si="420">AVERAGE(X365:X367)</f>
        <v>10.400619999999998</v>
      </c>
      <c r="Y368" s="1">
        <f t="shared" ref="Y368" si="421">AVERAGE(Y365:Y367)</f>
        <v>10.242612333333334</v>
      </c>
      <c r="Z368" s="23">
        <f t="shared" ref="Z368" si="422">AVERAGE(Z365:Z367)</f>
        <v>9.979846666666667</v>
      </c>
      <c r="AA368" s="1">
        <f t="shared" ref="AA368" si="423">AVERAGE(AA365:AA367)</f>
        <v>9.8386636666666671</v>
      </c>
      <c r="AB368" s="23">
        <f t="shared" ref="AB368" si="424">AVERAGE(AB365:AB367)</f>
        <v>9.8475196666666651</v>
      </c>
      <c r="AC368" s="1">
        <f t="shared" ref="AC368" si="425">AVERAGE(AC365:AC367)</f>
        <v>9.7148149999999998</v>
      </c>
      <c r="AD368" s="23">
        <f t="shared" ref="AD368" si="426">AVERAGE(AD365:AD367)</f>
        <v>9.5843013333333342</v>
      </c>
      <c r="AE368" s="1">
        <f t="shared" ref="AE368" si="427">AVERAGE(AE365:AE367)</f>
        <v>9.4304516666666665</v>
      </c>
      <c r="AF368" s="23">
        <f t="shared" ref="AF368" si="428">AVERAGE(AF365:AF367)</f>
        <v>9.2278529999999996</v>
      </c>
      <c r="AG368" s="1">
        <f t="shared" ref="AG368" si="429">AVERAGE(AG365:AG367)</f>
        <v>9.1164996666666678</v>
      </c>
      <c r="AH368" s="23">
        <f t="shared" ref="AH368" si="430">AVERAGE(AH365:AH367)</f>
        <v>8.9967353333333335</v>
      </c>
      <c r="AI368" s="1">
        <f t="shared" ref="AI368" si="431">AVERAGE(AI365:AI367)</f>
        <v>8.9085783333333328</v>
      </c>
      <c r="AJ368" s="23">
        <f t="shared" ref="AJ368" si="432">AVERAGE(AJ365:AJ367)</f>
        <v>8.7989053333333338</v>
      </c>
      <c r="AK368" s="1">
        <f t="shared" ref="AK368" si="433">AVERAGE(AK365:AK367)</f>
        <v>8.6976013333333331</v>
      </c>
      <c r="AL368" s="23">
        <f t="shared" ref="AL368" si="434">AVERAGE(AL365:AL367)</f>
        <v>8.5875350000000008</v>
      </c>
      <c r="AM368" s="1">
        <f t="shared" ref="AM368" si="435">AVERAGE(AM365:AM367)</f>
        <v>8.5028083333333324</v>
      </c>
      <c r="AN368" s="23">
        <f t="shared" ref="AN368" si="436">AVERAGE(AN365:AN367)</f>
        <v>8.3962606666666666</v>
      </c>
      <c r="AO368" s="1">
        <f t="shared" ref="AO368" si="437">AVERAGE(AO365:AO367)</f>
        <v>8.3168756666666663</v>
      </c>
      <c r="AP368" s="23">
        <f t="shared" ref="AP368" si="438">AVERAGE(AP365:AP367)</f>
        <v>8.2180710000000001</v>
      </c>
      <c r="AQ368" s="1">
        <f t="shared" ref="AQ368" si="439">AVERAGE(AQ365:AQ367)</f>
        <v>8.1386749999999992</v>
      </c>
      <c r="AR368" s="23">
        <f t="shared" ref="AR368" si="440">AVERAGE(AR365:AR367)</f>
        <v>8.0611673333333318</v>
      </c>
    </row>
    <row r="396" spans="3:44" x14ac:dyDescent="0.25">
      <c r="C396" s="14" t="s">
        <v>4</v>
      </c>
      <c r="D396" s="14">
        <v>2</v>
      </c>
      <c r="E396" s="14"/>
      <c r="F396" s="14"/>
      <c r="G396" s="14"/>
      <c r="I396" s="14"/>
      <c r="K396" s="14"/>
      <c r="M396" s="14"/>
      <c r="O396" s="14"/>
      <c r="Q396" s="14"/>
      <c r="S396" s="14"/>
      <c r="U396" s="14"/>
      <c r="W396" s="14"/>
      <c r="Y396" s="14"/>
      <c r="AA396" s="14"/>
      <c r="AC396" s="14"/>
      <c r="AE396" s="14"/>
      <c r="AG396" s="14"/>
      <c r="AI396" s="14"/>
      <c r="AK396" s="14"/>
      <c r="AM396" s="14"/>
      <c r="AO396" s="14"/>
      <c r="AQ396" s="14"/>
    </row>
    <row r="397" spans="3:44" x14ac:dyDescent="0.25">
      <c r="C397" s="1" t="s">
        <v>1</v>
      </c>
      <c r="D397" s="1">
        <v>1.8</v>
      </c>
      <c r="E397" s="2">
        <v>1.85</v>
      </c>
      <c r="F397" s="2">
        <v>1.9</v>
      </c>
      <c r="G397" s="2">
        <v>1.95</v>
      </c>
      <c r="H397" s="22">
        <v>2</v>
      </c>
      <c r="I397" s="2">
        <v>2.0499999999999998</v>
      </c>
      <c r="J397" s="22">
        <v>2.1</v>
      </c>
      <c r="K397" s="2">
        <v>2.15</v>
      </c>
      <c r="L397" s="22">
        <v>2.2000000000000002</v>
      </c>
      <c r="M397" s="2">
        <v>2.25</v>
      </c>
      <c r="N397" s="22">
        <v>2.2999999999999998</v>
      </c>
      <c r="O397" s="2">
        <v>2.35</v>
      </c>
      <c r="P397" s="22">
        <v>2.4</v>
      </c>
      <c r="Q397" s="2">
        <v>2.4500000000000002</v>
      </c>
      <c r="R397" s="22">
        <v>2.5</v>
      </c>
      <c r="S397" s="2">
        <v>2.5499999999999998</v>
      </c>
      <c r="T397" s="22">
        <v>2.6</v>
      </c>
      <c r="U397" s="2">
        <v>2.65</v>
      </c>
      <c r="V397" s="22">
        <v>2.7</v>
      </c>
      <c r="W397" s="2">
        <v>2.75</v>
      </c>
      <c r="X397" s="22">
        <v>2.8</v>
      </c>
      <c r="Y397" s="2">
        <v>2.85</v>
      </c>
      <c r="Z397" s="22">
        <v>2.9</v>
      </c>
      <c r="AA397" s="2">
        <v>2.95</v>
      </c>
      <c r="AB397" s="22">
        <v>3</v>
      </c>
      <c r="AC397" s="2">
        <v>3.05</v>
      </c>
      <c r="AD397" s="22">
        <v>3.1</v>
      </c>
      <c r="AE397" s="2">
        <v>3.15</v>
      </c>
      <c r="AF397" s="22">
        <v>3.2</v>
      </c>
      <c r="AG397" s="2">
        <v>3.25</v>
      </c>
      <c r="AH397" s="22">
        <v>3.3</v>
      </c>
      <c r="AI397" s="2">
        <v>3.35</v>
      </c>
      <c r="AJ397" s="22">
        <v>3.4</v>
      </c>
      <c r="AK397" s="2">
        <v>3.45</v>
      </c>
      <c r="AL397" s="22">
        <v>3.5</v>
      </c>
      <c r="AM397" s="2">
        <v>3.55</v>
      </c>
      <c r="AN397" s="22">
        <v>3.6</v>
      </c>
      <c r="AO397" s="2">
        <v>3.65</v>
      </c>
      <c r="AP397" s="22">
        <v>3.7</v>
      </c>
      <c r="AQ397" s="2">
        <v>3.75</v>
      </c>
      <c r="AR397" s="22">
        <v>3.8</v>
      </c>
    </row>
    <row r="398" spans="3:44" x14ac:dyDescent="0.25">
      <c r="C398" s="1" t="s">
        <v>2</v>
      </c>
      <c r="D398" s="3">
        <v>14.449305000000001</v>
      </c>
      <c r="E398" s="3">
        <v>14.448802000000001</v>
      </c>
      <c r="F398" s="3">
        <v>14.454909000000001</v>
      </c>
      <c r="G398" s="3">
        <v>14.414469</v>
      </c>
      <c r="H398" s="22">
        <v>13.007384999999999</v>
      </c>
      <c r="I398" s="3">
        <v>12.858084</v>
      </c>
      <c r="J398" s="22">
        <v>12.489964000000001</v>
      </c>
      <c r="K398" s="3">
        <v>12.33704</v>
      </c>
      <c r="L398" s="22">
        <v>11.986532</v>
      </c>
      <c r="M398" s="3">
        <v>11.808108000000001</v>
      </c>
      <c r="N398" s="22">
        <v>11.475866999999999</v>
      </c>
      <c r="O398" s="3">
        <v>11.29874</v>
      </c>
      <c r="P398" s="22">
        <v>11.133680999999999</v>
      </c>
      <c r="Q398" s="3">
        <v>10.812143000000001</v>
      </c>
      <c r="R398" s="22">
        <v>10.665376</v>
      </c>
      <c r="S398" s="3">
        <v>10.493531000000001</v>
      </c>
      <c r="T398" s="22">
        <v>10.360291999999999</v>
      </c>
      <c r="U398" s="3">
        <v>10.059863999999999</v>
      </c>
      <c r="V398" s="22">
        <v>9.9033069999999999</v>
      </c>
      <c r="W398" s="3">
        <v>9.7683110000000006</v>
      </c>
      <c r="X398" s="22">
        <v>9.6453640000000007</v>
      </c>
      <c r="Y398" s="3">
        <v>9.5073650000000001</v>
      </c>
      <c r="Z398" s="22">
        <v>9.2553629999999991</v>
      </c>
      <c r="AA398" s="3">
        <v>9.1456459999999993</v>
      </c>
      <c r="AB398" s="22">
        <v>9.0122669999999996</v>
      </c>
      <c r="AC398" s="3">
        <v>8.8917439999999992</v>
      </c>
      <c r="AD398" s="22">
        <v>8.7821999999999996</v>
      </c>
      <c r="AE398" s="3">
        <v>8.6611379999999993</v>
      </c>
      <c r="AF398" s="22">
        <v>8.4501080000000002</v>
      </c>
      <c r="AG398" s="3">
        <v>8.3446479999999994</v>
      </c>
      <c r="AH398" s="22">
        <v>8.2397379999999991</v>
      </c>
      <c r="AI398" s="3">
        <v>8.1538730000000008</v>
      </c>
      <c r="AJ398" s="22">
        <v>8.0578420000000008</v>
      </c>
      <c r="AK398" s="3">
        <v>7.9675539999999998</v>
      </c>
      <c r="AL398" s="22">
        <v>7.8654659999999996</v>
      </c>
      <c r="AM398" s="3">
        <v>7.7890139999999999</v>
      </c>
      <c r="AN398" s="22">
        <v>7.6996479999999998</v>
      </c>
      <c r="AO398" s="3">
        <v>7.6153969999999997</v>
      </c>
      <c r="AP398" s="22">
        <v>7.5366020000000002</v>
      </c>
      <c r="AQ398" s="3">
        <v>7.4571240000000003</v>
      </c>
      <c r="AR398" s="22">
        <v>7.3785309999999997</v>
      </c>
    </row>
    <row r="399" spans="3:44" x14ac:dyDescent="0.25">
      <c r="C399" s="1"/>
      <c r="D399" s="3">
        <v>14.677923</v>
      </c>
      <c r="E399" s="3">
        <v>14.680552</v>
      </c>
      <c r="F399" s="3">
        <v>14.668944</v>
      </c>
      <c r="G399" s="3">
        <v>14.673287</v>
      </c>
      <c r="H399" s="22">
        <v>13.260267000000001</v>
      </c>
      <c r="I399" s="3">
        <v>13.076789</v>
      </c>
      <c r="J399" s="22">
        <v>12.738759999999999</v>
      </c>
      <c r="K399" s="3">
        <v>12.555224000000001</v>
      </c>
      <c r="L399" s="22">
        <v>12.199586999999999</v>
      </c>
      <c r="M399" s="3">
        <v>12.026945</v>
      </c>
      <c r="N399" s="22">
        <v>11.694285000000001</v>
      </c>
      <c r="O399" s="3">
        <v>11.507061999999999</v>
      </c>
      <c r="P399" s="22">
        <v>11.338238</v>
      </c>
      <c r="Q399" s="3">
        <v>11.010977</v>
      </c>
      <c r="R399" s="22">
        <v>10.864571</v>
      </c>
      <c r="S399" s="3">
        <v>10.689615</v>
      </c>
      <c r="T399" s="22">
        <v>10.533170999999999</v>
      </c>
      <c r="U399" s="3">
        <v>10.245808</v>
      </c>
      <c r="V399" s="22">
        <v>10.094408</v>
      </c>
      <c r="W399" s="3">
        <v>9.9366280000000007</v>
      </c>
      <c r="X399" s="22">
        <v>9.7863640000000007</v>
      </c>
      <c r="Y399" s="3">
        <v>9.6769660000000002</v>
      </c>
      <c r="Z399" s="22">
        <v>9.4239169999999994</v>
      </c>
      <c r="AA399" s="3">
        <v>9.6947419999999997</v>
      </c>
      <c r="AB399" s="22">
        <v>9.5554520000000007</v>
      </c>
      <c r="AC399" s="3">
        <v>9.4297780000000007</v>
      </c>
      <c r="AD399" s="22">
        <v>9.3068449999999991</v>
      </c>
      <c r="AE399" s="3">
        <v>9.0835919999999994</v>
      </c>
      <c r="AF399" s="22">
        <v>8.9645360000000007</v>
      </c>
      <c r="AG399" s="3">
        <v>8.8598780000000001</v>
      </c>
      <c r="AH399" s="22">
        <v>8.7559330000000006</v>
      </c>
      <c r="AI399" s="3">
        <v>8.6532330000000002</v>
      </c>
      <c r="AJ399" s="22">
        <v>8.5428840000000008</v>
      </c>
      <c r="AK399" s="3">
        <v>8.4425939999999997</v>
      </c>
      <c r="AL399" s="22">
        <v>8.3361190000000001</v>
      </c>
      <c r="AM399" s="3">
        <v>8.2521350000000009</v>
      </c>
      <c r="AN399" s="22">
        <v>8.1604120000000009</v>
      </c>
      <c r="AO399" s="3">
        <v>8.0768059999999995</v>
      </c>
      <c r="AP399" s="22">
        <v>7.9806090000000003</v>
      </c>
      <c r="AQ399" s="3">
        <v>7.8835259999999998</v>
      </c>
      <c r="AR399" s="22">
        <v>7.8218730000000001</v>
      </c>
    </row>
    <row r="400" spans="3:44" x14ac:dyDescent="0.25">
      <c r="C400" s="1"/>
      <c r="D400" s="3">
        <v>14.914501</v>
      </c>
      <c r="E400" s="3">
        <v>14.89772</v>
      </c>
      <c r="F400" s="3">
        <v>14.926311</v>
      </c>
      <c r="G400" s="3">
        <v>14.919323</v>
      </c>
      <c r="H400" s="22">
        <v>14.886322</v>
      </c>
      <c r="I400" s="3">
        <v>13.267833</v>
      </c>
      <c r="J400" s="22">
        <v>12.930429</v>
      </c>
      <c r="K400" s="3">
        <v>12.746242000000001</v>
      </c>
      <c r="L400" s="22">
        <v>12.402933000000001</v>
      </c>
      <c r="M400" s="3">
        <v>12.220219</v>
      </c>
      <c r="N400" s="22">
        <v>12.028627</v>
      </c>
      <c r="O400" s="3">
        <v>11.657544</v>
      </c>
      <c r="P400" s="22">
        <v>12.041522000000001</v>
      </c>
      <c r="Q400" s="3">
        <v>11.311102</v>
      </c>
      <c r="R400" s="22">
        <v>11.521338</v>
      </c>
      <c r="S400" s="3">
        <v>11.372621000000001</v>
      </c>
      <c r="T400" s="22">
        <v>11.200172</v>
      </c>
      <c r="U400" s="3">
        <v>10.889625000000001</v>
      </c>
      <c r="V400" s="22">
        <v>10.712336000000001</v>
      </c>
      <c r="W400" s="3">
        <v>10.560534000000001</v>
      </c>
      <c r="X400" s="22">
        <v>10.42986</v>
      </c>
      <c r="Y400" s="3">
        <v>10.262782</v>
      </c>
      <c r="Z400" s="22">
        <v>10.00384</v>
      </c>
      <c r="AA400" s="3">
        <v>9.8565719999999999</v>
      </c>
      <c r="AB400" s="22">
        <v>9.7474500000000006</v>
      </c>
      <c r="AC400" s="3">
        <v>9.5958469999999991</v>
      </c>
      <c r="AD400" s="22">
        <v>9.4876919999999991</v>
      </c>
      <c r="AE400" s="3">
        <v>9.3774789999999992</v>
      </c>
      <c r="AF400" s="22">
        <v>9.1268600000000006</v>
      </c>
      <c r="AG400" s="3">
        <v>9.0263159999999996</v>
      </c>
      <c r="AH400" s="22">
        <v>8.8946210000000008</v>
      </c>
      <c r="AI400" s="3">
        <v>8.8075829999999993</v>
      </c>
      <c r="AJ400" s="22">
        <v>8.7128069999999997</v>
      </c>
      <c r="AK400" s="3">
        <v>8.6067529999999994</v>
      </c>
      <c r="AL400" s="22">
        <v>8.4957999999999991</v>
      </c>
      <c r="AM400" s="3">
        <v>8.4079549999999994</v>
      </c>
      <c r="AN400" s="22">
        <v>8.3094619999999999</v>
      </c>
      <c r="AO400" s="3">
        <v>8.2208030000000001</v>
      </c>
      <c r="AP400" s="22">
        <v>8.1265339999999995</v>
      </c>
      <c r="AQ400" s="3">
        <v>8.0600649999999998</v>
      </c>
      <c r="AR400" s="22">
        <v>7.9761709999999999</v>
      </c>
    </row>
    <row r="401" spans="3:44" x14ac:dyDescent="0.25">
      <c r="C401" s="1" t="s">
        <v>3</v>
      </c>
      <c r="D401" s="1">
        <f>AVERAGE(D398:D400)</f>
        <v>14.680576333333335</v>
      </c>
      <c r="E401" s="1">
        <f t="shared" ref="E401" si="441">AVERAGE(E398:E400)</f>
        <v>14.675691333333333</v>
      </c>
      <c r="F401" s="1">
        <f t="shared" ref="F401" si="442">AVERAGE(F398:F400)</f>
        <v>14.683388000000001</v>
      </c>
      <c r="G401" s="1">
        <f t="shared" ref="G401" si="443">AVERAGE(G398:G400)</f>
        <v>14.669026333333333</v>
      </c>
      <c r="H401" s="23">
        <f t="shared" ref="H401" si="444">AVERAGE(H398:H400)</f>
        <v>13.717991333333332</v>
      </c>
      <c r="I401" s="1">
        <f t="shared" ref="I401" si="445">AVERAGE(I398:I400)</f>
        <v>13.067568666666666</v>
      </c>
      <c r="J401" s="23">
        <f t="shared" ref="J401" si="446">AVERAGE(J398:J400)</f>
        <v>12.719717666666668</v>
      </c>
      <c r="K401" s="1">
        <f t="shared" ref="K401" si="447">AVERAGE(K398:K400)</f>
        <v>12.546168666666667</v>
      </c>
      <c r="L401" s="23">
        <f t="shared" ref="L401" si="448">AVERAGE(L398:L400)</f>
        <v>12.196350666666666</v>
      </c>
      <c r="M401" s="1">
        <f t="shared" ref="M401" si="449">AVERAGE(M398:M400)</f>
        <v>12.018424000000001</v>
      </c>
      <c r="N401" s="23">
        <f t="shared" ref="N401" si="450">AVERAGE(N398:N400)</f>
        <v>11.732926333333333</v>
      </c>
      <c r="O401" s="1">
        <f t="shared" ref="O401" si="451">AVERAGE(O398:O400)</f>
        <v>11.487782000000001</v>
      </c>
      <c r="P401" s="23">
        <f t="shared" ref="P401" si="452">AVERAGE(P398:P400)</f>
        <v>11.504480333333333</v>
      </c>
      <c r="Q401" s="1">
        <f t="shared" ref="Q401" si="453">AVERAGE(Q398:Q400)</f>
        <v>11.044740666666668</v>
      </c>
      <c r="R401" s="23">
        <f t="shared" ref="R401" si="454">AVERAGE(R398:R400)</f>
        <v>11.017094999999999</v>
      </c>
      <c r="S401" s="1">
        <f t="shared" ref="S401" si="455">AVERAGE(S398:S400)</f>
        <v>10.851922333333334</v>
      </c>
      <c r="T401" s="23">
        <f t="shared" ref="T401" si="456">AVERAGE(T398:T400)</f>
        <v>10.697878333333334</v>
      </c>
      <c r="U401" s="1">
        <f t="shared" ref="U401" si="457">AVERAGE(U398:U400)</f>
        <v>10.398432333333334</v>
      </c>
      <c r="V401" s="23">
        <f t="shared" ref="V401" si="458">AVERAGE(V398:V400)</f>
        <v>10.236683666666666</v>
      </c>
      <c r="W401" s="1">
        <f t="shared" ref="W401" si="459">AVERAGE(W398:W400)</f>
        <v>10.088491000000001</v>
      </c>
      <c r="X401" s="23">
        <f t="shared" ref="X401" si="460">AVERAGE(X398:X400)</f>
        <v>9.9538626666666659</v>
      </c>
      <c r="Y401" s="1">
        <f t="shared" ref="Y401" si="461">AVERAGE(Y398:Y400)</f>
        <v>9.8157043333333345</v>
      </c>
      <c r="Z401" s="23">
        <f t="shared" ref="Z401" si="462">AVERAGE(Z398:Z400)</f>
        <v>9.5610400000000002</v>
      </c>
      <c r="AA401" s="1">
        <f t="shared" ref="AA401" si="463">AVERAGE(AA398:AA400)</f>
        <v>9.5656533333333318</v>
      </c>
      <c r="AB401" s="23">
        <f t="shared" ref="AB401" si="464">AVERAGE(AB398:AB400)</f>
        <v>9.4383896666666676</v>
      </c>
      <c r="AC401" s="1">
        <f t="shared" ref="AC401" si="465">AVERAGE(AC398:AC400)</f>
        <v>9.3057896666666675</v>
      </c>
      <c r="AD401" s="23">
        <f t="shared" ref="AD401" si="466">AVERAGE(AD398:AD400)</f>
        <v>9.1922456666666665</v>
      </c>
      <c r="AE401" s="1">
        <f t="shared" ref="AE401" si="467">AVERAGE(AE398:AE400)</f>
        <v>9.0407363333333333</v>
      </c>
      <c r="AF401" s="23">
        <f t="shared" ref="AF401" si="468">AVERAGE(AF398:AF400)</f>
        <v>8.8471680000000017</v>
      </c>
      <c r="AG401" s="1">
        <f t="shared" ref="AG401" si="469">AVERAGE(AG398:AG400)</f>
        <v>8.7436140000000009</v>
      </c>
      <c r="AH401" s="23">
        <f t="shared" ref="AH401" si="470">AVERAGE(AH398:AH400)</f>
        <v>8.6300973333333335</v>
      </c>
      <c r="AI401" s="1">
        <f t="shared" ref="AI401" si="471">AVERAGE(AI398:AI400)</f>
        <v>8.5382296666666662</v>
      </c>
      <c r="AJ401" s="23">
        <f t="shared" ref="AJ401" si="472">AVERAGE(AJ398:AJ400)</f>
        <v>8.4378443333333326</v>
      </c>
      <c r="AK401" s="1">
        <f t="shared" ref="AK401" si="473">AVERAGE(AK398:AK400)</f>
        <v>8.3389669999999985</v>
      </c>
      <c r="AL401" s="23">
        <f t="shared" ref="AL401" si="474">AVERAGE(AL398:AL400)</f>
        <v>8.2324616666666675</v>
      </c>
      <c r="AM401" s="1">
        <f t="shared" ref="AM401" si="475">AVERAGE(AM398:AM400)</f>
        <v>8.1497013333333328</v>
      </c>
      <c r="AN401" s="23">
        <f t="shared" ref="AN401" si="476">AVERAGE(AN398:AN400)</f>
        <v>8.0565073333333341</v>
      </c>
      <c r="AO401" s="1">
        <f t="shared" ref="AO401" si="477">AVERAGE(AO398:AO400)</f>
        <v>7.9710019999999995</v>
      </c>
      <c r="AP401" s="23">
        <f t="shared" ref="AP401" si="478">AVERAGE(AP398:AP400)</f>
        <v>7.8812483333333327</v>
      </c>
      <c r="AQ401" s="1">
        <f t="shared" ref="AQ401" si="479">AVERAGE(AQ398:AQ400)</f>
        <v>7.8002383333333327</v>
      </c>
      <c r="AR401" s="23">
        <f t="shared" ref="AR401" si="480">AVERAGE(AR398:AR400)</f>
        <v>7.7255250000000002</v>
      </c>
    </row>
    <row r="428" spans="3:44" x14ac:dyDescent="0.25">
      <c r="C428" s="15" t="s">
        <v>4</v>
      </c>
      <c r="D428" s="15">
        <v>1</v>
      </c>
      <c r="E428" s="15"/>
      <c r="F428" s="15"/>
      <c r="G428" s="15"/>
      <c r="I428" s="15"/>
      <c r="K428" s="15"/>
      <c r="M428" s="15"/>
      <c r="O428" s="15"/>
      <c r="Q428" s="15"/>
      <c r="S428" s="15"/>
      <c r="U428" s="15"/>
      <c r="W428" s="15"/>
      <c r="Y428" s="15"/>
      <c r="AA428" s="15"/>
      <c r="AC428" s="15"/>
      <c r="AE428" s="15"/>
      <c r="AG428" s="15"/>
      <c r="AI428" s="15"/>
      <c r="AK428" s="15"/>
      <c r="AM428" s="15"/>
      <c r="AO428" s="15"/>
      <c r="AQ428" s="15"/>
    </row>
    <row r="429" spans="3:44" x14ac:dyDescent="0.25">
      <c r="C429" s="1" t="s">
        <v>1</v>
      </c>
      <c r="D429" s="1">
        <v>1.8</v>
      </c>
      <c r="E429" s="2">
        <v>1.85</v>
      </c>
      <c r="F429" s="2">
        <v>1.9</v>
      </c>
      <c r="G429" s="2">
        <v>1.95</v>
      </c>
      <c r="H429" s="22">
        <v>2</v>
      </c>
      <c r="I429" s="2">
        <v>2.0499999999999998</v>
      </c>
      <c r="J429" s="22">
        <v>2.1</v>
      </c>
      <c r="K429" s="2">
        <v>2.15</v>
      </c>
      <c r="L429" s="22">
        <v>2.2000000000000002</v>
      </c>
      <c r="M429" s="2">
        <v>2.25</v>
      </c>
      <c r="N429" s="22">
        <v>2.2999999999999998</v>
      </c>
      <c r="O429" s="2">
        <v>2.35</v>
      </c>
      <c r="P429" s="22">
        <v>2.4</v>
      </c>
      <c r="Q429" s="2">
        <v>2.4500000000000002</v>
      </c>
      <c r="R429" s="22">
        <v>2.5</v>
      </c>
      <c r="S429" s="2">
        <v>2.5499999999999998</v>
      </c>
      <c r="T429" s="22">
        <v>2.6</v>
      </c>
      <c r="U429" s="2">
        <v>2.65</v>
      </c>
      <c r="V429" s="22">
        <v>2.7</v>
      </c>
      <c r="W429" s="2">
        <v>2.75</v>
      </c>
      <c r="X429" s="22">
        <v>2.8</v>
      </c>
      <c r="Y429" s="2">
        <v>2.85</v>
      </c>
      <c r="Z429" s="22">
        <v>2.9</v>
      </c>
      <c r="AA429" s="2">
        <v>2.95</v>
      </c>
      <c r="AB429" s="22">
        <v>3</v>
      </c>
      <c r="AC429" s="2">
        <v>3.05</v>
      </c>
      <c r="AD429" s="22">
        <v>3.1</v>
      </c>
      <c r="AE429" s="2">
        <v>3.15</v>
      </c>
      <c r="AF429" s="22">
        <v>3.2</v>
      </c>
      <c r="AG429" s="2">
        <v>3.25</v>
      </c>
      <c r="AH429" s="22">
        <v>3.3</v>
      </c>
      <c r="AI429" s="2">
        <v>3.35</v>
      </c>
      <c r="AJ429" s="22">
        <v>3.4</v>
      </c>
      <c r="AK429" s="2">
        <v>3.45</v>
      </c>
      <c r="AL429" s="22">
        <v>3.5</v>
      </c>
      <c r="AM429" s="2">
        <v>3.55</v>
      </c>
      <c r="AN429" s="22">
        <v>3.6</v>
      </c>
      <c r="AO429" s="2">
        <v>3.65</v>
      </c>
      <c r="AP429" s="22">
        <v>3.7</v>
      </c>
      <c r="AQ429" s="2">
        <v>3.75</v>
      </c>
      <c r="AR429" s="22">
        <v>3.8</v>
      </c>
    </row>
    <row r="430" spans="3:44" x14ac:dyDescent="0.25">
      <c r="C430" s="1" t="s">
        <v>2</v>
      </c>
      <c r="D430" s="3">
        <v>13.74877</v>
      </c>
      <c r="E430" s="3">
        <v>13.753325999999999</v>
      </c>
      <c r="F430" s="3">
        <v>13.755382000000001</v>
      </c>
      <c r="G430" s="3">
        <v>13.749290999999999</v>
      </c>
      <c r="H430" s="22">
        <v>12.378629999999999</v>
      </c>
      <c r="I430" s="3">
        <v>12.242870999999999</v>
      </c>
      <c r="J430" s="22">
        <v>11.885737000000001</v>
      </c>
      <c r="K430" s="3">
        <v>11.742604999999999</v>
      </c>
      <c r="L430" s="22">
        <v>11.409795000000001</v>
      </c>
      <c r="M430" s="3">
        <v>11.251006</v>
      </c>
      <c r="N430" s="22">
        <v>10.925914000000001</v>
      </c>
      <c r="O430" s="3">
        <v>10.755177</v>
      </c>
      <c r="P430" s="22">
        <v>10.595264999999999</v>
      </c>
      <c r="Q430" s="3">
        <v>10.291505000000001</v>
      </c>
      <c r="R430" s="22">
        <v>10.146485</v>
      </c>
      <c r="S430" s="3">
        <v>9.9943740000000005</v>
      </c>
      <c r="T430" s="22">
        <v>9.8585410000000007</v>
      </c>
      <c r="U430" s="3">
        <v>9.5766539999999996</v>
      </c>
      <c r="V430" s="22">
        <v>9.4254859999999994</v>
      </c>
      <c r="W430" s="3">
        <v>9.2952879999999993</v>
      </c>
      <c r="X430" s="22">
        <v>9.1808160000000001</v>
      </c>
      <c r="Y430" s="3">
        <v>9.0552609999999998</v>
      </c>
      <c r="Z430" s="22">
        <v>8.8114530000000002</v>
      </c>
      <c r="AA430" s="3">
        <v>8.6983999999999995</v>
      </c>
      <c r="AB430" s="22">
        <v>8.5769369999999991</v>
      </c>
      <c r="AC430" s="3">
        <v>8.4760069999999992</v>
      </c>
      <c r="AD430" s="22">
        <v>8.3715569999999992</v>
      </c>
      <c r="AE430" s="3">
        <v>8.2531879999999997</v>
      </c>
      <c r="AF430" s="22">
        <v>8.0420379999999998</v>
      </c>
      <c r="AG430" s="3">
        <v>7.9534019999999996</v>
      </c>
      <c r="AH430" s="22">
        <v>7.8464619999999998</v>
      </c>
      <c r="AI430" s="3">
        <v>7.7571339999999998</v>
      </c>
      <c r="AJ430" s="22">
        <v>7.6661659999999996</v>
      </c>
      <c r="AK430" s="3">
        <v>7.5803219999999998</v>
      </c>
      <c r="AL430" s="22">
        <v>7.4796040000000001</v>
      </c>
      <c r="AM430" s="3">
        <v>7.414981</v>
      </c>
      <c r="AN430" s="22">
        <v>7.3302639999999997</v>
      </c>
      <c r="AO430" s="3">
        <v>7.2520499999999997</v>
      </c>
      <c r="AP430" s="22">
        <v>7.1749549999999997</v>
      </c>
      <c r="AQ430" s="3">
        <v>7.1024390000000004</v>
      </c>
      <c r="AR430" s="22">
        <v>7.0281640000000003</v>
      </c>
    </row>
    <row r="431" spans="3:44" x14ac:dyDescent="0.25">
      <c r="C431" s="1"/>
      <c r="D431" s="3">
        <v>14.012543000000001</v>
      </c>
      <c r="E431" s="3">
        <v>14.020467</v>
      </c>
      <c r="F431" s="3">
        <v>14.012662000000001</v>
      </c>
      <c r="G431" s="3">
        <v>14.003945</v>
      </c>
      <c r="H431" s="22">
        <v>12.664217000000001</v>
      </c>
      <c r="I431" s="3">
        <v>12.493171</v>
      </c>
      <c r="J431" s="22">
        <v>12.159694</v>
      </c>
      <c r="K431" s="3">
        <v>11.981552000000001</v>
      </c>
      <c r="L431" s="22">
        <v>11.650808</v>
      </c>
      <c r="M431" s="3">
        <v>11.474019999999999</v>
      </c>
      <c r="N431" s="22">
        <v>11.166826</v>
      </c>
      <c r="O431" s="3">
        <v>10.993589</v>
      </c>
      <c r="P431" s="22">
        <v>10.826950999999999</v>
      </c>
      <c r="Q431" s="3">
        <v>10.516215000000001</v>
      </c>
      <c r="R431" s="22">
        <v>10.368167</v>
      </c>
      <c r="S431" s="3">
        <v>10.210925</v>
      </c>
      <c r="T431" s="22">
        <v>10.072678</v>
      </c>
      <c r="U431" s="3">
        <v>9.7757749999999994</v>
      </c>
      <c r="V431" s="22">
        <v>9.6448579999999993</v>
      </c>
      <c r="W431" s="3">
        <v>9.5068099999999998</v>
      </c>
      <c r="X431" s="22">
        <v>9.3654519999999994</v>
      </c>
      <c r="Y431" s="3">
        <v>9.2375179999999997</v>
      </c>
      <c r="Z431" s="22">
        <v>9.0122350000000004</v>
      </c>
      <c r="AA431" s="3">
        <v>8.8881730000000001</v>
      </c>
      <c r="AB431" s="22">
        <v>9.1705620000000003</v>
      </c>
      <c r="AC431" s="3">
        <v>9.0584980000000002</v>
      </c>
      <c r="AD431" s="22">
        <v>8.9310899999999993</v>
      </c>
      <c r="AE431" s="3">
        <v>8.7131360000000004</v>
      </c>
      <c r="AF431" s="22">
        <v>8.6048380000000009</v>
      </c>
      <c r="AG431" s="3">
        <v>8.5056449999999995</v>
      </c>
      <c r="AH431" s="22">
        <v>8.3987549999999995</v>
      </c>
      <c r="AI431" s="3">
        <v>8.3018110000000007</v>
      </c>
      <c r="AJ431" s="22">
        <v>8.1895819999999997</v>
      </c>
      <c r="AK431" s="3">
        <v>8.1051289999999998</v>
      </c>
      <c r="AL431" s="22">
        <v>8.0100719999999992</v>
      </c>
      <c r="AM431" s="3">
        <v>7.9237330000000004</v>
      </c>
      <c r="AN431" s="22">
        <v>7.8227869999999999</v>
      </c>
      <c r="AO431" s="3">
        <v>7.7535959999999999</v>
      </c>
      <c r="AP431" s="22">
        <v>7.6661929999999998</v>
      </c>
      <c r="AQ431" s="3">
        <v>7.5683790000000002</v>
      </c>
      <c r="AR431" s="22">
        <v>7.4985460000000002</v>
      </c>
    </row>
    <row r="432" spans="3:44" x14ac:dyDescent="0.25">
      <c r="C432" s="1"/>
      <c r="D432" s="3">
        <v>14.243544</v>
      </c>
      <c r="E432" s="3">
        <v>14.218851000000001</v>
      </c>
      <c r="F432" s="3">
        <v>14.24329</v>
      </c>
      <c r="G432" s="3">
        <v>14.224138</v>
      </c>
      <c r="H432" s="22">
        <v>14.225391999999999</v>
      </c>
      <c r="I432" s="3">
        <v>12.649338</v>
      </c>
      <c r="J432" s="22">
        <v>12.323212</v>
      </c>
      <c r="K432" s="3">
        <v>12.159708</v>
      </c>
      <c r="L432" s="22">
        <v>11.836278999999999</v>
      </c>
      <c r="M432" s="3">
        <v>11.659746</v>
      </c>
      <c r="N432" s="22">
        <v>11.480763</v>
      </c>
      <c r="O432" s="3">
        <v>11.122223999999999</v>
      </c>
      <c r="P432" s="22">
        <v>11.511317999999999</v>
      </c>
      <c r="Q432" s="3">
        <v>10.806058999999999</v>
      </c>
      <c r="R432" s="22">
        <v>11.020175</v>
      </c>
      <c r="S432" s="3">
        <v>10.86805</v>
      </c>
      <c r="T432" s="22">
        <v>10.696384999999999</v>
      </c>
      <c r="U432" s="3">
        <v>10.404461</v>
      </c>
      <c r="V432" s="22">
        <v>10.232552</v>
      </c>
      <c r="W432" s="3">
        <v>10.094465</v>
      </c>
      <c r="X432" s="22">
        <v>9.9634750000000007</v>
      </c>
      <c r="Y432" s="3">
        <v>9.8193800000000007</v>
      </c>
      <c r="Z432" s="22">
        <v>9.56203</v>
      </c>
      <c r="AA432" s="3">
        <v>9.4205430000000003</v>
      </c>
      <c r="AB432" s="22">
        <v>9.3140560000000008</v>
      </c>
      <c r="AC432" s="3">
        <v>9.1772109999999998</v>
      </c>
      <c r="AD432" s="22">
        <v>9.0702770000000008</v>
      </c>
      <c r="AE432" s="3">
        <v>8.9669159999999994</v>
      </c>
      <c r="AF432" s="22">
        <v>8.7296180000000003</v>
      </c>
      <c r="AG432" s="3">
        <v>8.6261829999999993</v>
      </c>
      <c r="AH432" s="22">
        <v>8.4973569999999992</v>
      </c>
      <c r="AI432" s="3">
        <v>8.4225519999999996</v>
      </c>
      <c r="AJ432" s="22">
        <v>8.3272300000000001</v>
      </c>
      <c r="AK432" s="3">
        <v>8.2221930000000008</v>
      </c>
      <c r="AL432" s="22">
        <v>8.1170609999999996</v>
      </c>
      <c r="AM432" s="3">
        <v>8.0479459999999996</v>
      </c>
      <c r="AN432" s="22">
        <v>7.9309269999999996</v>
      </c>
      <c r="AO432" s="3">
        <v>7.8607719999999999</v>
      </c>
      <c r="AP432" s="22">
        <v>7.767201</v>
      </c>
      <c r="AQ432" s="3">
        <v>7.6973440000000002</v>
      </c>
      <c r="AR432" s="22">
        <v>7.631901</v>
      </c>
    </row>
    <row r="433" spans="3:44" x14ac:dyDescent="0.25">
      <c r="C433" s="1" t="s">
        <v>3</v>
      </c>
      <c r="D433" s="1">
        <f>AVERAGE(D430:D432)</f>
        <v>14.001619</v>
      </c>
      <c r="E433" s="1">
        <f t="shared" ref="E433" si="481">AVERAGE(E430:E432)</f>
        <v>13.997548</v>
      </c>
      <c r="F433" s="1">
        <f t="shared" ref="F433" si="482">AVERAGE(F430:F432)</f>
        <v>14.003778000000002</v>
      </c>
      <c r="G433" s="1">
        <f t="shared" ref="G433" si="483">AVERAGE(G430:G432)</f>
        <v>13.992457999999999</v>
      </c>
      <c r="H433" s="23">
        <f t="shared" ref="H433" si="484">AVERAGE(H430:H432)</f>
        <v>13.089413</v>
      </c>
      <c r="I433" s="1">
        <f t="shared" ref="I433" si="485">AVERAGE(I430:I432)</f>
        <v>12.461793333333333</v>
      </c>
      <c r="J433" s="23">
        <f t="shared" ref="J433" si="486">AVERAGE(J430:J432)</f>
        <v>12.122881</v>
      </c>
      <c r="K433" s="1">
        <f t="shared" ref="K433" si="487">AVERAGE(K430:K432)</f>
        <v>11.961288333333334</v>
      </c>
      <c r="L433" s="23">
        <f t="shared" ref="L433" si="488">AVERAGE(L430:L432)</f>
        <v>11.632294</v>
      </c>
      <c r="M433" s="1">
        <f t="shared" ref="M433" si="489">AVERAGE(M430:M432)</f>
        <v>11.461590666666666</v>
      </c>
      <c r="N433" s="23">
        <f t="shared" ref="N433" si="490">AVERAGE(N430:N432)</f>
        <v>11.191167666666667</v>
      </c>
      <c r="O433" s="1">
        <f t="shared" ref="O433" si="491">AVERAGE(O430:O432)</f>
        <v>10.956996666666667</v>
      </c>
      <c r="P433" s="23">
        <f t="shared" ref="P433" si="492">AVERAGE(P430:P432)</f>
        <v>10.977844666666664</v>
      </c>
      <c r="Q433" s="1">
        <f t="shared" ref="Q433" si="493">AVERAGE(Q430:Q432)</f>
        <v>10.537926333333333</v>
      </c>
      <c r="R433" s="23">
        <f t="shared" ref="R433" si="494">AVERAGE(R430:R432)</f>
        <v>10.511609</v>
      </c>
      <c r="S433" s="1">
        <f t="shared" ref="S433" si="495">AVERAGE(S430:S432)</f>
        <v>10.357783</v>
      </c>
      <c r="T433" s="23">
        <f t="shared" ref="T433" si="496">AVERAGE(T430:T432)</f>
        <v>10.209201333333333</v>
      </c>
      <c r="U433" s="1">
        <f t="shared" ref="U433" si="497">AVERAGE(U430:U432)</f>
        <v>9.9189633333333322</v>
      </c>
      <c r="V433" s="23">
        <f t="shared" ref="V433" si="498">AVERAGE(V430:V432)</f>
        <v>9.767631999999999</v>
      </c>
      <c r="W433" s="1">
        <f t="shared" ref="W433" si="499">AVERAGE(W430:W432)</f>
        <v>9.6321876666666668</v>
      </c>
      <c r="X433" s="23">
        <f t="shared" ref="X433" si="500">AVERAGE(X430:X432)</f>
        <v>9.5032476666666668</v>
      </c>
      <c r="Y433" s="1">
        <f t="shared" ref="Y433" si="501">AVERAGE(Y430:Y432)</f>
        <v>9.3707196666666661</v>
      </c>
      <c r="Z433" s="23">
        <f t="shared" ref="Z433" si="502">AVERAGE(Z430:Z432)</f>
        <v>9.1285726666666669</v>
      </c>
      <c r="AA433" s="1">
        <f t="shared" ref="AA433" si="503">AVERAGE(AA430:AA432)</f>
        <v>9.0023720000000012</v>
      </c>
      <c r="AB433" s="23">
        <f t="shared" ref="AB433" si="504">AVERAGE(AB430:AB432)</f>
        <v>9.0205183333333334</v>
      </c>
      <c r="AC433" s="1">
        <f t="shared" ref="AC433" si="505">AVERAGE(AC430:AC432)</f>
        <v>8.9039053333333325</v>
      </c>
      <c r="AD433" s="23">
        <f t="shared" ref="AD433" si="506">AVERAGE(AD430:AD432)</f>
        <v>8.790974666666667</v>
      </c>
      <c r="AE433" s="1">
        <f t="shared" ref="AE433" si="507">AVERAGE(AE430:AE432)</f>
        <v>8.6444133333333326</v>
      </c>
      <c r="AF433" s="23">
        <f t="shared" ref="AF433" si="508">AVERAGE(AF430:AF432)</f>
        <v>8.4588313333333343</v>
      </c>
      <c r="AG433" s="1">
        <f t="shared" ref="AG433" si="509">AVERAGE(AG430:AG432)</f>
        <v>8.3617433333333313</v>
      </c>
      <c r="AH433" s="23">
        <f t="shared" ref="AH433" si="510">AVERAGE(AH430:AH432)</f>
        <v>8.2475246666666653</v>
      </c>
      <c r="AI433" s="1">
        <f t="shared" ref="AI433" si="511">AVERAGE(AI430:AI432)</f>
        <v>8.1604989999999997</v>
      </c>
      <c r="AJ433" s="23">
        <f t="shared" ref="AJ433" si="512">AVERAGE(AJ430:AJ432)</f>
        <v>8.0609926666666656</v>
      </c>
      <c r="AK433" s="1">
        <f t="shared" ref="AK433" si="513">AVERAGE(AK430:AK432)</f>
        <v>7.9692146666666668</v>
      </c>
      <c r="AL433" s="23">
        <f t="shared" ref="AL433" si="514">AVERAGE(AL430:AL432)</f>
        <v>7.8689123333333333</v>
      </c>
      <c r="AM433" s="1">
        <f t="shared" ref="AM433" si="515">AVERAGE(AM430:AM432)</f>
        <v>7.7955533333333333</v>
      </c>
      <c r="AN433" s="23">
        <f t="shared" ref="AN433" si="516">AVERAGE(AN430:AN432)</f>
        <v>7.6946593333333331</v>
      </c>
      <c r="AO433" s="1">
        <f t="shared" ref="AO433" si="517">AVERAGE(AO430:AO432)</f>
        <v>7.6221393333333332</v>
      </c>
      <c r="AP433" s="23">
        <f t="shared" ref="AP433" si="518">AVERAGE(AP430:AP432)</f>
        <v>7.5361163333333332</v>
      </c>
      <c r="AQ433" s="1">
        <f t="shared" ref="AQ433" si="519">AVERAGE(AQ430:AQ432)</f>
        <v>7.4560540000000008</v>
      </c>
      <c r="AR433" s="23">
        <f t="shared" ref="AR433" si="520">AVERAGE(AR430:AR432)</f>
        <v>7.3862036666666668</v>
      </c>
    </row>
    <row r="460" spans="3:44" x14ac:dyDescent="0.25">
      <c r="C460" s="16" t="s">
        <v>4</v>
      </c>
      <c r="D460" s="16">
        <v>0</v>
      </c>
      <c r="E460" s="16"/>
      <c r="F460" s="16"/>
      <c r="G460" s="16"/>
      <c r="I460" s="16"/>
      <c r="K460" s="16"/>
      <c r="M460" s="16"/>
      <c r="O460" s="16"/>
      <c r="Q460" s="16"/>
      <c r="S460" s="16"/>
      <c r="U460" s="16"/>
      <c r="W460" s="16"/>
      <c r="Y460" s="16"/>
      <c r="AA460" s="16"/>
      <c r="AC460" s="16"/>
      <c r="AE460" s="16"/>
      <c r="AG460" s="16"/>
      <c r="AI460" s="16"/>
      <c r="AK460" s="16"/>
      <c r="AM460" s="16"/>
      <c r="AO460" s="16"/>
      <c r="AQ460" s="16"/>
    </row>
    <row r="461" spans="3:44" x14ac:dyDescent="0.25">
      <c r="C461" s="1" t="s">
        <v>1</v>
      </c>
      <c r="D461" s="1">
        <v>1.8</v>
      </c>
      <c r="E461" s="2">
        <v>1.85</v>
      </c>
      <c r="F461" s="2">
        <v>1.9</v>
      </c>
      <c r="G461" s="2">
        <v>1.95</v>
      </c>
      <c r="H461" s="22">
        <v>2</v>
      </c>
      <c r="I461" s="2">
        <v>2.0499999999999998</v>
      </c>
      <c r="J461" s="22">
        <v>2.1</v>
      </c>
      <c r="K461" s="2">
        <v>2.15</v>
      </c>
      <c r="L461" s="22">
        <v>2.2000000000000002</v>
      </c>
      <c r="M461" s="2">
        <v>2.25</v>
      </c>
      <c r="N461" s="22">
        <v>2.2999999999999998</v>
      </c>
      <c r="O461" s="2">
        <v>2.35</v>
      </c>
      <c r="P461" s="22">
        <v>2.4</v>
      </c>
      <c r="Q461" s="2">
        <v>2.4500000000000002</v>
      </c>
      <c r="R461" s="22">
        <v>2.5</v>
      </c>
      <c r="S461" s="2">
        <v>2.5499999999999998</v>
      </c>
      <c r="T461" s="22">
        <v>2.6</v>
      </c>
      <c r="U461" s="2">
        <v>2.65</v>
      </c>
      <c r="V461" s="22">
        <v>2.7</v>
      </c>
      <c r="W461" s="2">
        <v>2.75</v>
      </c>
      <c r="X461" s="22">
        <v>2.8</v>
      </c>
      <c r="Y461" s="2">
        <v>2.85</v>
      </c>
      <c r="Z461" s="22">
        <v>2.9</v>
      </c>
      <c r="AA461" s="2">
        <v>2.95</v>
      </c>
      <c r="AB461" s="22">
        <v>3</v>
      </c>
      <c r="AC461" s="2">
        <v>3.05</v>
      </c>
      <c r="AD461" s="22">
        <v>3.1</v>
      </c>
      <c r="AE461" s="2">
        <v>3.15</v>
      </c>
      <c r="AF461" s="22">
        <v>3.2</v>
      </c>
      <c r="AG461" s="2">
        <v>3.25</v>
      </c>
      <c r="AH461" s="22">
        <v>3.3</v>
      </c>
      <c r="AI461" s="2">
        <v>3.35</v>
      </c>
      <c r="AJ461" s="22">
        <v>3.4</v>
      </c>
      <c r="AK461" s="2">
        <v>3.45</v>
      </c>
      <c r="AL461" s="22">
        <v>3.5</v>
      </c>
      <c r="AM461" s="2">
        <v>3.55</v>
      </c>
      <c r="AN461" s="22">
        <v>3.6</v>
      </c>
      <c r="AO461" s="2">
        <v>3.65</v>
      </c>
      <c r="AP461" s="22">
        <v>3.7</v>
      </c>
      <c r="AQ461" s="2">
        <v>3.75</v>
      </c>
      <c r="AR461" s="22">
        <v>3.8</v>
      </c>
    </row>
    <row r="462" spans="3:44" x14ac:dyDescent="0.25">
      <c r="C462" s="1" t="s">
        <v>2</v>
      </c>
      <c r="D462" s="3">
        <v>13.124278</v>
      </c>
      <c r="E462" s="3">
        <v>13.144822</v>
      </c>
      <c r="F462" s="3">
        <v>13.142920999999999</v>
      </c>
      <c r="G462" s="3">
        <v>13.127506</v>
      </c>
      <c r="H462" s="22">
        <v>11.828027000000001</v>
      </c>
      <c r="I462" s="3">
        <v>11.692888</v>
      </c>
      <c r="J462" s="22">
        <v>11.342053999999999</v>
      </c>
      <c r="K462" s="3">
        <v>11.211245</v>
      </c>
      <c r="L462" s="22">
        <v>10.885221</v>
      </c>
      <c r="M462" s="3">
        <v>10.7348</v>
      </c>
      <c r="N462" s="22">
        <v>10.420138</v>
      </c>
      <c r="O462" s="3">
        <v>10.273617</v>
      </c>
      <c r="P462" s="22">
        <v>10.110015000000001</v>
      </c>
      <c r="Q462" s="3">
        <v>9.8304320000000001</v>
      </c>
      <c r="R462" s="22">
        <v>9.6847379999999994</v>
      </c>
      <c r="S462" s="3">
        <v>9.5465499999999999</v>
      </c>
      <c r="T462" s="22">
        <v>9.4116739999999997</v>
      </c>
      <c r="U462" s="3">
        <v>9.1387599999999996</v>
      </c>
      <c r="V462" s="22">
        <v>9.0067599999999999</v>
      </c>
      <c r="W462" s="3">
        <v>8.8772310000000001</v>
      </c>
      <c r="X462" s="22">
        <v>8.7636850000000006</v>
      </c>
      <c r="Y462" s="3">
        <v>8.6466349999999998</v>
      </c>
      <c r="Z462" s="22">
        <v>8.4068039999999993</v>
      </c>
      <c r="AA462" s="3">
        <v>8.3118820000000007</v>
      </c>
      <c r="AB462" s="22">
        <v>8.1921689999999998</v>
      </c>
      <c r="AC462" s="3">
        <v>8.0951210000000007</v>
      </c>
      <c r="AD462" s="22">
        <v>7.9858539999999998</v>
      </c>
      <c r="AE462" s="3">
        <v>7.8739879999999998</v>
      </c>
      <c r="AF462" s="22">
        <v>7.6828029999999998</v>
      </c>
      <c r="AG462" s="3">
        <v>7.595701</v>
      </c>
      <c r="AH462" s="22">
        <v>7.5007830000000002</v>
      </c>
      <c r="AI462" s="3">
        <v>7.4127780000000003</v>
      </c>
      <c r="AJ462" s="22">
        <v>7.3234159999999999</v>
      </c>
      <c r="AK462" s="3">
        <v>7.242998</v>
      </c>
      <c r="AL462" s="22">
        <v>7.1583560000000004</v>
      </c>
      <c r="AM462" s="3">
        <v>7.0851139999999999</v>
      </c>
      <c r="AN462" s="22">
        <v>7.0011330000000003</v>
      </c>
      <c r="AO462" s="3">
        <v>6.9274129999999996</v>
      </c>
      <c r="AP462" s="22">
        <v>6.8521619999999999</v>
      </c>
      <c r="AQ462" s="3">
        <v>6.7862640000000001</v>
      </c>
      <c r="AR462" s="22">
        <v>6.714232</v>
      </c>
    </row>
    <row r="463" spans="3:44" x14ac:dyDescent="0.25">
      <c r="C463" s="1"/>
      <c r="D463" s="3">
        <v>13.377516</v>
      </c>
      <c r="E463" s="3">
        <v>13.377267</v>
      </c>
      <c r="F463" s="3">
        <v>13.34113</v>
      </c>
      <c r="G463" s="3">
        <v>13.358817</v>
      </c>
      <c r="H463" s="22">
        <v>12.093188</v>
      </c>
      <c r="I463" s="3">
        <v>11.910575</v>
      </c>
      <c r="J463" s="22">
        <v>11.599688</v>
      </c>
      <c r="K463" s="3">
        <v>11.418322</v>
      </c>
      <c r="L463" s="22">
        <v>11.109594</v>
      </c>
      <c r="M463" s="3">
        <v>10.950794999999999</v>
      </c>
      <c r="N463" s="22">
        <v>10.643354</v>
      </c>
      <c r="O463" s="3">
        <v>10.482772000000001</v>
      </c>
      <c r="P463" s="22">
        <v>10.315422</v>
      </c>
      <c r="Q463" s="3">
        <v>10.032622</v>
      </c>
      <c r="R463" s="22">
        <v>9.8789379999999998</v>
      </c>
      <c r="S463" s="3">
        <v>9.7377880000000001</v>
      </c>
      <c r="T463" s="22">
        <v>9.6064790000000002</v>
      </c>
      <c r="U463" s="3">
        <v>9.3191279999999992</v>
      </c>
      <c r="V463" s="22">
        <v>9.1979439999999997</v>
      </c>
      <c r="W463" s="3">
        <v>9.0715730000000008</v>
      </c>
      <c r="X463" s="22">
        <v>8.9309969999999996</v>
      </c>
      <c r="Y463" s="3">
        <v>8.8029019999999996</v>
      </c>
      <c r="Z463" s="22">
        <v>8.5953520000000001</v>
      </c>
      <c r="AA463" s="3">
        <v>8.4690849999999998</v>
      </c>
      <c r="AB463" s="22">
        <v>8.7614699999999992</v>
      </c>
      <c r="AC463" s="3">
        <v>8.6585070000000002</v>
      </c>
      <c r="AD463" s="22">
        <v>8.5269290000000009</v>
      </c>
      <c r="AE463" s="3">
        <v>8.3342519999999993</v>
      </c>
      <c r="AF463" s="22">
        <v>8.2272370000000006</v>
      </c>
      <c r="AG463" s="3">
        <v>8.1258510000000008</v>
      </c>
      <c r="AH463" s="22">
        <v>8.025722</v>
      </c>
      <c r="AI463" s="3">
        <v>7.9289779999999999</v>
      </c>
      <c r="AJ463" s="22">
        <v>7.8278790000000003</v>
      </c>
      <c r="AK463" s="3">
        <v>7.7346370000000002</v>
      </c>
      <c r="AL463" s="22">
        <v>7.6477930000000001</v>
      </c>
      <c r="AM463" s="3">
        <v>7.5591160000000004</v>
      </c>
      <c r="AN463" s="22">
        <v>7.4773319999999996</v>
      </c>
      <c r="AO463" s="3">
        <v>7.4007440000000004</v>
      </c>
      <c r="AP463" s="22">
        <v>7.324033</v>
      </c>
      <c r="AQ463" s="3">
        <v>7.2260749999999998</v>
      </c>
      <c r="AR463" s="22">
        <v>7.1659519999999999</v>
      </c>
    </row>
    <row r="464" spans="3:44" x14ac:dyDescent="0.25">
      <c r="C464" s="1"/>
      <c r="D464" s="3">
        <v>13.529057</v>
      </c>
      <c r="E464" s="3">
        <v>13.512466999999999</v>
      </c>
      <c r="F464" s="3">
        <v>13.530673</v>
      </c>
      <c r="G464" s="3">
        <v>13.518303</v>
      </c>
      <c r="H464" s="22">
        <v>13.507089000000001</v>
      </c>
      <c r="I464" s="3">
        <v>12.038247999999999</v>
      </c>
      <c r="J464" s="22">
        <v>11.714066000000001</v>
      </c>
      <c r="K464" s="3">
        <v>11.561294999999999</v>
      </c>
      <c r="L464" s="22">
        <v>11.247304</v>
      </c>
      <c r="M464" s="3">
        <v>11.086652000000001</v>
      </c>
      <c r="N464" s="22">
        <v>10.911707</v>
      </c>
      <c r="O464" s="3">
        <v>10.570192</v>
      </c>
      <c r="P464" s="22">
        <v>10.98856</v>
      </c>
      <c r="Q464" s="3">
        <v>10.272012</v>
      </c>
      <c r="R464" s="22">
        <v>10.516412000000001</v>
      </c>
      <c r="S464" s="3">
        <v>10.366989999999999</v>
      </c>
      <c r="T464" s="22">
        <v>10.218438000000001</v>
      </c>
      <c r="U464" s="3">
        <v>9.9300569999999997</v>
      </c>
      <c r="V464" s="22">
        <v>9.7625519999999995</v>
      </c>
      <c r="W464" s="3">
        <v>9.6330849999999995</v>
      </c>
      <c r="X464" s="22">
        <v>9.5124680000000001</v>
      </c>
      <c r="Y464" s="3">
        <v>9.3677720000000004</v>
      </c>
      <c r="Z464" s="22">
        <v>9.1179369999999995</v>
      </c>
      <c r="AA464" s="3">
        <v>8.9983520000000006</v>
      </c>
      <c r="AB464" s="22">
        <v>8.883089</v>
      </c>
      <c r="AC464" s="3">
        <v>8.7621570000000002</v>
      </c>
      <c r="AD464" s="22">
        <v>8.6515240000000002</v>
      </c>
      <c r="AE464" s="3">
        <v>8.5547540000000009</v>
      </c>
      <c r="AF464" s="22">
        <v>8.340802</v>
      </c>
      <c r="AG464" s="3">
        <v>8.2341700000000007</v>
      </c>
      <c r="AH464" s="22">
        <v>8.1202640000000006</v>
      </c>
      <c r="AI464" s="3">
        <v>8.0422940000000001</v>
      </c>
      <c r="AJ464" s="22">
        <v>7.9443859999999997</v>
      </c>
      <c r="AK464" s="3">
        <v>7.8552379999999999</v>
      </c>
      <c r="AL464" s="22">
        <v>7.7584499999999998</v>
      </c>
      <c r="AM464" s="3">
        <v>7.6776999999999997</v>
      </c>
      <c r="AN464" s="22">
        <v>7.5744009999999999</v>
      </c>
      <c r="AO464" s="3">
        <v>7.4989590000000002</v>
      </c>
      <c r="AP464" s="22">
        <v>7.4194550000000001</v>
      </c>
      <c r="AQ464" s="3">
        <v>7.3524240000000001</v>
      </c>
      <c r="AR464" s="22">
        <v>7.2864849999999999</v>
      </c>
    </row>
    <row r="465" spans="3:44" x14ac:dyDescent="0.25">
      <c r="C465" s="1" t="s">
        <v>3</v>
      </c>
      <c r="D465" s="1">
        <f>AVERAGE(D462:D464)</f>
        <v>13.343617</v>
      </c>
      <c r="E465" s="1">
        <f t="shared" ref="E465" si="521">AVERAGE(E462:E464)</f>
        <v>13.344852000000001</v>
      </c>
      <c r="F465" s="1">
        <f t="shared" ref="F465" si="522">AVERAGE(F462:F464)</f>
        <v>13.338241333333334</v>
      </c>
      <c r="G465" s="1">
        <f t="shared" ref="G465" si="523">AVERAGE(G462:G464)</f>
        <v>13.334875333333335</v>
      </c>
      <c r="H465" s="23">
        <f t="shared" ref="H465" si="524">AVERAGE(H462:H464)</f>
        <v>12.476101333333332</v>
      </c>
      <c r="I465" s="1">
        <f t="shared" ref="I465" si="525">AVERAGE(I462:I464)</f>
        <v>11.880570333333333</v>
      </c>
      <c r="J465" s="23">
        <f t="shared" ref="J465" si="526">AVERAGE(J462:J464)</f>
        <v>11.551936</v>
      </c>
      <c r="K465" s="1">
        <f t="shared" ref="K465" si="527">AVERAGE(K462:K464)</f>
        <v>11.396954000000001</v>
      </c>
      <c r="L465" s="23">
        <f t="shared" ref="L465" si="528">AVERAGE(L462:L464)</f>
        <v>11.080706333333334</v>
      </c>
      <c r="M465" s="1">
        <f t="shared" ref="M465" si="529">AVERAGE(M462:M464)</f>
        <v>10.924082333333333</v>
      </c>
      <c r="N465" s="23">
        <f t="shared" ref="N465" si="530">AVERAGE(N462:N464)</f>
        <v>10.658399666666666</v>
      </c>
      <c r="O465" s="1">
        <f t="shared" ref="O465" si="531">AVERAGE(O462:O464)</f>
        <v>10.442193666666666</v>
      </c>
      <c r="P465" s="23">
        <f t="shared" ref="P465" si="532">AVERAGE(P462:P464)</f>
        <v>10.471332333333335</v>
      </c>
      <c r="Q465" s="1">
        <f t="shared" ref="Q465" si="533">AVERAGE(Q462:Q464)</f>
        <v>10.045021999999999</v>
      </c>
      <c r="R465" s="23">
        <f t="shared" ref="R465" si="534">AVERAGE(R462:R464)</f>
        <v>10.026696000000001</v>
      </c>
      <c r="S465" s="1">
        <f t="shared" ref="S465" si="535">AVERAGE(S462:S464)</f>
        <v>9.8837759999999992</v>
      </c>
      <c r="T465" s="23">
        <f t="shared" ref="T465" si="536">AVERAGE(T462:T464)</f>
        <v>9.745530333333333</v>
      </c>
      <c r="U465" s="1">
        <f t="shared" ref="U465" si="537">AVERAGE(U462:U464)</f>
        <v>9.4626483333333322</v>
      </c>
      <c r="V465" s="23">
        <f t="shared" ref="V465" si="538">AVERAGE(V462:V464)</f>
        <v>9.3224186666666657</v>
      </c>
      <c r="W465" s="1">
        <f t="shared" ref="W465" si="539">AVERAGE(W462:W464)</f>
        <v>9.1939630000000019</v>
      </c>
      <c r="X465" s="23">
        <f t="shared" ref="X465" si="540">AVERAGE(X462:X464)</f>
        <v>9.0690499999999989</v>
      </c>
      <c r="Y465" s="1">
        <f t="shared" ref="Y465" si="541">AVERAGE(Y462:Y464)</f>
        <v>8.9391030000000011</v>
      </c>
      <c r="Z465" s="23">
        <f t="shared" ref="Z465" si="542">AVERAGE(Z462:Z464)</f>
        <v>8.7066976666666651</v>
      </c>
      <c r="AA465" s="1">
        <f t="shared" ref="AA465" si="543">AVERAGE(AA462:AA464)</f>
        <v>8.5931063333333331</v>
      </c>
      <c r="AB465" s="23">
        <f t="shared" ref="AB465" si="544">AVERAGE(AB462:AB464)</f>
        <v>8.6122426666666669</v>
      </c>
      <c r="AC465" s="1">
        <f t="shared" ref="AC465" si="545">AVERAGE(AC462:AC464)</f>
        <v>8.5052616666666676</v>
      </c>
      <c r="AD465" s="23">
        <f t="shared" ref="AD465" si="546">AVERAGE(AD462:AD464)</f>
        <v>8.3881023333333342</v>
      </c>
      <c r="AE465" s="1">
        <f t="shared" ref="AE465" si="547">AVERAGE(AE462:AE464)</f>
        <v>8.254331333333333</v>
      </c>
      <c r="AF465" s="23">
        <f t="shared" ref="AF465" si="548">AVERAGE(AF462:AF464)</f>
        <v>8.083613999999999</v>
      </c>
      <c r="AG465" s="1">
        <f t="shared" ref="AG465" si="549">AVERAGE(AG462:AG464)</f>
        <v>7.9852406666666669</v>
      </c>
      <c r="AH465" s="23">
        <f t="shared" ref="AH465" si="550">AVERAGE(AH462:AH464)</f>
        <v>7.8822563333333333</v>
      </c>
      <c r="AI465" s="1">
        <f t="shared" ref="AI465" si="551">AVERAGE(AI462:AI464)</f>
        <v>7.7946833333333343</v>
      </c>
      <c r="AJ465" s="23">
        <f t="shared" ref="AJ465" si="552">AVERAGE(AJ462:AJ464)</f>
        <v>7.698560333333333</v>
      </c>
      <c r="AK465" s="1">
        <f t="shared" ref="AK465" si="553">AVERAGE(AK462:AK464)</f>
        <v>7.6109576666666667</v>
      </c>
      <c r="AL465" s="23">
        <f t="shared" ref="AL465" si="554">AVERAGE(AL462:AL464)</f>
        <v>7.5215330000000007</v>
      </c>
      <c r="AM465" s="1">
        <f t="shared" ref="AM465" si="555">AVERAGE(AM462:AM464)</f>
        <v>7.4406433333333339</v>
      </c>
      <c r="AN465" s="23">
        <f t="shared" ref="AN465" si="556">AVERAGE(AN462:AN464)</f>
        <v>7.3509553333333342</v>
      </c>
      <c r="AO465" s="1">
        <f t="shared" ref="AO465" si="557">AVERAGE(AO462:AO464)</f>
        <v>7.2757053333333337</v>
      </c>
      <c r="AP465" s="23">
        <f t="shared" ref="AP465" si="558">AVERAGE(AP462:AP464)</f>
        <v>7.19855</v>
      </c>
      <c r="AQ465" s="1">
        <f t="shared" ref="AQ465" si="559">AVERAGE(AQ462:AQ464)</f>
        <v>7.1215876666666666</v>
      </c>
      <c r="AR465" s="23">
        <f t="shared" ref="AR465" si="560">AVERAGE(AR462:AR464)</f>
        <v>7.0555563333333327</v>
      </c>
    </row>
    <row r="491" spans="3:44" x14ac:dyDescent="0.25">
      <c r="C491" s="17" t="s">
        <v>4</v>
      </c>
      <c r="D491" s="17">
        <v>-5</v>
      </c>
      <c r="E491" s="17"/>
      <c r="F491" s="17"/>
      <c r="G491" s="17"/>
      <c r="I491" s="17"/>
      <c r="K491" s="17"/>
      <c r="M491" s="17"/>
      <c r="O491" s="17"/>
      <c r="Q491" s="17"/>
      <c r="S491" s="17"/>
      <c r="U491" s="17"/>
      <c r="W491" s="17"/>
      <c r="Y491" s="17"/>
      <c r="AA491" s="17"/>
      <c r="AC491" s="17"/>
      <c r="AE491" s="17"/>
      <c r="AG491" s="17"/>
      <c r="AI491" s="17"/>
      <c r="AK491" s="17"/>
      <c r="AM491" s="17"/>
      <c r="AO491" s="17"/>
      <c r="AQ491" s="17"/>
    </row>
    <row r="492" spans="3:44" x14ac:dyDescent="0.25">
      <c r="C492" s="1" t="s">
        <v>1</v>
      </c>
      <c r="D492" s="1">
        <v>1.8</v>
      </c>
      <c r="E492" s="2">
        <v>1.85</v>
      </c>
      <c r="F492" s="2">
        <v>1.9</v>
      </c>
      <c r="G492" s="2">
        <v>1.95</v>
      </c>
      <c r="H492" s="22">
        <v>2</v>
      </c>
      <c r="I492" s="2">
        <v>2.0499999999999998</v>
      </c>
      <c r="J492" s="22">
        <v>2.1</v>
      </c>
      <c r="K492" s="2">
        <v>2.15</v>
      </c>
      <c r="L492" s="22">
        <v>2.2000000000000002</v>
      </c>
      <c r="M492" s="2">
        <v>2.25</v>
      </c>
      <c r="N492" s="22">
        <v>2.2999999999999998</v>
      </c>
      <c r="O492" s="2">
        <v>2.35</v>
      </c>
      <c r="P492" s="22">
        <v>2.4</v>
      </c>
      <c r="Q492" s="2">
        <v>2.4500000000000002</v>
      </c>
      <c r="R492" s="22">
        <v>2.5</v>
      </c>
      <c r="S492" s="2">
        <v>2.5499999999999998</v>
      </c>
      <c r="T492" s="22">
        <v>2.6</v>
      </c>
      <c r="U492" s="2">
        <v>2.65</v>
      </c>
      <c r="V492" s="22">
        <v>2.7</v>
      </c>
      <c r="W492" s="2">
        <v>2.75</v>
      </c>
      <c r="X492" s="22">
        <v>2.8</v>
      </c>
      <c r="Y492" s="2">
        <v>2.85</v>
      </c>
      <c r="Z492" s="22">
        <v>2.9</v>
      </c>
      <c r="AA492" s="2">
        <v>2.95</v>
      </c>
      <c r="AB492" s="22">
        <v>3</v>
      </c>
      <c r="AC492" s="2">
        <v>3.05</v>
      </c>
      <c r="AD492" s="22">
        <v>3.1</v>
      </c>
      <c r="AE492" s="2">
        <v>3.15</v>
      </c>
      <c r="AF492" s="22">
        <v>3.2</v>
      </c>
      <c r="AG492" s="2">
        <v>3.25</v>
      </c>
      <c r="AH492" s="22">
        <v>3.3</v>
      </c>
      <c r="AI492" s="2">
        <v>3.35</v>
      </c>
      <c r="AJ492" s="22">
        <v>3.4</v>
      </c>
      <c r="AK492" s="2">
        <v>3.45</v>
      </c>
      <c r="AL492" s="22">
        <v>3.5</v>
      </c>
      <c r="AM492" s="2">
        <v>3.55</v>
      </c>
      <c r="AN492" s="22">
        <v>3.6</v>
      </c>
      <c r="AO492" s="2">
        <v>3.65</v>
      </c>
      <c r="AP492" s="22">
        <v>3.7</v>
      </c>
      <c r="AQ492" s="2">
        <v>3.75</v>
      </c>
      <c r="AR492" s="22">
        <v>3.8</v>
      </c>
    </row>
    <row r="493" spans="3:44" x14ac:dyDescent="0.25">
      <c r="C493" s="1" t="s">
        <v>2</v>
      </c>
      <c r="D493" s="3">
        <v>10.259416</v>
      </c>
      <c r="E493" s="3">
        <v>10.263054</v>
      </c>
      <c r="F493" s="3">
        <v>10.269883999999999</v>
      </c>
      <c r="G493" s="3">
        <v>10.282980999999999</v>
      </c>
      <c r="H493" s="22">
        <v>9.2536240000000003</v>
      </c>
      <c r="I493" s="3">
        <v>9.1349250000000008</v>
      </c>
      <c r="J493" s="22">
        <v>8.8819759999999999</v>
      </c>
      <c r="K493" s="3">
        <v>8.7662110000000002</v>
      </c>
      <c r="L493" s="22">
        <v>8.532978</v>
      </c>
      <c r="M493" s="3">
        <v>8.394838</v>
      </c>
      <c r="N493" s="22">
        <v>8.1572329999999997</v>
      </c>
      <c r="O493" s="3">
        <v>8.0252669999999995</v>
      </c>
      <c r="P493" s="22">
        <v>7.9146510000000001</v>
      </c>
      <c r="Q493" s="3">
        <v>7.6942110000000001</v>
      </c>
      <c r="R493" s="22">
        <v>7.5699069999999997</v>
      </c>
      <c r="S493" s="3">
        <v>7.475625</v>
      </c>
      <c r="T493" s="22">
        <v>7.3587429999999996</v>
      </c>
      <c r="U493" s="3">
        <v>7.1541490000000003</v>
      </c>
      <c r="V493" s="22">
        <v>7.0456909999999997</v>
      </c>
      <c r="W493" s="3">
        <v>6.9598339999999999</v>
      </c>
      <c r="X493" s="22">
        <v>6.8498489999999999</v>
      </c>
      <c r="Y493" s="3">
        <v>6.7669280000000001</v>
      </c>
      <c r="Z493" s="22">
        <v>6.5844579999999997</v>
      </c>
      <c r="AA493" s="3">
        <v>6.5021779999999998</v>
      </c>
      <c r="AB493" s="22">
        <v>6.4181520000000001</v>
      </c>
      <c r="AC493" s="3">
        <v>6.3348279999999999</v>
      </c>
      <c r="AD493" s="22">
        <v>6.2496130000000001</v>
      </c>
      <c r="AE493" s="3">
        <v>6.1710630000000002</v>
      </c>
      <c r="AF493" s="22">
        <v>6.0142990000000003</v>
      </c>
      <c r="AG493" s="3">
        <v>5.9436299999999997</v>
      </c>
      <c r="AH493" s="22">
        <v>5.8742080000000003</v>
      </c>
      <c r="AI493" s="3">
        <v>5.8053379999999999</v>
      </c>
      <c r="AJ493" s="22">
        <v>5.735557</v>
      </c>
      <c r="AK493" s="3">
        <v>5.6754899999999999</v>
      </c>
      <c r="AL493" s="22">
        <v>5.6093529999999996</v>
      </c>
      <c r="AM493" s="3">
        <v>5.5474209999999999</v>
      </c>
      <c r="AN493" s="22">
        <v>5.4807839999999999</v>
      </c>
      <c r="AO493" s="3">
        <v>5.4267529999999997</v>
      </c>
      <c r="AP493" s="22">
        <v>5.3684560000000001</v>
      </c>
      <c r="AQ493" s="3">
        <v>5.3010159999999997</v>
      </c>
      <c r="AR493" s="22">
        <v>5.2599479999999996</v>
      </c>
    </row>
    <row r="494" spans="3:44" x14ac:dyDescent="0.25">
      <c r="C494" s="1"/>
      <c r="D494" s="3">
        <v>10.556006999999999</v>
      </c>
      <c r="E494" s="3">
        <v>10.556307</v>
      </c>
      <c r="F494" s="3">
        <v>10.558873</v>
      </c>
      <c r="G494" s="3">
        <v>10.535095999999999</v>
      </c>
      <c r="H494" s="22">
        <v>9.5411129999999993</v>
      </c>
      <c r="I494" s="3">
        <v>9.3990709999999993</v>
      </c>
      <c r="J494" s="22">
        <v>9.1547889999999992</v>
      </c>
      <c r="K494" s="3">
        <v>9.0057880000000008</v>
      </c>
      <c r="L494" s="22">
        <v>8.7647750000000002</v>
      </c>
      <c r="M494" s="3">
        <v>8.6317170000000001</v>
      </c>
      <c r="N494" s="22">
        <v>8.4013950000000008</v>
      </c>
      <c r="O494" s="3">
        <v>8.2662949999999995</v>
      </c>
      <c r="P494" s="22">
        <v>8.1352580000000003</v>
      </c>
      <c r="Q494" s="3">
        <v>7.9147679999999996</v>
      </c>
      <c r="R494" s="22">
        <v>7.8013190000000003</v>
      </c>
      <c r="S494" s="3">
        <v>7.6839490000000001</v>
      </c>
      <c r="T494" s="22">
        <v>7.5731029999999997</v>
      </c>
      <c r="U494" s="3">
        <v>7.3718320000000004</v>
      </c>
      <c r="V494" s="22">
        <v>7.2557739999999997</v>
      </c>
      <c r="W494" s="3">
        <v>7.1310370000000001</v>
      </c>
      <c r="X494" s="22">
        <v>7.0561860000000003</v>
      </c>
      <c r="Y494" s="3">
        <v>6.9645289999999997</v>
      </c>
      <c r="Z494" s="22">
        <v>6.781263</v>
      </c>
      <c r="AA494" s="3">
        <v>6.6992039999999999</v>
      </c>
      <c r="AB494" s="22">
        <v>7.069064</v>
      </c>
      <c r="AC494" s="3">
        <v>6.9880699999999996</v>
      </c>
      <c r="AD494" s="22">
        <v>6.866536</v>
      </c>
      <c r="AE494" s="3">
        <v>6.7232940000000001</v>
      </c>
      <c r="AF494" s="22">
        <v>6.6373470000000001</v>
      </c>
      <c r="AG494" s="3">
        <v>6.5470930000000003</v>
      </c>
      <c r="AH494" s="22">
        <v>6.4652839999999996</v>
      </c>
      <c r="AI494" s="3">
        <v>6.4048350000000003</v>
      </c>
      <c r="AJ494" s="22">
        <v>6.3087229999999996</v>
      </c>
      <c r="AK494" s="3">
        <v>6.2427599999999996</v>
      </c>
      <c r="AL494" s="22">
        <v>6.1643929999999996</v>
      </c>
      <c r="AM494" s="3">
        <v>6.0984619999999996</v>
      </c>
      <c r="AN494" s="22">
        <v>6.0380390000000004</v>
      </c>
      <c r="AO494" s="3">
        <v>5.973058</v>
      </c>
      <c r="AP494" s="22">
        <v>5.919206</v>
      </c>
      <c r="AQ494" s="3">
        <v>5.8276190000000003</v>
      </c>
      <c r="AR494" s="22">
        <v>5.7868570000000004</v>
      </c>
    </row>
    <row r="495" spans="3:44" x14ac:dyDescent="0.25">
      <c r="C495" s="1"/>
      <c r="D495" s="3">
        <v>10.613662</v>
      </c>
      <c r="E495" s="3">
        <v>10.630739</v>
      </c>
      <c r="F495" s="3">
        <v>10.621219</v>
      </c>
      <c r="G495" s="3">
        <v>10.607276000000001</v>
      </c>
      <c r="H495" s="22">
        <v>10.622752</v>
      </c>
      <c r="I495" s="3">
        <v>9.4645480000000006</v>
      </c>
      <c r="J495" s="22">
        <v>9.2125219999999999</v>
      </c>
      <c r="K495" s="3">
        <v>9.0934340000000002</v>
      </c>
      <c r="L495" s="22">
        <v>8.8299050000000001</v>
      </c>
      <c r="M495" s="3">
        <v>8.7097409999999993</v>
      </c>
      <c r="N495" s="22">
        <v>8.5620150000000006</v>
      </c>
      <c r="O495" s="3">
        <v>8.3200769999999995</v>
      </c>
      <c r="P495" s="22">
        <v>8.7488550000000007</v>
      </c>
      <c r="Q495" s="3">
        <v>8.0823090000000004</v>
      </c>
      <c r="R495" s="22">
        <v>8.3942289999999993</v>
      </c>
      <c r="S495" s="3">
        <v>8.2661280000000001</v>
      </c>
      <c r="T495" s="22">
        <v>7.6405370000000001</v>
      </c>
      <c r="U495" s="3">
        <v>7.9220709999999999</v>
      </c>
      <c r="V495" s="22">
        <v>7.8044750000000001</v>
      </c>
      <c r="W495" s="3">
        <v>7.697292</v>
      </c>
      <c r="X495" s="22">
        <v>7.5835900000000001</v>
      </c>
      <c r="Y495" s="3">
        <v>7.4800990000000001</v>
      </c>
      <c r="Z495" s="22">
        <v>7.267099</v>
      </c>
      <c r="AA495" s="3">
        <v>7.1935079999999996</v>
      </c>
      <c r="AB495" s="22">
        <v>7.1074080000000004</v>
      </c>
      <c r="AC495" s="3">
        <v>7.0055069999999997</v>
      </c>
      <c r="AD495" s="22">
        <v>6.9163730000000001</v>
      </c>
      <c r="AE495" s="3">
        <v>6.8369059999999999</v>
      </c>
      <c r="AF495" s="22">
        <v>6.6539440000000001</v>
      </c>
      <c r="AG495" s="3">
        <v>6.5758109999999999</v>
      </c>
      <c r="AH495" s="22">
        <v>6.4904500000000001</v>
      </c>
      <c r="AI495" s="3">
        <v>6.4154669999999996</v>
      </c>
      <c r="AJ495" s="22">
        <v>6.3395820000000001</v>
      </c>
      <c r="AK495" s="3">
        <v>6.278772</v>
      </c>
      <c r="AL495" s="22">
        <v>6.1971230000000004</v>
      </c>
      <c r="AM495" s="3">
        <v>6.1374060000000004</v>
      </c>
      <c r="AN495" s="22">
        <v>6.0559050000000001</v>
      </c>
      <c r="AO495" s="3">
        <v>6.0040079999999998</v>
      </c>
      <c r="AP495" s="22">
        <v>5.9375679999999997</v>
      </c>
      <c r="AQ495" s="3">
        <v>5.8740819999999996</v>
      </c>
      <c r="AR495" s="22">
        <v>5.8177159999999999</v>
      </c>
    </row>
    <row r="496" spans="3:44" x14ac:dyDescent="0.25">
      <c r="C496" s="1" t="s">
        <v>3</v>
      </c>
      <c r="D496" s="1">
        <f>AVERAGE(D493:D495)</f>
        <v>10.476361666666667</v>
      </c>
      <c r="E496" s="1">
        <f t="shared" ref="E496" si="561">AVERAGE(E493:E495)</f>
        <v>10.483366666666667</v>
      </c>
      <c r="F496" s="1">
        <f t="shared" ref="F496" si="562">AVERAGE(F493:F495)</f>
        <v>10.483325333333333</v>
      </c>
      <c r="G496" s="1">
        <f t="shared" ref="G496" si="563">AVERAGE(G493:G495)</f>
        <v>10.475117666666668</v>
      </c>
      <c r="H496" s="23">
        <f t="shared" ref="H496" si="564">AVERAGE(H493:H495)</f>
        <v>9.805829666666666</v>
      </c>
      <c r="I496" s="1">
        <f t="shared" ref="I496" si="565">AVERAGE(I493:I495)</f>
        <v>9.3328480000000003</v>
      </c>
      <c r="J496" s="23">
        <f t="shared" ref="J496" si="566">AVERAGE(J493:J495)</f>
        <v>9.0830956666666669</v>
      </c>
      <c r="K496" s="1">
        <f t="shared" ref="K496" si="567">AVERAGE(K493:K495)</f>
        <v>8.9551443333333349</v>
      </c>
      <c r="L496" s="23">
        <f t="shared" ref="L496" si="568">AVERAGE(L493:L495)</f>
        <v>8.7092193333333334</v>
      </c>
      <c r="M496" s="1">
        <f t="shared" ref="M496" si="569">AVERAGE(M493:M495)</f>
        <v>8.5787653333333349</v>
      </c>
      <c r="N496" s="23">
        <f t="shared" ref="N496" si="570">AVERAGE(N493:N495)</f>
        <v>8.3735476666666671</v>
      </c>
      <c r="O496" s="1">
        <f t="shared" ref="O496" si="571">AVERAGE(O493:O495)</f>
        <v>8.2038796666666656</v>
      </c>
      <c r="P496" s="23">
        <f t="shared" ref="P496" si="572">AVERAGE(P493:P495)</f>
        <v>8.2662546666666668</v>
      </c>
      <c r="Q496" s="1">
        <f t="shared" ref="Q496" si="573">AVERAGE(Q493:Q495)</f>
        <v>7.8970960000000003</v>
      </c>
      <c r="R496" s="23">
        <f t="shared" ref="R496" si="574">AVERAGE(R493:R495)</f>
        <v>7.9218183333333334</v>
      </c>
      <c r="S496" s="1">
        <f t="shared" ref="S496" si="575">AVERAGE(S493:S495)</f>
        <v>7.8085673333333334</v>
      </c>
      <c r="T496" s="23">
        <f t="shared" ref="T496" si="576">AVERAGE(T493:T495)</f>
        <v>7.5241276666666677</v>
      </c>
      <c r="U496" s="1">
        <f t="shared" ref="U496" si="577">AVERAGE(U493:U495)</f>
        <v>7.4826839999999999</v>
      </c>
      <c r="V496" s="23">
        <f t="shared" ref="V496" si="578">AVERAGE(V493:V495)</f>
        <v>7.3686466666666668</v>
      </c>
      <c r="W496" s="1">
        <f t="shared" ref="W496" si="579">AVERAGE(W493:W495)</f>
        <v>7.262721</v>
      </c>
      <c r="X496" s="23">
        <f t="shared" ref="X496" si="580">AVERAGE(X493:X495)</f>
        <v>7.1632083333333334</v>
      </c>
      <c r="Y496" s="1">
        <f t="shared" ref="Y496" si="581">AVERAGE(Y493:Y495)</f>
        <v>7.0705186666666657</v>
      </c>
      <c r="Z496" s="23">
        <f t="shared" ref="Z496" si="582">AVERAGE(Z493:Z495)</f>
        <v>6.8776066666666678</v>
      </c>
      <c r="AA496" s="1">
        <f t="shared" ref="AA496" si="583">AVERAGE(AA493:AA495)</f>
        <v>6.7982966666666655</v>
      </c>
      <c r="AB496" s="23">
        <f t="shared" ref="AB496" si="584">AVERAGE(AB493:AB495)</f>
        <v>6.8648746666666662</v>
      </c>
      <c r="AC496" s="1">
        <f t="shared" ref="AC496" si="585">AVERAGE(AC493:AC495)</f>
        <v>6.7761349999999991</v>
      </c>
      <c r="AD496" s="23">
        <f t="shared" ref="AD496" si="586">AVERAGE(AD493:AD495)</f>
        <v>6.6775073333333337</v>
      </c>
      <c r="AE496" s="1">
        <f t="shared" ref="AE496" si="587">AVERAGE(AE493:AE495)</f>
        <v>6.5770876666666664</v>
      </c>
      <c r="AF496" s="23">
        <f t="shared" ref="AF496" si="588">AVERAGE(AF493:AF495)</f>
        <v>6.4351966666666662</v>
      </c>
      <c r="AG496" s="1">
        <f t="shared" ref="AG496" si="589">AVERAGE(AG493:AG495)</f>
        <v>6.3555113333333324</v>
      </c>
      <c r="AH496" s="23">
        <f t="shared" ref="AH496" si="590">AVERAGE(AH493:AH495)</f>
        <v>6.276647333333333</v>
      </c>
      <c r="AI496" s="1">
        <f t="shared" ref="AI496" si="591">AVERAGE(AI493:AI495)</f>
        <v>6.2085466666666669</v>
      </c>
      <c r="AJ496" s="23">
        <f t="shared" ref="AJ496" si="592">AVERAGE(AJ493:AJ495)</f>
        <v>6.1279539999999999</v>
      </c>
      <c r="AK496" s="1">
        <f t="shared" ref="AK496" si="593">AVERAGE(AK493:AK495)</f>
        <v>6.0656740000000005</v>
      </c>
      <c r="AL496" s="23">
        <f t="shared" ref="AL496" si="594">AVERAGE(AL493:AL495)</f>
        <v>5.9902896666666665</v>
      </c>
      <c r="AM496" s="1">
        <f t="shared" ref="AM496" si="595">AVERAGE(AM493:AM495)</f>
        <v>5.9277629999999997</v>
      </c>
      <c r="AN496" s="23">
        <f t="shared" ref="AN496" si="596">AVERAGE(AN493:AN495)</f>
        <v>5.8582426666666665</v>
      </c>
      <c r="AO496" s="1">
        <f t="shared" ref="AO496" si="597">AVERAGE(AO493:AO495)</f>
        <v>5.8012729999999992</v>
      </c>
      <c r="AP496" s="23">
        <f t="shared" ref="AP496" si="598">AVERAGE(AP493:AP495)</f>
        <v>5.741743333333333</v>
      </c>
      <c r="AQ496" s="1">
        <f t="shared" ref="AQ496" si="599">AVERAGE(AQ493:AQ495)</f>
        <v>5.6675723333333323</v>
      </c>
      <c r="AR496" s="23">
        <f t="shared" ref="AR496" si="600">AVERAGE(AR493:AR495)</f>
        <v>5.6215070000000003</v>
      </c>
    </row>
    <row r="523" spans="3:44" x14ac:dyDescent="0.25">
      <c r="C523" s="18" t="s">
        <v>4</v>
      </c>
      <c r="D523" s="18">
        <v>-10</v>
      </c>
      <c r="E523" s="18"/>
      <c r="F523" s="18"/>
      <c r="G523" s="18"/>
      <c r="I523" s="18"/>
      <c r="K523" s="18"/>
      <c r="M523" s="18"/>
      <c r="O523" s="18"/>
      <c r="Q523" s="18"/>
      <c r="S523" s="18"/>
      <c r="U523" s="18"/>
      <c r="W523" s="18"/>
      <c r="Y523" s="18"/>
      <c r="AA523" s="18"/>
      <c r="AC523" s="18"/>
      <c r="AE523" s="18"/>
      <c r="AG523" s="18"/>
      <c r="AI523" s="18"/>
      <c r="AK523" s="18"/>
      <c r="AM523" s="18"/>
      <c r="AO523" s="18"/>
      <c r="AQ523" s="18"/>
    </row>
    <row r="524" spans="3:44" x14ac:dyDescent="0.25">
      <c r="C524" s="1" t="s">
        <v>1</v>
      </c>
      <c r="D524" s="1">
        <v>1.8</v>
      </c>
      <c r="E524" s="2">
        <v>1.85</v>
      </c>
      <c r="F524" s="2">
        <v>1.9</v>
      </c>
      <c r="G524" s="2">
        <v>1.95</v>
      </c>
      <c r="H524" s="22">
        <v>2</v>
      </c>
      <c r="I524" s="2">
        <v>2.0499999999999998</v>
      </c>
      <c r="J524" s="22">
        <v>2.1</v>
      </c>
      <c r="K524" s="2">
        <v>2.15</v>
      </c>
      <c r="L524" s="22">
        <v>2.2000000000000002</v>
      </c>
      <c r="M524" s="2">
        <v>2.25</v>
      </c>
      <c r="N524" s="22">
        <v>2.2999999999999998</v>
      </c>
      <c r="O524" s="2">
        <v>2.35</v>
      </c>
      <c r="P524" s="22">
        <v>2.4</v>
      </c>
      <c r="Q524" s="2">
        <v>2.4500000000000002</v>
      </c>
      <c r="R524" s="22">
        <v>2.5</v>
      </c>
      <c r="S524" s="2">
        <v>2.5499999999999998</v>
      </c>
      <c r="T524" s="22">
        <v>2.6</v>
      </c>
      <c r="U524" s="2">
        <v>2.65</v>
      </c>
      <c r="V524" s="22">
        <v>2.7</v>
      </c>
      <c r="W524" s="2">
        <v>2.75</v>
      </c>
      <c r="X524" s="22">
        <v>2.8</v>
      </c>
      <c r="Y524" s="2">
        <v>2.85</v>
      </c>
      <c r="Z524" s="22">
        <v>2.9</v>
      </c>
      <c r="AA524" s="2">
        <v>2.95</v>
      </c>
      <c r="AB524" s="22">
        <v>3</v>
      </c>
      <c r="AC524" s="2">
        <v>3.05</v>
      </c>
      <c r="AD524" s="22">
        <v>3.1</v>
      </c>
      <c r="AE524" s="2">
        <v>3.15</v>
      </c>
      <c r="AF524" s="22">
        <v>3.2</v>
      </c>
      <c r="AG524" s="2">
        <v>3.25</v>
      </c>
      <c r="AH524" s="22">
        <v>3.3</v>
      </c>
      <c r="AI524" s="2">
        <v>3.35</v>
      </c>
      <c r="AJ524" s="22">
        <v>3.4</v>
      </c>
      <c r="AK524" s="2">
        <v>3.45</v>
      </c>
      <c r="AL524" s="22">
        <v>3.5</v>
      </c>
      <c r="AM524" s="2">
        <v>3.55</v>
      </c>
      <c r="AN524" s="22">
        <v>3.6</v>
      </c>
      <c r="AO524" s="2">
        <v>3.65</v>
      </c>
      <c r="AP524" s="22">
        <v>3.7</v>
      </c>
      <c r="AQ524" s="2">
        <v>3.75</v>
      </c>
      <c r="AR524" s="22">
        <v>3.8</v>
      </c>
    </row>
    <row r="525" spans="3:44" x14ac:dyDescent="0.25">
      <c r="C525" s="1" t="s">
        <v>2</v>
      </c>
      <c r="D525" s="3">
        <v>8.9676179999999999</v>
      </c>
      <c r="E525" s="3">
        <v>8.9658339999999992</v>
      </c>
      <c r="F525" s="3">
        <v>8.9689779999999999</v>
      </c>
      <c r="G525" s="3">
        <v>8.9687699999999992</v>
      </c>
      <c r="H525" s="22">
        <v>8.0874799999999993</v>
      </c>
      <c r="I525" s="3">
        <v>7.9751729999999998</v>
      </c>
      <c r="J525" s="22">
        <v>7.7566329999999999</v>
      </c>
      <c r="K525" s="3">
        <v>7.6572690000000003</v>
      </c>
      <c r="L525" s="22">
        <v>7.4463030000000003</v>
      </c>
      <c r="M525" s="3">
        <v>7.3352209999999998</v>
      </c>
      <c r="N525" s="22">
        <v>7.1215590000000004</v>
      </c>
      <c r="O525" s="3">
        <v>7.0123439999999997</v>
      </c>
      <c r="P525" s="22">
        <v>6.9103060000000003</v>
      </c>
      <c r="Q525" s="3">
        <v>6.7267029999999997</v>
      </c>
      <c r="R525" s="22">
        <v>6.6188640000000003</v>
      </c>
      <c r="S525" s="3">
        <v>6.529312</v>
      </c>
      <c r="T525" s="22">
        <v>6.4334499999999997</v>
      </c>
      <c r="U525" s="3">
        <v>6.2565939999999998</v>
      </c>
      <c r="V525" s="22">
        <v>6.1605480000000004</v>
      </c>
      <c r="W525" s="3">
        <v>6.0728939999999998</v>
      </c>
      <c r="X525" s="22">
        <v>5.98644</v>
      </c>
      <c r="Y525" s="3">
        <v>5.9112720000000003</v>
      </c>
      <c r="Z525" s="22">
        <v>5.7498230000000001</v>
      </c>
      <c r="AA525" s="3">
        <v>5.6800319999999997</v>
      </c>
      <c r="AB525" s="22">
        <v>5.60656</v>
      </c>
      <c r="AC525" s="3">
        <v>5.535266</v>
      </c>
      <c r="AD525" s="22">
        <v>5.4618950000000002</v>
      </c>
      <c r="AE525" s="3">
        <v>5.4023560000000002</v>
      </c>
      <c r="AF525" s="22">
        <v>5.2647399999999998</v>
      </c>
      <c r="AG525" s="3">
        <v>5.1956600000000002</v>
      </c>
      <c r="AH525" s="22">
        <v>5.1318789999999996</v>
      </c>
      <c r="AI525" s="3">
        <v>5.0694819999999998</v>
      </c>
      <c r="AJ525" s="22">
        <v>5.005071</v>
      </c>
      <c r="AK525" s="3">
        <v>4.9556060000000004</v>
      </c>
      <c r="AL525" s="22">
        <v>4.9041300000000003</v>
      </c>
      <c r="AM525" s="3">
        <v>4.8478659999999998</v>
      </c>
      <c r="AN525" s="22">
        <v>4.7905439999999997</v>
      </c>
      <c r="AO525" s="3">
        <v>4.7430659999999998</v>
      </c>
      <c r="AP525" s="22">
        <v>4.6906040000000004</v>
      </c>
      <c r="AQ525" s="3">
        <v>4.6411990000000003</v>
      </c>
      <c r="AR525" s="22">
        <v>4.6033790000000003</v>
      </c>
    </row>
    <row r="526" spans="3:44" x14ac:dyDescent="0.25">
      <c r="C526" s="1"/>
      <c r="D526" s="3">
        <v>9.2154629999999997</v>
      </c>
      <c r="E526" s="3">
        <v>9.2271750000000008</v>
      </c>
      <c r="F526" s="3">
        <v>9.1944199999999991</v>
      </c>
      <c r="G526" s="3">
        <v>9.220262</v>
      </c>
      <c r="H526" s="22">
        <v>8.3164379999999998</v>
      </c>
      <c r="I526" s="3">
        <v>8.2078360000000004</v>
      </c>
      <c r="J526" s="22">
        <v>7.9743170000000001</v>
      </c>
      <c r="K526" s="3">
        <v>7.8694629999999997</v>
      </c>
      <c r="L526" s="22">
        <v>7.6486210000000003</v>
      </c>
      <c r="M526" s="3">
        <v>7.5521240000000001</v>
      </c>
      <c r="N526" s="22">
        <v>7.3375640000000004</v>
      </c>
      <c r="O526" s="3">
        <v>7.2091450000000004</v>
      </c>
      <c r="P526" s="22">
        <v>7.1073620000000002</v>
      </c>
      <c r="Q526" s="3">
        <v>6.9173679999999997</v>
      </c>
      <c r="R526" s="22">
        <v>6.8115579999999998</v>
      </c>
      <c r="S526" s="3">
        <v>6.7176119999999999</v>
      </c>
      <c r="T526" s="22">
        <v>6.6174419999999996</v>
      </c>
      <c r="U526" s="3">
        <v>6.4324009999999996</v>
      </c>
      <c r="V526" s="22">
        <v>6.3357849999999996</v>
      </c>
      <c r="W526" s="3">
        <v>6.2376129999999996</v>
      </c>
      <c r="X526" s="22">
        <v>6.1716350000000002</v>
      </c>
      <c r="Y526" s="3">
        <v>6.0756170000000003</v>
      </c>
      <c r="Z526" s="22">
        <v>5.9251560000000003</v>
      </c>
      <c r="AA526" s="3">
        <v>5.8561909999999999</v>
      </c>
      <c r="AB526" s="22">
        <v>6.1668520000000004</v>
      </c>
      <c r="AC526" s="3">
        <v>6.0971469999999997</v>
      </c>
      <c r="AD526" s="22">
        <v>6.0098240000000001</v>
      </c>
      <c r="AE526" s="3">
        <v>5.8654250000000001</v>
      </c>
      <c r="AF526" s="22">
        <v>5.7930989999999998</v>
      </c>
      <c r="AG526" s="3">
        <v>5.7238090000000001</v>
      </c>
      <c r="AH526" s="22">
        <v>5.6531510000000003</v>
      </c>
      <c r="AI526" s="3">
        <v>5.5816929999999996</v>
      </c>
      <c r="AJ526" s="22">
        <v>5.5226059999999997</v>
      </c>
      <c r="AK526" s="3">
        <v>5.4584599999999996</v>
      </c>
      <c r="AL526" s="22">
        <v>5.3740750000000004</v>
      </c>
      <c r="AM526" s="3">
        <v>5.3134880000000004</v>
      </c>
      <c r="AN526" s="22">
        <v>5.265657</v>
      </c>
      <c r="AO526" s="3">
        <v>5.2093980000000002</v>
      </c>
      <c r="AP526" s="22">
        <v>5.158366</v>
      </c>
      <c r="AQ526" s="3">
        <v>5.0829849999999999</v>
      </c>
      <c r="AR526" s="22">
        <v>5.0520639999999997</v>
      </c>
    </row>
    <row r="527" spans="3:44" x14ac:dyDescent="0.25">
      <c r="C527" s="1"/>
      <c r="D527" s="3">
        <v>9.1835419999999992</v>
      </c>
      <c r="E527" s="3">
        <v>9.2323009999999996</v>
      </c>
      <c r="F527" s="3">
        <v>9.2228030000000008</v>
      </c>
      <c r="G527" s="3">
        <v>9.1959330000000001</v>
      </c>
      <c r="H527" s="22">
        <v>9.2194769999999995</v>
      </c>
      <c r="I527" s="3">
        <v>8.2240210000000005</v>
      </c>
      <c r="J527" s="22">
        <v>7.9996679999999998</v>
      </c>
      <c r="K527" s="3">
        <v>7.8748849999999999</v>
      </c>
      <c r="L527" s="22">
        <v>7.6661070000000002</v>
      </c>
      <c r="M527" s="3">
        <v>7.5605969999999996</v>
      </c>
      <c r="N527" s="22">
        <v>7.4095329999999997</v>
      </c>
      <c r="O527" s="3">
        <v>7.2144329999999997</v>
      </c>
      <c r="P527" s="22">
        <v>7.0859649999999998</v>
      </c>
      <c r="Q527" s="3">
        <v>7.0099689999999999</v>
      </c>
      <c r="R527" s="22">
        <v>7.3355259999999998</v>
      </c>
      <c r="S527" s="3">
        <v>7.2350839999999996</v>
      </c>
      <c r="T527" s="22">
        <v>6.6218560000000002</v>
      </c>
      <c r="U527" s="3">
        <v>6.9072380000000004</v>
      </c>
      <c r="V527" s="22">
        <v>6.8196349999999999</v>
      </c>
      <c r="W527" s="3">
        <v>6.7258740000000001</v>
      </c>
      <c r="X527" s="22">
        <v>6.6186210000000001</v>
      </c>
      <c r="Y527" s="3">
        <v>6.5449580000000003</v>
      </c>
      <c r="Z527" s="22">
        <v>6.3560239999999997</v>
      </c>
      <c r="AA527" s="3">
        <v>6.2905800000000003</v>
      </c>
      <c r="AB527" s="22">
        <v>6.2065989999999998</v>
      </c>
      <c r="AC527" s="3">
        <v>6.13089</v>
      </c>
      <c r="AD527" s="22">
        <v>6.0461619999999998</v>
      </c>
      <c r="AE527" s="3">
        <v>5.9806619999999997</v>
      </c>
      <c r="AF527" s="22">
        <v>5.8312569999999999</v>
      </c>
      <c r="AG527" s="3">
        <v>5.7523059999999999</v>
      </c>
      <c r="AH527" s="22">
        <v>5.6779469999999996</v>
      </c>
      <c r="AI527" s="3">
        <v>5.6219720000000004</v>
      </c>
      <c r="AJ527" s="22">
        <v>5.5487840000000004</v>
      </c>
      <c r="AK527" s="3">
        <v>5.48651</v>
      </c>
      <c r="AL527" s="22">
        <v>5.4226510000000001</v>
      </c>
      <c r="AM527" s="3">
        <v>5.3621780000000001</v>
      </c>
      <c r="AN527" s="22">
        <v>5.2982570000000004</v>
      </c>
      <c r="AO527" s="3">
        <v>5.2498180000000003</v>
      </c>
      <c r="AP527" s="22">
        <v>5.192361</v>
      </c>
      <c r="AQ527" s="3">
        <v>5.1349140000000002</v>
      </c>
      <c r="AR527" s="22">
        <v>5.0891989999999998</v>
      </c>
    </row>
    <row r="528" spans="3:44" x14ac:dyDescent="0.25">
      <c r="C528" s="1" t="s">
        <v>3</v>
      </c>
      <c r="D528" s="1">
        <f>AVERAGE(D525:D527)</f>
        <v>9.1222076666666663</v>
      </c>
      <c r="E528" s="1">
        <f t="shared" ref="E528" si="601">AVERAGE(E525:E527)</f>
        <v>9.1417699999999993</v>
      </c>
      <c r="F528" s="1">
        <f t="shared" ref="F528" si="602">AVERAGE(F525:F527)</f>
        <v>9.1287336666666672</v>
      </c>
      <c r="G528" s="1">
        <f t="shared" ref="G528" si="603">AVERAGE(G525:G527)</f>
        <v>9.1283216666666664</v>
      </c>
      <c r="H528" s="23">
        <f t="shared" ref="H528" si="604">AVERAGE(H525:H527)</f>
        <v>8.541131666666665</v>
      </c>
      <c r="I528" s="1">
        <f t="shared" ref="I528" si="605">AVERAGE(I525:I527)</f>
        <v>8.1356766666666669</v>
      </c>
      <c r="J528" s="23">
        <f t="shared" ref="J528" si="606">AVERAGE(J525:J527)</f>
        <v>7.9102059999999996</v>
      </c>
      <c r="K528" s="1">
        <f t="shared" ref="K528" si="607">AVERAGE(K525:K527)</f>
        <v>7.8005389999999997</v>
      </c>
      <c r="L528" s="23">
        <f t="shared" ref="L528" si="608">AVERAGE(L525:L527)</f>
        <v>7.5870103333333345</v>
      </c>
      <c r="M528" s="1">
        <f t="shared" ref="M528" si="609">AVERAGE(M525:M527)</f>
        <v>7.4826473333333325</v>
      </c>
      <c r="N528" s="23">
        <f t="shared" ref="N528" si="610">AVERAGE(N525:N527)</f>
        <v>7.2895520000000005</v>
      </c>
      <c r="O528" s="1">
        <f t="shared" ref="O528" si="611">AVERAGE(O525:O527)</f>
        <v>7.1453073333333323</v>
      </c>
      <c r="P528" s="23">
        <f t="shared" ref="P528" si="612">AVERAGE(P525:P527)</f>
        <v>7.0345443333333337</v>
      </c>
      <c r="Q528" s="1">
        <f t="shared" ref="Q528" si="613">AVERAGE(Q525:Q527)</f>
        <v>6.8846800000000004</v>
      </c>
      <c r="R528" s="23">
        <f t="shared" ref="R528" si="614">AVERAGE(R525:R527)</f>
        <v>6.9219826666666675</v>
      </c>
      <c r="S528" s="1">
        <f t="shared" ref="S528" si="615">AVERAGE(S525:S527)</f>
        <v>6.8273359999999998</v>
      </c>
      <c r="T528" s="23">
        <f t="shared" ref="T528" si="616">AVERAGE(T525:T527)</f>
        <v>6.5575826666666659</v>
      </c>
      <c r="U528" s="1">
        <f t="shared" ref="U528" si="617">AVERAGE(U525:U527)</f>
        <v>6.532077666666666</v>
      </c>
      <c r="V528" s="23">
        <f t="shared" ref="V528" si="618">AVERAGE(V525:V527)</f>
        <v>6.438655999999999</v>
      </c>
      <c r="W528" s="1">
        <f t="shared" ref="W528" si="619">AVERAGE(W525:W527)</f>
        <v>6.3454603333333326</v>
      </c>
      <c r="X528" s="23">
        <f t="shared" ref="X528" si="620">AVERAGE(X525:X527)</f>
        <v>6.2588986666666671</v>
      </c>
      <c r="Y528" s="1">
        <f t="shared" ref="Y528" si="621">AVERAGE(Y525:Y527)</f>
        <v>6.1772823333333342</v>
      </c>
      <c r="Z528" s="23">
        <f t="shared" ref="Z528" si="622">AVERAGE(Z525:Z527)</f>
        <v>6.0103343333333328</v>
      </c>
      <c r="AA528" s="1">
        <f t="shared" ref="AA528" si="623">AVERAGE(AA525:AA527)</f>
        <v>5.9422676666666661</v>
      </c>
      <c r="AB528" s="23">
        <f t="shared" ref="AB528" si="624">AVERAGE(AB525:AB527)</f>
        <v>5.9933370000000004</v>
      </c>
      <c r="AC528" s="1">
        <f t="shared" ref="AC528" si="625">AVERAGE(AC525:AC527)</f>
        <v>5.9211010000000002</v>
      </c>
      <c r="AD528" s="23">
        <f t="shared" ref="AD528" si="626">AVERAGE(AD525:AD527)</f>
        <v>5.8392936666666664</v>
      </c>
      <c r="AE528" s="1">
        <f t="shared" ref="AE528" si="627">AVERAGE(AE525:AE527)</f>
        <v>5.7494809999999994</v>
      </c>
      <c r="AF528" s="23">
        <f t="shared" ref="AF528" si="628">AVERAGE(AF525:AF527)</f>
        <v>5.6296986666666662</v>
      </c>
      <c r="AG528" s="1">
        <f t="shared" ref="AG528" si="629">AVERAGE(AG525:AG527)</f>
        <v>5.5572583333333334</v>
      </c>
      <c r="AH528" s="23">
        <f t="shared" ref="AH528" si="630">AVERAGE(AH525:AH527)</f>
        <v>5.4876589999999998</v>
      </c>
      <c r="AI528" s="1">
        <f t="shared" ref="AI528" si="631">AVERAGE(AI525:AI527)</f>
        <v>5.424382333333333</v>
      </c>
      <c r="AJ528" s="23">
        <f t="shared" ref="AJ528" si="632">AVERAGE(AJ525:AJ527)</f>
        <v>5.358820333333334</v>
      </c>
      <c r="AK528" s="1">
        <f t="shared" ref="AK528" si="633">AVERAGE(AK525:AK527)</f>
        <v>5.300192</v>
      </c>
      <c r="AL528" s="23">
        <f t="shared" ref="AL528" si="634">AVERAGE(AL525:AL527)</f>
        <v>5.2336186666666666</v>
      </c>
      <c r="AM528" s="1">
        <f t="shared" ref="AM528" si="635">AVERAGE(AM525:AM527)</f>
        <v>5.1745106666666665</v>
      </c>
      <c r="AN528" s="23">
        <f t="shared" ref="AN528" si="636">AVERAGE(AN525:AN527)</f>
        <v>5.118152666666667</v>
      </c>
      <c r="AO528" s="1">
        <f t="shared" ref="AO528" si="637">AVERAGE(AO525:AO527)</f>
        <v>5.0674273333333337</v>
      </c>
      <c r="AP528" s="23">
        <f t="shared" ref="AP528" si="638">AVERAGE(AP525:AP527)</f>
        <v>5.0137770000000002</v>
      </c>
      <c r="AQ528" s="1">
        <f t="shared" ref="AQ528" si="639">AVERAGE(AQ525:AQ527)</f>
        <v>4.9530326666666671</v>
      </c>
      <c r="AR528" s="23">
        <f t="shared" ref="AR528" si="640">AVERAGE(AR525:AR527)</f>
        <v>4.914880666666666</v>
      </c>
    </row>
    <row r="555" spans="3:44" x14ac:dyDescent="0.25">
      <c r="C555" s="19" t="s">
        <v>4</v>
      </c>
      <c r="D555" s="19">
        <v>-15</v>
      </c>
      <c r="E555" s="19"/>
      <c r="F555" s="19"/>
      <c r="G555" s="19"/>
      <c r="I555" s="19"/>
      <c r="K555" s="19"/>
      <c r="M555" s="19"/>
      <c r="O555" s="19"/>
      <c r="Q555" s="19"/>
      <c r="S555" s="19"/>
      <c r="U555" s="19"/>
      <c r="W555" s="19"/>
      <c r="Y555" s="19"/>
      <c r="AA555" s="19"/>
      <c r="AC555" s="19"/>
      <c r="AE555" s="19"/>
      <c r="AG555" s="19"/>
      <c r="AI555" s="19"/>
      <c r="AK555" s="19"/>
      <c r="AM555" s="19"/>
      <c r="AO555" s="19"/>
      <c r="AQ555" s="19"/>
    </row>
    <row r="556" spans="3:44" x14ac:dyDescent="0.25">
      <c r="C556" s="1" t="s">
        <v>1</v>
      </c>
      <c r="D556" s="1">
        <v>1.8</v>
      </c>
      <c r="E556" s="2">
        <v>1.85</v>
      </c>
      <c r="F556" s="2">
        <v>1.9</v>
      </c>
      <c r="G556" s="2">
        <v>1.95</v>
      </c>
      <c r="H556" s="22">
        <v>2</v>
      </c>
      <c r="I556" s="2">
        <v>2.0499999999999998</v>
      </c>
      <c r="J556" s="22">
        <v>2.1</v>
      </c>
      <c r="K556" s="2">
        <v>2.15</v>
      </c>
      <c r="L556" s="22">
        <v>2.2000000000000002</v>
      </c>
      <c r="M556" s="2">
        <v>2.25</v>
      </c>
      <c r="N556" s="22">
        <v>2.2999999999999998</v>
      </c>
      <c r="O556" s="2">
        <v>2.35</v>
      </c>
      <c r="P556" s="22">
        <v>2.4</v>
      </c>
      <c r="Q556" s="2">
        <v>2.4500000000000002</v>
      </c>
      <c r="R556" s="22">
        <v>2.5</v>
      </c>
      <c r="S556" s="2">
        <v>2.5499999999999998</v>
      </c>
      <c r="T556" s="22">
        <v>2.6</v>
      </c>
      <c r="U556" s="2">
        <v>2.65</v>
      </c>
      <c r="V556" s="22">
        <v>2.7</v>
      </c>
      <c r="W556" s="2">
        <v>2.75</v>
      </c>
      <c r="X556" s="22">
        <v>2.8</v>
      </c>
      <c r="Y556" s="2">
        <v>2.85</v>
      </c>
      <c r="Z556" s="22">
        <v>2.9</v>
      </c>
      <c r="AA556" s="2">
        <v>2.95</v>
      </c>
      <c r="AB556" s="22">
        <v>3</v>
      </c>
      <c r="AC556" s="2">
        <v>3.05</v>
      </c>
      <c r="AD556" s="22">
        <v>3.1</v>
      </c>
      <c r="AE556" s="2">
        <v>3.15</v>
      </c>
      <c r="AF556" s="22">
        <v>3.2</v>
      </c>
      <c r="AG556" s="2">
        <v>3.25</v>
      </c>
      <c r="AH556" s="22">
        <v>3.3</v>
      </c>
      <c r="AI556" s="2">
        <v>3.35</v>
      </c>
      <c r="AJ556" s="22">
        <v>3.4</v>
      </c>
      <c r="AK556" s="2">
        <v>3.45</v>
      </c>
      <c r="AL556" s="22">
        <v>3.5</v>
      </c>
      <c r="AM556" s="2">
        <v>3.55</v>
      </c>
      <c r="AN556" s="22">
        <v>3.6</v>
      </c>
      <c r="AO556" s="2">
        <v>3.65</v>
      </c>
      <c r="AP556" s="22">
        <v>3.7</v>
      </c>
      <c r="AQ556" s="2">
        <v>3.75</v>
      </c>
      <c r="AR556" s="22">
        <v>3.8</v>
      </c>
    </row>
    <row r="557" spans="3:44" x14ac:dyDescent="0.25">
      <c r="C557" s="1" t="s">
        <v>2</v>
      </c>
      <c r="D557" s="3">
        <v>8.4275420000000008</v>
      </c>
      <c r="E557" s="3">
        <v>8.4286080000000005</v>
      </c>
      <c r="F557" s="3">
        <v>8.4115780000000004</v>
      </c>
      <c r="G557" s="3">
        <v>8.4349260000000008</v>
      </c>
      <c r="H557" s="22">
        <v>7.5964590000000003</v>
      </c>
      <c r="I557" s="3">
        <v>7.4911729999999999</v>
      </c>
      <c r="J557" s="22">
        <v>7.2769510000000004</v>
      </c>
      <c r="K557" s="3">
        <v>7.181648</v>
      </c>
      <c r="L557" s="22">
        <v>6.9925389999999998</v>
      </c>
      <c r="M557" s="3">
        <v>6.8871979999999997</v>
      </c>
      <c r="N557" s="22">
        <v>6.6877579999999996</v>
      </c>
      <c r="O557" s="3">
        <v>6.5760810000000003</v>
      </c>
      <c r="P557" s="22">
        <v>6.4843260000000003</v>
      </c>
      <c r="Q557" s="3">
        <v>6.3078589999999997</v>
      </c>
      <c r="R557" s="22">
        <v>6.2131540000000003</v>
      </c>
      <c r="S557" s="3">
        <v>6.1260979999999998</v>
      </c>
      <c r="T557" s="22">
        <v>6.0403719999999996</v>
      </c>
      <c r="U557" s="3">
        <v>5.8730089999999997</v>
      </c>
      <c r="V557" s="22">
        <v>5.7840660000000002</v>
      </c>
      <c r="W557" s="3">
        <v>5.697241</v>
      </c>
      <c r="X557" s="22">
        <v>5.6234599999999997</v>
      </c>
      <c r="Y557" s="3">
        <v>5.5462410000000002</v>
      </c>
      <c r="Z557" s="22">
        <v>5.3963099999999997</v>
      </c>
      <c r="AA557" s="3">
        <v>5.3292029999999997</v>
      </c>
      <c r="AB557" s="22">
        <v>5.2647130000000004</v>
      </c>
      <c r="AC557" s="3">
        <v>5.1929340000000002</v>
      </c>
      <c r="AD557" s="22">
        <v>5.1322210000000004</v>
      </c>
      <c r="AE557" s="3">
        <v>5.0696300000000001</v>
      </c>
      <c r="AF557" s="22">
        <v>4.9349590000000001</v>
      </c>
      <c r="AG557" s="3">
        <v>4.870552</v>
      </c>
      <c r="AH557" s="22">
        <v>4.8151869999999999</v>
      </c>
      <c r="AI557" s="3">
        <v>4.7592420000000004</v>
      </c>
      <c r="AJ557" s="22">
        <v>4.7056779999999998</v>
      </c>
      <c r="AK557" s="3">
        <v>4.6609249999999998</v>
      </c>
      <c r="AL557" s="22">
        <v>4.5966849999999999</v>
      </c>
      <c r="AM557" s="3">
        <v>4.5504449999999999</v>
      </c>
      <c r="AN557" s="22">
        <v>4.4986680000000003</v>
      </c>
      <c r="AO557" s="3">
        <v>4.4476699999999996</v>
      </c>
      <c r="AP557" s="22">
        <v>4.4044160000000003</v>
      </c>
      <c r="AQ557" s="3">
        <v>4.3635919999999997</v>
      </c>
      <c r="AR557" s="22">
        <v>4.320309</v>
      </c>
    </row>
    <row r="558" spans="3:44" x14ac:dyDescent="0.25">
      <c r="C558" s="1"/>
      <c r="D558" s="3">
        <v>8.5932449999999996</v>
      </c>
      <c r="E558" s="3">
        <v>8.5928240000000002</v>
      </c>
      <c r="F558" s="3">
        <v>8.5846140000000002</v>
      </c>
      <c r="G558" s="3">
        <v>8.5893460000000008</v>
      </c>
      <c r="H558" s="22">
        <v>7.7625500000000001</v>
      </c>
      <c r="I558" s="3">
        <v>7.6535190000000002</v>
      </c>
      <c r="J558" s="22">
        <v>7.4507820000000002</v>
      </c>
      <c r="K558" s="3">
        <v>7.3362540000000003</v>
      </c>
      <c r="L558" s="22">
        <v>7.136895</v>
      </c>
      <c r="M558" s="3">
        <v>7.038354</v>
      </c>
      <c r="N558" s="22">
        <v>6.8249620000000002</v>
      </c>
      <c r="O558" s="3">
        <v>6.7270029999999998</v>
      </c>
      <c r="P558" s="22">
        <v>6.631043</v>
      </c>
      <c r="Q558" s="3">
        <v>6.4484380000000003</v>
      </c>
      <c r="R558" s="22">
        <v>6.3510759999999999</v>
      </c>
      <c r="S558" s="3">
        <v>6.2611720000000002</v>
      </c>
      <c r="T558" s="22">
        <v>6.1650239999999998</v>
      </c>
      <c r="U558" s="3">
        <v>5.999701</v>
      </c>
      <c r="V558" s="22">
        <v>5.9168830000000003</v>
      </c>
      <c r="W558" s="3">
        <v>5.820551</v>
      </c>
      <c r="X558" s="22">
        <v>5.7478730000000002</v>
      </c>
      <c r="Y558" s="3">
        <v>5.6742699999999999</v>
      </c>
      <c r="Z558" s="22">
        <v>5.5244600000000004</v>
      </c>
      <c r="AA558" s="3">
        <v>5.853961</v>
      </c>
      <c r="AB558" s="22">
        <v>5.7728549999999998</v>
      </c>
      <c r="AC558" s="3">
        <v>5.7023669999999997</v>
      </c>
      <c r="AD558" s="22">
        <v>5.6046709999999997</v>
      </c>
      <c r="AE558" s="3">
        <v>5.4952490000000003</v>
      </c>
      <c r="AF558" s="22">
        <v>5.4160849999999998</v>
      </c>
      <c r="AG558" s="3">
        <v>5.3484379999999998</v>
      </c>
      <c r="AH558" s="22">
        <v>5.2860050000000003</v>
      </c>
      <c r="AI558" s="3">
        <v>5.2234369999999997</v>
      </c>
      <c r="AJ558" s="22">
        <v>5.166423</v>
      </c>
      <c r="AK558" s="3">
        <v>5.0988239999999996</v>
      </c>
      <c r="AL558" s="22">
        <v>5.0310689999999996</v>
      </c>
      <c r="AM558" s="3">
        <v>4.9656710000000004</v>
      </c>
      <c r="AN558" s="22">
        <v>4.928096</v>
      </c>
      <c r="AO558" s="3">
        <v>4.8803510000000001</v>
      </c>
      <c r="AP558" s="22">
        <v>4.82559</v>
      </c>
      <c r="AQ558" s="3">
        <v>4.7568270000000004</v>
      </c>
      <c r="AR558" s="22">
        <v>4.7346570000000003</v>
      </c>
    </row>
    <row r="559" spans="3:44" x14ac:dyDescent="0.25">
      <c r="C559" s="1"/>
      <c r="D559" s="3">
        <v>8.5709409999999995</v>
      </c>
      <c r="E559" s="3">
        <v>8.6003279999999993</v>
      </c>
      <c r="F559" s="3">
        <v>8.5815570000000001</v>
      </c>
      <c r="G559" s="3">
        <v>8.5577179999999995</v>
      </c>
      <c r="H559" s="22">
        <v>8.5984420000000004</v>
      </c>
      <c r="I559" s="3">
        <v>7.6491259999999999</v>
      </c>
      <c r="J559" s="22">
        <v>7.4480079999999997</v>
      </c>
      <c r="K559" s="3">
        <v>7.3386230000000001</v>
      </c>
      <c r="L559" s="22">
        <v>7.1470520000000004</v>
      </c>
      <c r="M559" s="3">
        <v>7.0452630000000003</v>
      </c>
      <c r="N559" s="22">
        <v>6.9064360000000002</v>
      </c>
      <c r="O559" s="3">
        <v>6.7240510000000002</v>
      </c>
      <c r="P559" s="22">
        <v>6.60968</v>
      </c>
      <c r="Q559" s="3">
        <v>6.5281370000000001</v>
      </c>
      <c r="R559" s="22">
        <v>6.8124510000000003</v>
      </c>
      <c r="S559" s="3">
        <v>6.7168419999999998</v>
      </c>
      <c r="T559" s="22">
        <v>6.6341739999999998</v>
      </c>
      <c r="U559" s="3">
        <v>6.411842</v>
      </c>
      <c r="V559" s="22">
        <v>6.3425010000000004</v>
      </c>
      <c r="W559" s="3">
        <v>6.2504460000000002</v>
      </c>
      <c r="X559" s="22">
        <v>6.1397389999999996</v>
      </c>
      <c r="Y559" s="3">
        <v>6.0851300000000004</v>
      </c>
      <c r="Z559" s="22">
        <v>5.8998160000000004</v>
      </c>
      <c r="AA559" s="3">
        <v>5.8482349999999999</v>
      </c>
      <c r="AB559" s="22">
        <v>5.7684170000000003</v>
      </c>
      <c r="AC559" s="3">
        <v>5.7020929999999996</v>
      </c>
      <c r="AD559" s="22">
        <v>5.6263829999999997</v>
      </c>
      <c r="AE559" s="3">
        <v>5.5526749999999998</v>
      </c>
      <c r="AF559" s="22">
        <v>5.4207729999999996</v>
      </c>
      <c r="AG559" s="3">
        <v>5.3463719999999997</v>
      </c>
      <c r="AH559" s="22">
        <v>5.2903140000000004</v>
      </c>
      <c r="AI559" s="3">
        <v>5.2243979999999999</v>
      </c>
      <c r="AJ559" s="22">
        <v>5.16073</v>
      </c>
      <c r="AK559" s="3">
        <v>5.1067479999999996</v>
      </c>
      <c r="AL559" s="22">
        <v>5.0513849999999998</v>
      </c>
      <c r="AM559" s="3">
        <v>4.9911120000000002</v>
      </c>
      <c r="AN559" s="22">
        <v>4.92476</v>
      </c>
      <c r="AO559" s="3">
        <v>4.8767779999999998</v>
      </c>
      <c r="AP559" s="22">
        <v>4.8218370000000004</v>
      </c>
      <c r="AQ559" s="3">
        <v>4.770524</v>
      </c>
      <c r="AR559" s="22">
        <v>4.7345449999999998</v>
      </c>
    </row>
    <row r="560" spans="3:44" x14ac:dyDescent="0.25">
      <c r="C560" s="1" t="s">
        <v>3</v>
      </c>
      <c r="D560" s="1">
        <f>AVERAGE(D557:D559)</f>
        <v>8.5305759999999982</v>
      </c>
      <c r="E560" s="1">
        <f t="shared" ref="E560" si="641">AVERAGE(E557:E559)</f>
        <v>8.5405866666666679</v>
      </c>
      <c r="F560" s="1">
        <f t="shared" ref="F560" si="642">AVERAGE(F557:F559)</f>
        <v>8.525916333333333</v>
      </c>
      <c r="G560" s="1">
        <f t="shared" ref="G560" si="643">AVERAGE(G557:G559)</f>
        <v>8.527330000000001</v>
      </c>
      <c r="H560" s="23">
        <f t="shared" ref="H560" si="644">AVERAGE(H557:H559)</f>
        <v>7.9858169999999999</v>
      </c>
      <c r="I560" s="1">
        <f t="shared" ref="I560" si="645">AVERAGE(I557:I559)</f>
        <v>7.5979393333333327</v>
      </c>
      <c r="J560" s="23">
        <f t="shared" ref="J560" si="646">AVERAGE(J557:J559)</f>
        <v>7.3919136666666674</v>
      </c>
      <c r="K560" s="1">
        <f t="shared" ref="K560" si="647">AVERAGE(K557:K559)</f>
        <v>7.2855083333333326</v>
      </c>
      <c r="L560" s="23">
        <f t="shared" ref="L560" si="648">AVERAGE(L557:L559)</f>
        <v>7.0921619999999992</v>
      </c>
      <c r="M560" s="1">
        <f t="shared" ref="M560" si="649">AVERAGE(M557:M559)</f>
        <v>6.9902716666666675</v>
      </c>
      <c r="N560" s="23">
        <f t="shared" ref="N560" si="650">AVERAGE(N557:N559)</f>
        <v>6.806385333333334</v>
      </c>
      <c r="O560" s="1">
        <f t="shared" ref="O560" si="651">AVERAGE(O557:O559)</f>
        <v>6.6757116666666674</v>
      </c>
      <c r="P560" s="23">
        <f t="shared" ref="P560" si="652">AVERAGE(P557:P559)</f>
        <v>6.575016333333334</v>
      </c>
      <c r="Q560" s="1">
        <f t="shared" ref="Q560" si="653">AVERAGE(Q557:Q559)</f>
        <v>6.4281446666666673</v>
      </c>
      <c r="R560" s="23">
        <f t="shared" ref="R560" si="654">AVERAGE(R557:R559)</f>
        <v>6.4588936666666674</v>
      </c>
      <c r="S560" s="1">
        <f t="shared" ref="S560" si="655">AVERAGE(S557:S559)</f>
        <v>6.3680373333333335</v>
      </c>
      <c r="T560" s="23">
        <f t="shared" ref="T560" si="656">AVERAGE(T557:T559)</f>
        <v>6.2798566666666673</v>
      </c>
      <c r="U560" s="1">
        <f t="shared" ref="U560" si="657">AVERAGE(U557:U559)</f>
        <v>6.094850666666666</v>
      </c>
      <c r="V560" s="23">
        <f t="shared" ref="V560" si="658">AVERAGE(V557:V559)</f>
        <v>6.0144833333333336</v>
      </c>
      <c r="W560" s="1">
        <f t="shared" ref="W560" si="659">AVERAGE(W557:W559)</f>
        <v>5.9227460000000001</v>
      </c>
      <c r="X560" s="23">
        <f t="shared" ref="X560" si="660">AVERAGE(X557:X559)</f>
        <v>5.8370239999999995</v>
      </c>
      <c r="Y560" s="1">
        <f t="shared" ref="Y560" si="661">AVERAGE(Y557:Y559)</f>
        <v>5.7685470000000008</v>
      </c>
      <c r="Z560" s="23">
        <f t="shared" ref="Z560" si="662">AVERAGE(Z557:Z559)</f>
        <v>5.6068620000000005</v>
      </c>
      <c r="AA560" s="1">
        <f t="shared" ref="AA560" si="663">AVERAGE(AA557:AA559)</f>
        <v>5.6771330000000004</v>
      </c>
      <c r="AB560" s="23">
        <f t="shared" ref="AB560" si="664">AVERAGE(AB557:AB559)</f>
        <v>5.6019949999999996</v>
      </c>
      <c r="AC560" s="1">
        <f t="shared" ref="AC560" si="665">AVERAGE(AC557:AC559)</f>
        <v>5.5324646666666668</v>
      </c>
      <c r="AD560" s="23">
        <f t="shared" ref="AD560" si="666">AVERAGE(AD557:AD559)</f>
        <v>5.4544250000000005</v>
      </c>
      <c r="AE560" s="1">
        <f t="shared" ref="AE560" si="667">AVERAGE(AE557:AE559)</f>
        <v>5.3725180000000003</v>
      </c>
      <c r="AF560" s="23">
        <f t="shared" ref="AF560" si="668">AVERAGE(AF557:AF559)</f>
        <v>5.2572723333333329</v>
      </c>
      <c r="AG560" s="1">
        <f t="shared" ref="AG560" si="669">AVERAGE(AG557:AG559)</f>
        <v>5.1884540000000001</v>
      </c>
      <c r="AH560" s="23">
        <f t="shared" ref="AH560" si="670">AVERAGE(AH557:AH559)</f>
        <v>5.1305020000000008</v>
      </c>
      <c r="AI560" s="1">
        <f t="shared" ref="AI560" si="671">AVERAGE(AI557:AI559)</f>
        <v>5.0690256666666675</v>
      </c>
      <c r="AJ560" s="23">
        <f t="shared" ref="AJ560" si="672">AVERAGE(AJ557:AJ559)</f>
        <v>5.0109436666666669</v>
      </c>
      <c r="AK560" s="1">
        <f t="shared" ref="AK560" si="673">AVERAGE(AK557:AK559)</f>
        <v>4.9554989999999997</v>
      </c>
      <c r="AL560" s="23">
        <f t="shared" ref="AL560" si="674">AVERAGE(AL557:AL559)</f>
        <v>4.8930463333333334</v>
      </c>
      <c r="AM560" s="1">
        <f t="shared" ref="AM560" si="675">AVERAGE(AM557:AM559)</f>
        <v>4.8357426666666674</v>
      </c>
      <c r="AN560" s="23">
        <f t="shared" ref="AN560" si="676">AVERAGE(AN557:AN559)</f>
        <v>4.7838413333333341</v>
      </c>
      <c r="AO560" s="1">
        <f t="shared" ref="AO560" si="677">AVERAGE(AO557:AO559)</f>
        <v>4.7349329999999998</v>
      </c>
      <c r="AP560" s="23">
        <f t="shared" ref="AP560" si="678">AVERAGE(AP557:AP559)</f>
        <v>4.6839476666666666</v>
      </c>
      <c r="AQ560" s="1">
        <f t="shared" ref="AQ560" si="679">AVERAGE(AQ557:AQ559)</f>
        <v>4.6303143333333336</v>
      </c>
      <c r="AR560" s="23">
        <f t="shared" ref="AR560" si="680">AVERAGE(AR557:AR559)</f>
        <v>4.596503666666667</v>
      </c>
    </row>
    <row r="587" spans="3:44" x14ac:dyDescent="0.25">
      <c r="C587" s="20" t="s">
        <v>4</v>
      </c>
      <c r="D587" s="20">
        <v>-20</v>
      </c>
      <c r="E587" s="20"/>
      <c r="F587" s="20"/>
      <c r="G587" s="20"/>
      <c r="I587" s="20"/>
      <c r="K587" s="20"/>
      <c r="M587" s="20"/>
      <c r="O587" s="20"/>
      <c r="Q587" s="20"/>
      <c r="S587" s="20"/>
      <c r="U587" s="20"/>
      <c r="W587" s="20"/>
      <c r="Y587" s="20"/>
      <c r="AA587" s="20"/>
      <c r="AC587" s="20"/>
      <c r="AE587" s="20"/>
      <c r="AG587" s="20"/>
      <c r="AI587" s="20"/>
      <c r="AK587" s="20"/>
      <c r="AM587" s="20"/>
      <c r="AO587" s="20"/>
      <c r="AQ587" s="20"/>
    </row>
    <row r="588" spans="3:44" x14ac:dyDescent="0.25">
      <c r="C588" s="1" t="s">
        <v>1</v>
      </c>
      <c r="D588" s="1">
        <v>1.8</v>
      </c>
      <c r="E588" s="2">
        <v>1.85</v>
      </c>
      <c r="F588" s="2">
        <v>1.9</v>
      </c>
      <c r="G588" s="2">
        <v>1.95</v>
      </c>
      <c r="H588" s="22">
        <v>2</v>
      </c>
      <c r="I588" s="2">
        <v>2.0499999999999998</v>
      </c>
      <c r="J588" s="22">
        <v>2.1</v>
      </c>
      <c r="K588" s="2">
        <v>2.15</v>
      </c>
      <c r="L588" s="22">
        <v>2.2000000000000002</v>
      </c>
      <c r="M588" s="2">
        <v>2.25</v>
      </c>
      <c r="N588" s="22">
        <v>2.2999999999999998</v>
      </c>
      <c r="O588" s="2">
        <v>2.35</v>
      </c>
      <c r="P588" s="22">
        <v>2.4</v>
      </c>
      <c r="Q588" s="2">
        <v>2.4500000000000002</v>
      </c>
      <c r="R588" s="22">
        <v>2.5</v>
      </c>
      <c r="S588" s="2">
        <v>2.5499999999999998</v>
      </c>
      <c r="T588" s="22">
        <v>2.6</v>
      </c>
      <c r="U588" s="2">
        <v>2.65</v>
      </c>
      <c r="V588" s="22">
        <v>2.7</v>
      </c>
      <c r="W588" s="2">
        <v>2.75</v>
      </c>
      <c r="X588" s="22">
        <v>2.8</v>
      </c>
      <c r="Y588" s="2">
        <v>2.85</v>
      </c>
      <c r="Z588" s="22">
        <v>2.9</v>
      </c>
      <c r="AA588" s="2">
        <v>2.95</v>
      </c>
      <c r="AB588" s="22">
        <v>3</v>
      </c>
      <c r="AC588" s="2">
        <v>3.05</v>
      </c>
      <c r="AD588" s="22">
        <v>3.1</v>
      </c>
      <c r="AE588" s="2">
        <v>3.15</v>
      </c>
      <c r="AF588" s="22">
        <v>3.2</v>
      </c>
      <c r="AG588" s="2">
        <v>3.25</v>
      </c>
      <c r="AH588" s="22">
        <v>3.3</v>
      </c>
      <c r="AI588" s="2">
        <v>3.35</v>
      </c>
      <c r="AJ588" s="22">
        <v>3.4</v>
      </c>
      <c r="AK588" s="2">
        <v>3.45</v>
      </c>
      <c r="AL588" s="22">
        <v>3.5</v>
      </c>
      <c r="AM588" s="2">
        <v>3.55</v>
      </c>
      <c r="AN588" s="22">
        <v>3.6</v>
      </c>
      <c r="AO588" s="2">
        <v>3.65</v>
      </c>
      <c r="AP588" s="22">
        <v>3.7</v>
      </c>
      <c r="AQ588" s="2">
        <v>3.75</v>
      </c>
      <c r="AR588" s="22">
        <v>3.8</v>
      </c>
    </row>
    <row r="589" spans="3:44" x14ac:dyDescent="0.25">
      <c r="C589" s="1" t="s">
        <v>2</v>
      </c>
      <c r="D589" s="3">
        <v>8.4112950000000009</v>
      </c>
      <c r="E589" s="3">
        <v>8.4211109999999998</v>
      </c>
      <c r="F589" s="3">
        <v>8.4173369999999998</v>
      </c>
      <c r="G589" s="3">
        <v>8.4222830000000002</v>
      </c>
      <c r="H589" s="22">
        <v>7.5969189999999998</v>
      </c>
      <c r="I589" s="3">
        <v>7.4988409999999996</v>
      </c>
      <c r="J589" s="22">
        <v>7.28925</v>
      </c>
      <c r="K589" s="3">
        <v>7.1858420000000001</v>
      </c>
      <c r="L589" s="22">
        <v>6.9873070000000004</v>
      </c>
      <c r="M589" s="3">
        <v>6.8811970000000002</v>
      </c>
      <c r="N589" s="22">
        <v>6.6865870000000003</v>
      </c>
      <c r="O589" s="3">
        <v>6.5802250000000004</v>
      </c>
      <c r="P589" s="22">
        <v>6.4913369999999997</v>
      </c>
      <c r="Q589" s="3">
        <v>6.3113029999999997</v>
      </c>
      <c r="R589" s="22">
        <v>6.2172869999999998</v>
      </c>
      <c r="S589" s="3">
        <v>6.1301019999999999</v>
      </c>
      <c r="T589" s="22">
        <v>6.0376339999999997</v>
      </c>
      <c r="U589" s="3">
        <v>5.8717560000000004</v>
      </c>
      <c r="V589" s="22">
        <v>5.7847039999999996</v>
      </c>
      <c r="W589" s="3">
        <v>5.6979709999999999</v>
      </c>
      <c r="X589" s="22">
        <v>5.6237019999999998</v>
      </c>
      <c r="Y589" s="3">
        <v>5.5483900000000004</v>
      </c>
      <c r="Z589" s="22">
        <v>5.3885529999999999</v>
      </c>
      <c r="AA589" s="3">
        <v>5.3265630000000002</v>
      </c>
      <c r="AB589" s="22">
        <v>5.2623879999999996</v>
      </c>
      <c r="AC589" s="3">
        <v>5.1914740000000004</v>
      </c>
      <c r="AD589" s="22">
        <v>5.1325750000000001</v>
      </c>
      <c r="AE589" s="3">
        <v>5.06982</v>
      </c>
      <c r="AF589" s="22">
        <v>4.9449209999999999</v>
      </c>
      <c r="AG589" s="3">
        <v>4.8748040000000001</v>
      </c>
      <c r="AH589" s="22">
        <v>4.813898</v>
      </c>
      <c r="AI589" s="3">
        <v>4.7585990000000002</v>
      </c>
      <c r="AJ589" s="22">
        <v>4.705317</v>
      </c>
      <c r="AK589" s="3">
        <v>4.6593340000000003</v>
      </c>
      <c r="AL589" s="22">
        <v>4.6003319999999999</v>
      </c>
      <c r="AM589" s="3">
        <v>4.5498700000000003</v>
      </c>
      <c r="AN589" s="22">
        <v>4.4934570000000003</v>
      </c>
      <c r="AO589" s="3">
        <v>4.4501010000000001</v>
      </c>
      <c r="AP589" s="22">
        <v>4.4039970000000004</v>
      </c>
      <c r="AQ589" s="3">
        <v>4.3629150000000001</v>
      </c>
      <c r="AR589" s="22">
        <v>4.3204570000000002</v>
      </c>
    </row>
    <row r="590" spans="3:44" x14ac:dyDescent="0.25">
      <c r="C590" s="1"/>
      <c r="D590" s="3">
        <v>8.5820799999999995</v>
      </c>
      <c r="E590" s="3">
        <v>8.5932899999999997</v>
      </c>
      <c r="F590" s="3">
        <v>8.6012120000000003</v>
      </c>
      <c r="G590" s="3">
        <v>8.5923499999999997</v>
      </c>
      <c r="H590" s="22">
        <v>7.7635069999999997</v>
      </c>
      <c r="I590" s="3">
        <v>7.6532039999999997</v>
      </c>
      <c r="J590" s="22">
        <v>7.4277519999999999</v>
      </c>
      <c r="K590" s="3">
        <v>7.3268370000000003</v>
      </c>
      <c r="L590" s="22">
        <v>7.1302219999999998</v>
      </c>
      <c r="M590" s="3">
        <v>7.0382709999999999</v>
      </c>
      <c r="N590" s="22">
        <v>6.833869</v>
      </c>
      <c r="O590" s="3">
        <v>6.7163940000000002</v>
      </c>
      <c r="P590" s="22">
        <v>6.6420750000000002</v>
      </c>
      <c r="Q590" s="3">
        <v>6.4465329999999996</v>
      </c>
      <c r="R590" s="22">
        <v>6.3494710000000003</v>
      </c>
      <c r="S590" s="3">
        <v>6.2599679999999998</v>
      </c>
      <c r="T590" s="22">
        <v>6.1633740000000001</v>
      </c>
      <c r="U590" s="3">
        <v>5.9962739999999997</v>
      </c>
      <c r="V590" s="22">
        <v>5.9195270000000004</v>
      </c>
      <c r="W590" s="3">
        <v>5.8274400000000002</v>
      </c>
      <c r="X590" s="22">
        <v>5.7542400000000002</v>
      </c>
      <c r="Y590" s="3">
        <v>5.662185</v>
      </c>
      <c r="Z590" s="22">
        <v>5.5297749999999999</v>
      </c>
      <c r="AA590" s="3">
        <v>5.4578300000000004</v>
      </c>
      <c r="AB590" s="22">
        <v>5.3768469999999997</v>
      </c>
      <c r="AC590" s="3">
        <v>5.3122340000000001</v>
      </c>
      <c r="AD590" s="22">
        <v>5.2225630000000001</v>
      </c>
      <c r="AE590" s="3">
        <v>5.1193619999999997</v>
      </c>
      <c r="AF590" s="22">
        <v>5.0497160000000001</v>
      </c>
      <c r="AG590" s="3">
        <v>4.983562</v>
      </c>
      <c r="AH590" s="22">
        <v>4.935943</v>
      </c>
      <c r="AI590" s="3">
        <v>4.8686119999999997</v>
      </c>
      <c r="AJ590" s="22">
        <v>4.8213160000000004</v>
      </c>
      <c r="AK590" s="3">
        <v>4.7571409999999998</v>
      </c>
      <c r="AL590" s="22">
        <v>4.6985260000000002</v>
      </c>
      <c r="AM590" s="3">
        <v>4.6271760000000004</v>
      </c>
      <c r="AN590" s="22">
        <v>4.601763</v>
      </c>
      <c r="AO590" s="3">
        <v>4.5467779999999998</v>
      </c>
      <c r="AP590" s="22">
        <v>4.5012220000000003</v>
      </c>
      <c r="AQ590" s="3">
        <v>4.4392839999999998</v>
      </c>
      <c r="AR590" s="22">
        <v>4.4181619999999997</v>
      </c>
    </row>
    <row r="591" spans="3:44" x14ac:dyDescent="0.25">
      <c r="C591" s="1"/>
      <c r="D591" s="3">
        <v>8.5646699999999996</v>
      </c>
      <c r="E591" s="3">
        <v>8.6036640000000002</v>
      </c>
      <c r="F591" s="3">
        <v>8.5864469999999997</v>
      </c>
      <c r="G591" s="3">
        <v>8.5547970000000007</v>
      </c>
      <c r="H591" s="22">
        <v>8.5969859999999994</v>
      </c>
      <c r="I591" s="3">
        <v>7.647856</v>
      </c>
      <c r="J591" s="22">
        <v>7.4460430000000004</v>
      </c>
      <c r="K591" s="3">
        <v>7.3410890000000002</v>
      </c>
      <c r="L591" s="22">
        <v>7.1499139999999999</v>
      </c>
      <c r="M591" s="3">
        <v>7.0507359999999997</v>
      </c>
      <c r="N591" s="22">
        <v>6.9045350000000001</v>
      </c>
      <c r="O591" s="3">
        <v>6.735576</v>
      </c>
      <c r="P591" s="22">
        <v>6.6049600000000002</v>
      </c>
      <c r="Q591" s="3">
        <v>6.5364639999999996</v>
      </c>
      <c r="R591" s="22">
        <v>6.3615740000000001</v>
      </c>
      <c r="S591" s="3">
        <v>6.2667000000000002</v>
      </c>
      <c r="T591" s="22">
        <v>6.1810479999999997</v>
      </c>
      <c r="U591" s="3">
        <v>5.9921860000000002</v>
      </c>
      <c r="V591" s="22">
        <v>5.9136899999999999</v>
      </c>
      <c r="W591" s="3">
        <v>5.8408769999999999</v>
      </c>
      <c r="X591" s="22">
        <v>5.7385140000000003</v>
      </c>
      <c r="Y591" s="3">
        <v>5.6744110000000001</v>
      </c>
      <c r="Z591" s="22">
        <v>5.5043490000000004</v>
      </c>
      <c r="AA591" s="3">
        <v>5.4559620000000004</v>
      </c>
      <c r="AB591" s="22">
        <v>5.3746450000000001</v>
      </c>
      <c r="AC591" s="3">
        <v>5.3157610000000002</v>
      </c>
      <c r="AD591" s="22">
        <v>5.2408260000000002</v>
      </c>
      <c r="AE591" s="3">
        <v>5.1762139999999999</v>
      </c>
      <c r="AF591" s="22">
        <v>5.047777</v>
      </c>
      <c r="AG591" s="3">
        <v>4.989071</v>
      </c>
      <c r="AH591" s="22">
        <v>4.9318429999999998</v>
      </c>
      <c r="AI591" s="3">
        <v>4.8743559999999997</v>
      </c>
      <c r="AJ591" s="22">
        <v>4.8152150000000002</v>
      </c>
      <c r="AK591" s="3">
        <v>4.7626150000000003</v>
      </c>
      <c r="AL591" s="22">
        <v>4.7075740000000001</v>
      </c>
      <c r="AM591" s="3">
        <v>4.6531510000000003</v>
      </c>
      <c r="AN591" s="22">
        <v>4.5985480000000001</v>
      </c>
      <c r="AO591" s="3">
        <v>4.5480799999999997</v>
      </c>
      <c r="AP591" s="22">
        <v>4.503253</v>
      </c>
      <c r="AQ591" s="3">
        <v>4.452089</v>
      </c>
      <c r="AR591" s="22">
        <v>4.4104080000000003</v>
      </c>
    </row>
    <row r="592" spans="3:44" x14ac:dyDescent="0.25">
      <c r="C592" s="1" t="s">
        <v>3</v>
      </c>
      <c r="D592" s="1">
        <f>AVERAGE(D589:D591)</f>
        <v>8.5193483333333333</v>
      </c>
      <c r="E592" s="1">
        <f t="shared" ref="E592" si="681">AVERAGE(E589:E591)</f>
        <v>8.5393550000000005</v>
      </c>
      <c r="F592" s="1">
        <f t="shared" ref="F592" si="682">AVERAGE(F589:F591)</f>
        <v>8.5349986666666666</v>
      </c>
      <c r="G592" s="1">
        <f t="shared" ref="G592" si="683">AVERAGE(G589:G591)</f>
        <v>8.5231433333333335</v>
      </c>
      <c r="H592" s="23">
        <f t="shared" ref="H592" si="684">AVERAGE(H589:H591)</f>
        <v>7.985803999999999</v>
      </c>
      <c r="I592" s="1">
        <f t="shared" ref="I592" si="685">AVERAGE(I589:I591)</f>
        <v>7.5999669999999995</v>
      </c>
      <c r="J592" s="23">
        <f t="shared" ref="J592" si="686">AVERAGE(J589:J591)</f>
        <v>7.3876816666666665</v>
      </c>
      <c r="K592" s="1">
        <f t="shared" ref="K592" si="687">AVERAGE(K589:K591)</f>
        <v>7.2845893333333338</v>
      </c>
      <c r="L592" s="23">
        <f t="shared" ref="L592" si="688">AVERAGE(L589:L591)</f>
        <v>7.0891476666666664</v>
      </c>
      <c r="M592" s="1">
        <f t="shared" ref="M592" si="689">AVERAGE(M589:M591)</f>
        <v>6.9900679999999999</v>
      </c>
      <c r="N592" s="23">
        <f t="shared" ref="N592" si="690">AVERAGE(N589:N591)</f>
        <v>6.8083303333333332</v>
      </c>
      <c r="O592" s="1">
        <f t="shared" ref="O592" si="691">AVERAGE(O589:O591)</f>
        <v>6.6773983333333335</v>
      </c>
      <c r="P592" s="23">
        <f t="shared" ref="P592" si="692">AVERAGE(P589:P591)</f>
        <v>6.579457333333333</v>
      </c>
      <c r="Q592" s="1">
        <f t="shared" ref="Q592" si="693">AVERAGE(Q589:Q591)</f>
        <v>6.4314333333333336</v>
      </c>
      <c r="R592" s="23">
        <f t="shared" ref="R592" si="694">AVERAGE(R589:R591)</f>
        <v>6.3094440000000001</v>
      </c>
      <c r="S592" s="1">
        <f t="shared" ref="S592" si="695">AVERAGE(S589:S591)</f>
        <v>6.2189233333333336</v>
      </c>
      <c r="T592" s="23">
        <f t="shared" ref="T592" si="696">AVERAGE(T589:T591)</f>
        <v>6.1273519999999992</v>
      </c>
      <c r="U592" s="1">
        <f t="shared" ref="U592" si="697">AVERAGE(U589:U591)</f>
        <v>5.9534053333333334</v>
      </c>
      <c r="V592" s="23">
        <f t="shared" ref="V592" si="698">AVERAGE(V589:V591)</f>
        <v>5.872640333333333</v>
      </c>
      <c r="W592" s="1">
        <f t="shared" ref="W592" si="699">AVERAGE(W589:W591)</f>
        <v>5.7887626666666669</v>
      </c>
      <c r="X592" s="23">
        <f t="shared" ref="X592" si="700">AVERAGE(X589:X591)</f>
        <v>5.7054853333333329</v>
      </c>
      <c r="Y592" s="1">
        <f t="shared" ref="Y592" si="701">AVERAGE(Y589:Y591)</f>
        <v>5.6283286666666674</v>
      </c>
      <c r="Z592" s="23">
        <f t="shared" ref="Z592" si="702">AVERAGE(Z589:Z591)</f>
        <v>5.4742256666666664</v>
      </c>
      <c r="AA592" s="1">
        <f t="shared" ref="AA592" si="703">AVERAGE(AA589:AA591)</f>
        <v>5.413451666666667</v>
      </c>
      <c r="AB592" s="23">
        <f t="shared" ref="AB592" si="704">AVERAGE(AB589:AB591)</f>
        <v>5.3379599999999998</v>
      </c>
      <c r="AC592" s="1">
        <f t="shared" ref="AC592" si="705">AVERAGE(AC589:AC591)</f>
        <v>5.2731563333333336</v>
      </c>
      <c r="AD592" s="23">
        <f t="shared" ref="AD592" si="706">AVERAGE(AD589:AD591)</f>
        <v>5.1986546666666671</v>
      </c>
      <c r="AE592" s="1">
        <f t="shared" ref="AE592" si="707">AVERAGE(AE589:AE591)</f>
        <v>5.1217986666666659</v>
      </c>
      <c r="AF592" s="23">
        <f t="shared" ref="AF592" si="708">AVERAGE(AF589:AF591)</f>
        <v>5.014138</v>
      </c>
      <c r="AG592" s="1">
        <f t="shared" ref="AG592" si="709">AVERAGE(AG589:AG591)</f>
        <v>4.9491456666666664</v>
      </c>
      <c r="AH592" s="23">
        <f t="shared" ref="AH592" si="710">AVERAGE(AH589:AH591)</f>
        <v>4.8938946666666672</v>
      </c>
      <c r="AI592" s="1">
        <f t="shared" ref="AI592" si="711">AVERAGE(AI589:AI591)</f>
        <v>4.8338556666666657</v>
      </c>
      <c r="AJ592" s="23">
        <f t="shared" ref="AJ592" si="712">AVERAGE(AJ589:AJ591)</f>
        <v>4.7806160000000002</v>
      </c>
      <c r="AK592" s="1">
        <f t="shared" ref="AK592" si="713">AVERAGE(AK589:AK591)</f>
        <v>4.7263633333333335</v>
      </c>
      <c r="AL592" s="23">
        <f t="shared" ref="AL592" si="714">AVERAGE(AL589:AL591)</f>
        <v>4.6688106666666664</v>
      </c>
      <c r="AM592" s="1">
        <f t="shared" ref="AM592" si="715">AVERAGE(AM589:AM591)</f>
        <v>4.6100656666666673</v>
      </c>
      <c r="AN592" s="23">
        <f t="shared" ref="AN592" si="716">AVERAGE(AN589:AN591)</f>
        <v>4.5645893333333341</v>
      </c>
      <c r="AO592" s="1">
        <f t="shared" ref="AO592" si="717">AVERAGE(AO589:AO591)</f>
        <v>4.5149863333333329</v>
      </c>
      <c r="AP592" s="23">
        <f t="shared" ref="AP592" si="718">AVERAGE(AP589:AP591)</f>
        <v>4.4694906666666663</v>
      </c>
      <c r="AQ592" s="1">
        <f t="shared" ref="AQ592" si="719">AVERAGE(AQ589:AQ591)</f>
        <v>4.4180959999999994</v>
      </c>
      <c r="AR592" s="23">
        <f t="shared" ref="AR592" si="720">AVERAGE(AR589:AR591)</f>
        <v>4.3830090000000004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4"/>
  <sheetViews>
    <sheetView workbookViewId="0">
      <selection activeCell="L23" sqref="L23"/>
    </sheetView>
  </sheetViews>
  <sheetFormatPr defaultRowHeight="15" x14ac:dyDescent="0.25"/>
  <sheetData>
    <row r="1" spans="1:8" x14ac:dyDescent="0.25">
      <c r="A1" t="s">
        <v>34</v>
      </c>
      <c r="B1" t="s">
        <v>1</v>
      </c>
      <c r="C1" t="s">
        <v>2</v>
      </c>
      <c r="F1">
        <v>868</v>
      </c>
      <c r="G1" s="132" t="s">
        <v>1</v>
      </c>
      <c r="H1" s="132" t="s">
        <v>2</v>
      </c>
    </row>
    <row r="2" spans="1:8" x14ac:dyDescent="0.25">
      <c r="B2">
        <v>1.8</v>
      </c>
      <c r="C2">
        <v>11.3</v>
      </c>
      <c r="F2" t="s">
        <v>35</v>
      </c>
      <c r="G2" s="132">
        <v>1.8</v>
      </c>
      <c r="H2" s="132">
        <v>11.1</v>
      </c>
    </row>
    <row r="3" spans="1:8" x14ac:dyDescent="0.25">
      <c r="B3">
        <v>1.9</v>
      </c>
      <c r="C3">
        <v>11.3</v>
      </c>
      <c r="G3" s="132">
        <v>1.9</v>
      </c>
      <c r="H3" s="132">
        <v>11.1</v>
      </c>
    </row>
    <row r="4" spans="1:8" x14ac:dyDescent="0.25">
      <c r="B4">
        <v>2</v>
      </c>
      <c r="C4">
        <v>9.9</v>
      </c>
      <c r="G4" s="132">
        <v>2</v>
      </c>
      <c r="H4" s="132">
        <v>10.5</v>
      </c>
    </row>
    <row r="5" spans="1:8" x14ac:dyDescent="0.25">
      <c r="B5">
        <v>2.1</v>
      </c>
      <c r="C5">
        <v>9.5</v>
      </c>
      <c r="G5" s="132">
        <v>2.1</v>
      </c>
      <c r="H5" s="132">
        <v>9.5</v>
      </c>
    </row>
    <row r="6" spans="1:8" x14ac:dyDescent="0.25">
      <c r="B6">
        <v>2.2000000000000002</v>
      </c>
      <c r="C6">
        <v>9.1</v>
      </c>
      <c r="G6" s="132">
        <v>2.2000000000000002</v>
      </c>
      <c r="H6" s="132">
        <v>9.1</v>
      </c>
    </row>
    <row r="7" spans="1:8" x14ac:dyDescent="0.25">
      <c r="B7">
        <v>2.4</v>
      </c>
      <c r="C7">
        <v>8.4</v>
      </c>
      <c r="G7" s="132">
        <v>2.4</v>
      </c>
      <c r="H7" s="132">
        <v>8.4</v>
      </c>
    </row>
    <row r="8" spans="1:8" x14ac:dyDescent="0.25">
      <c r="B8">
        <v>2.6</v>
      </c>
      <c r="C8">
        <v>7.8</v>
      </c>
      <c r="G8" s="132">
        <v>2.6</v>
      </c>
      <c r="H8" s="132">
        <v>7.8</v>
      </c>
    </row>
    <row r="9" spans="1:8" x14ac:dyDescent="0.25">
      <c r="B9">
        <v>2.8</v>
      </c>
      <c r="C9">
        <v>7.3</v>
      </c>
      <c r="G9" s="132">
        <v>2.8</v>
      </c>
      <c r="H9" s="132">
        <v>7.3</v>
      </c>
    </row>
    <row r="10" spans="1:8" x14ac:dyDescent="0.25">
      <c r="B10">
        <v>3</v>
      </c>
      <c r="C10">
        <v>6.8</v>
      </c>
      <c r="G10" s="132">
        <v>3</v>
      </c>
      <c r="H10" s="132">
        <v>6.8</v>
      </c>
    </row>
    <row r="11" spans="1:8" x14ac:dyDescent="0.25">
      <c r="B11">
        <v>3.2</v>
      </c>
      <c r="C11">
        <v>6.5</v>
      </c>
      <c r="G11" s="132">
        <v>3.2</v>
      </c>
      <c r="H11" s="132">
        <v>6.45</v>
      </c>
    </row>
    <row r="12" spans="1:8" x14ac:dyDescent="0.25">
      <c r="B12">
        <v>3.4</v>
      </c>
      <c r="C12">
        <v>6.1</v>
      </c>
      <c r="G12" s="132">
        <v>3.4</v>
      </c>
      <c r="H12" s="132">
        <v>6.15</v>
      </c>
    </row>
    <row r="13" spans="1:8" x14ac:dyDescent="0.25">
      <c r="B13">
        <v>3.6</v>
      </c>
      <c r="C13">
        <v>5.8</v>
      </c>
      <c r="G13" s="132">
        <v>3.6</v>
      </c>
      <c r="H13" s="132">
        <v>5.8</v>
      </c>
    </row>
    <row r="14" spans="1:8" x14ac:dyDescent="0.25">
      <c r="B14">
        <v>3.8</v>
      </c>
      <c r="C14">
        <v>5.6</v>
      </c>
      <c r="G14" s="132">
        <v>3.8</v>
      </c>
      <c r="H14" s="132">
        <v>5.55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195"/>
  <sheetViews>
    <sheetView zoomScale="140" zoomScaleNormal="140" workbookViewId="0">
      <pane ySplit="1" topLeftCell="A64" activePane="bottomLeft" state="frozen"/>
      <selection pane="bottomLeft" activeCell="L71" sqref="L71"/>
    </sheetView>
  </sheetViews>
  <sheetFormatPr defaultRowHeight="15" x14ac:dyDescent="0.25"/>
  <cols>
    <col min="2" max="2" width="11.5703125" customWidth="1"/>
    <col min="3" max="3" width="11.7109375" customWidth="1"/>
    <col min="4" max="4" width="9.140625" style="161"/>
    <col min="5" max="5" width="13.85546875" style="161" customWidth="1"/>
    <col min="6" max="6" width="13" style="161" customWidth="1"/>
    <col min="7" max="7" width="18.7109375" style="161" bestFit="1" customWidth="1"/>
    <col min="8" max="8" width="18.42578125" style="161" bestFit="1" customWidth="1"/>
    <col min="9" max="9" width="9.140625" style="161"/>
    <col min="10" max="10" width="12.28515625" style="161" customWidth="1"/>
    <col min="11" max="12" width="9.140625" style="161"/>
    <col min="13" max="13" width="12.140625" style="161" bestFit="1" customWidth="1"/>
    <col min="14" max="14" width="11.85546875" style="161" bestFit="1" customWidth="1"/>
    <col min="16" max="16" width="16" customWidth="1"/>
  </cols>
  <sheetData>
    <row r="1" spans="1:16" ht="15.75" thickBot="1" x14ac:dyDescent="0.3">
      <c r="D1" s="160" t="s">
        <v>44</v>
      </c>
      <c r="E1" s="160" t="s">
        <v>45</v>
      </c>
      <c r="F1" s="160"/>
      <c r="G1" s="160" t="s">
        <v>46</v>
      </c>
      <c r="H1" s="160"/>
      <c r="I1" s="160"/>
      <c r="J1" s="160" t="s">
        <v>47</v>
      </c>
      <c r="K1" s="160"/>
      <c r="L1" s="160" t="s">
        <v>48</v>
      </c>
      <c r="M1" s="160"/>
      <c r="N1" s="160"/>
      <c r="P1" t="s">
        <v>133</v>
      </c>
    </row>
    <row r="2" spans="1:16" x14ac:dyDescent="0.25">
      <c r="A2" s="164" t="s">
        <v>52</v>
      </c>
      <c r="B2" s="165" t="s">
        <v>34</v>
      </c>
    </row>
    <row r="3" spans="1:16" ht="15.75" thickBot="1" x14ac:dyDescent="0.3">
      <c r="A3" s="166"/>
      <c r="B3" s="167" t="s">
        <v>36</v>
      </c>
      <c r="E3" s="161" t="s">
        <v>130</v>
      </c>
      <c r="L3" s="161" t="s">
        <v>130</v>
      </c>
    </row>
    <row r="4" spans="1:16" s="178" customFormat="1" ht="15.75" thickBot="1" x14ac:dyDescent="0.3">
      <c r="A4" s="177"/>
      <c r="B4" s="177" t="s">
        <v>37</v>
      </c>
      <c r="C4" s="178" t="s">
        <v>131</v>
      </c>
      <c r="D4" s="179">
        <v>4</v>
      </c>
      <c r="E4" s="179">
        <f>4750640-4743328</f>
        <v>7312</v>
      </c>
      <c r="F4" s="179"/>
      <c r="G4" s="179">
        <f>E4-J4-L4</f>
        <v>3450</v>
      </c>
      <c r="H4" s="179"/>
      <c r="I4" s="179"/>
      <c r="J4" s="179">
        <v>3386</v>
      </c>
      <c r="K4" s="179"/>
      <c r="L4" s="179">
        <v>476</v>
      </c>
      <c r="M4" s="179"/>
      <c r="N4" s="179"/>
    </row>
    <row r="5" spans="1:16" ht="15.75" thickBot="1" x14ac:dyDescent="0.3"/>
    <row r="6" spans="1:16" s="181" customFormat="1" ht="15.75" thickBot="1" x14ac:dyDescent="0.3">
      <c r="A6" s="180"/>
      <c r="B6" s="180" t="s">
        <v>38</v>
      </c>
      <c r="D6" s="182">
        <v>19</v>
      </c>
      <c r="E6" s="181">
        <f>5360985 - 5351926</f>
        <v>9059</v>
      </c>
      <c r="F6" s="182"/>
      <c r="G6" s="182">
        <f>E6-J6-L6</f>
        <v>4355</v>
      </c>
      <c r="H6" s="182"/>
      <c r="I6" s="182"/>
      <c r="J6" s="182">
        <f>582+391</f>
        <v>973</v>
      </c>
      <c r="K6" s="182"/>
      <c r="L6" s="182">
        <f>387+3344</f>
        <v>3731</v>
      </c>
      <c r="M6" s="182"/>
      <c r="N6" s="182"/>
    </row>
    <row r="7" spans="1:16" ht="15.75" thickBot="1" x14ac:dyDescent="0.3"/>
    <row r="8" spans="1:16" s="184" customFormat="1" ht="15.75" thickBot="1" x14ac:dyDescent="0.3">
      <c r="A8" s="183"/>
      <c r="B8" s="183" t="s">
        <v>39</v>
      </c>
      <c r="D8" s="185" t="s">
        <v>132</v>
      </c>
      <c r="E8" s="185">
        <f>7098438-7093899</f>
        <v>4539</v>
      </c>
      <c r="F8" s="185"/>
      <c r="G8" s="185">
        <f>E8-J8-L8</f>
        <v>3382</v>
      </c>
      <c r="H8" s="185"/>
      <c r="I8" s="185"/>
      <c r="J8" s="185">
        <v>582</v>
      </c>
      <c r="K8" s="185"/>
      <c r="L8" s="185">
        <v>575</v>
      </c>
      <c r="M8" s="185"/>
      <c r="N8" s="185"/>
    </row>
    <row r="9" spans="1:16" ht="15.75" thickBot="1" x14ac:dyDescent="0.3"/>
    <row r="10" spans="1:16" x14ac:dyDescent="0.25">
      <c r="A10" s="24"/>
      <c r="B10" s="165" t="s">
        <v>34</v>
      </c>
    </row>
    <row r="11" spans="1:16" ht="15.75" thickBot="1" x14ac:dyDescent="0.3">
      <c r="A11" s="24"/>
      <c r="B11" s="168" t="s">
        <v>40</v>
      </c>
    </row>
    <row r="12" spans="1:16" s="178" customFormat="1" ht="15.75" thickBot="1" x14ac:dyDescent="0.3">
      <c r="A12" s="177"/>
      <c r="B12" s="177" t="s">
        <v>37</v>
      </c>
      <c r="C12" s="178" t="s">
        <v>131</v>
      </c>
      <c r="D12" s="179">
        <v>4</v>
      </c>
      <c r="E12" s="179">
        <f>4842586-4835664</f>
        <v>6922</v>
      </c>
      <c r="F12" s="179"/>
      <c r="G12" s="179">
        <f>E12-J12-L12</f>
        <v>2969</v>
      </c>
      <c r="H12" s="179"/>
      <c r="I12" s="179"/>
      <c r="J12" s="179">
        <v>3402</v>
      </c>
      <c r="K12" s="179"/>
      <c r="L12" s="179">
        <v>551</v>
      </c>
      <c r="M12" s="179"/>
      <c r="N12" s="179"/>
    </row>
    <row r="13" spans="1:16" ht="15.75" thickBot="1" x14ac:dyDescent="0.3">
      <c r="B13" s="132"/>
    </row>
    <row r="14" spans="1:16" s="181" customFormat="1" ht="15.75" thickBot="1" x14ac:dyDescent="0.3">
      <c r="A14" s="180"/>
      <c r="B14" s="180" t="s">
        <v>38</v>
      </c>
      <c r="D14" s="182">
        <v>19</v>
      </c>
      <c r="E14" s="182">
        <f>1655223-1643399</f>
        <v>11824</v>
      </c>
      <c r="F14" s="182"/>
      <c r="G14" s="182">
        <f>E14-J14-L14</f>
        <v>2058</v>
      </c>
      <c r="H14" s="182"/>
      <c r="I14" s="182"/>
      <c r="J14" s="182">
        <f>566+368</f>
        <v>934</v>
      </c>
      <c r="K14" s="182"/>
      <c r="L14" s="182">
        <f>3957+4875</f>
        <v>8832</v>
      </c>
      <c r="M14" s="182"/>
      <c r="N14" s="182"/>
    </row>
    <row r="15" spans="1:16" ht="15.75" thickBot="1" x14ac:dyDescent="0.3">
      <c r="B15" s="132"/>
    </row>
    <row r="16" spans="1:16" s="184" customFormat="1" ht="15.75" thickBot="1" x14ac:dyDescent="0.3">
      <c r="A16" s="183"/>
      <c r="B16" s="183" t="s">
        <v>40</v>
      </c>
      <c r="D16" s="185" t="s">
        <v>132</v>
      </c>
      <c r="E16" s="185">
        <f>3051590-3045957</f>
        <v>5633</v>
      </c>
      <c r="F16" s="185"/>
      <c r="G16" s="185">
        <f>E16-J16-L16</f>
        <v>4277</v>
      </c>
      <c r="H16" s="185"/>
      <c r="I16" s="185"/>
      <c r="J16" s="185">
        <v>0</v>
      </c>
      <c r="K16" s="185"/>
      <c r="L16" s="185">
        <v>1356</v>
      </c>
      <c r="M16" s="185"/>
      <c r="N16" s="185"/>
    </row>
    <row r="17" spans="1:17" ht="15.75" thickBot="1" x14ac:dyDescent="0.3"/>
    <row r="18" spans="1:17" s="163" customFormat="1" ht="15.75" thickBot="1" x14ac:dyDescent="0.3">
      <c r="A18" s="162"/>
      <c r="B18" s="162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</row>
    <row r="20" spans="1:17" x14ac:dyDescent="0.25">
      <c r="E20" s="161">
        <f>1648942-1644985</f>
        <v>3957</v>
      </c>
      <c r="G20" s="161">
        <f>1655223-1643399</f>
        <v>11824</v>
      </c>
    </row>
    <row r="22" spans="1:17" ht="15.75" thickBot="1" x14ac:dyDescent="0.3">
      <c r="B22" s="159"/>
    </row>
    <row r="23" spans="1:17" s="163" customFormat="1" ht="15.75" thickBot="1" x14ac:dyDescent="0.3">
      <c r="A23" s="162"/>
      <c r="D23" s="153" t="s">
        <v>44</v>
      </c>
      <c r="E23" s="153" t="s">
        <v>45</v>
      </c>
      <c r="F23" s="153"/>
      <c r="G23" s="153" t="s">
        <v>46</v>
      </c>
      <c r="H23" s="153"/>
      <c r="I23" s="153"/>
      <c r="J23" s="153" t="s">
        <v>47</v>
      </c>
      <c r="K23" s="153"/>
      <c r="L23" s="153" t="s">
        <v>48</v>
      </c>
      <c r="M23" s="153"/>
      <c r="N23" s="153"/>
    </row>
    <row r="24" spans="1:17" x14ac:dyDescent="0.25">
      <c r="A24" s="164" t="s">
        <v>49</v>
      </c>
      <c r="B24" s="169" t="s">
        <v>41</v>
      </c>
      <c r="Q24" s="132"/>
    </row>
    <row r="25" spans="1:17" ht="15.75" thickBot="1" x14ac:dyDescent="0.3">
      <c r="A25" s="170"/>
      <c r="B25" s="171" t="s">
        <v>36</v>
      </c>
      <c r="Q25" s="132"/>
    </row>
    <row r="26" spans="1:17" s="178" customFormat="1" ht="15.75" thickBot="1" x14ac:dyDescent="0.3">
      <c r="A26" s="177"/>
      <c r="B26" s="178" t="s">
        <v>37</v>
      </c>
      <c r="D26" s="179"/>
      <c r="E26" s="179">
        <f>4294559-4255793</f>
        <v>38766</v>
      </c>
      <c r="F26" s="179"/>
      <c r="G26" s="179">
        <f>E26-J26-L26</f>
        <v>16395</v>
      </c>
      <c r="H26" s="179"/>
      <c r="I26" s="179"/>
      <c r="J26" s="179">
        <v>18336</v>
      </c>
      <c r="K26" s="179"/>
      <c r="L26" s="179">
        <v>4035</v>
      </c>
      <c r="M26" s="179"/>
      <c r="N26" s="179"/>
    </row>
    <row r="27" spans="1:17" ht="15.75" thickBot="1" x14ac:dyDescent="0.3">
      <c r="B27" s="132"/>
      <c r="Q27" s="132"/>
    </row>
    <row r="28" spans="1:17" s="181" customFormat="1" ht="15.75" thickBot="1" x14ac:dyDescent="0.3">
      <c r="A28" s="180"/>
      <c r="B28" s="181" t="s">
        <v>38</v>
      </c>
      <c r="D28" s="182"/>
      <c r="E28" s="182">
        <f>13163461-13118848</f>
        <v>44613</v>
      </c>
      <c r="F28" s="182"/>
      <c r="G28" s="182">
        <f>E28-J28-L28</f>
        <v>11535</v>
      </c>
      <c r="H28" s="182"/>
      <c r="I28" s="182"/>
      <c r="J28" s="182">
        <f>4261+3141</f>
        <v>7402</v>
      </c>
      <c r="K28" s="182"/>
      <c r="L28" s="182">
        <v>25676</v>
      </c>
      <c r="M28" s="182"/>
      <c r="N28" s="182"/>
    </row>
    <row r="29" spans="1:17" ht="15.75" thickBot="1" x14ac:dyDescent="0.3">
      <c r="B29" s="132"/>
      <c r="Q29" s="132"/>
    </row>
    <row r="30" spans="1:17" s="184" customFormat="1" ht="15.75" thickBot="1" x14ac:dyDescent="0.3">
      <c r="A30" s="183"/>
      <c r="B30" s="184" t="s">
        <v>39</v>
      </c>
      <c r="D30" s="185"/>
      <c r="E30" s="185">
        <f>3826532-3806497</f>
        <v>20035</v>
      </c>
      <c r="F30" s="185"/>
      <c r="G30" s="185">
        <f>E30-J30-L30</f>
        <v>11746</v>
      </c>
      <c r="H30" s="185"/>
      <c r="I30" s="185"/>
      <c r="J30" s="185">
        <v>4262</v>
      </c>
      <c r="K30" s="185"/>
      <c r="L30" s="185">
        <v>4027</v>
      </c>
      <c r="M30" s="185"/>
      <c r="N30" s="185"/>
    </row>
    <row r="31" spans="1:17" x14ac:dyDescent="0.25">
      <c r="B31" s="132"/>
      <c r="Q31" s="132"/>
    </row>
    <row r="32" spans="1:17" x14ac:dyDescent="0.25">
      <c r="A32" s="24"/>
      <c r="B32" s="24" t="s">
        <v>41</v>
      </c>
      <c r="Q32" s="132"/>
    </row>
    <row r="33" spans="1:29" ht="15.75" thickBot="1" x14ac:dyDescent="0.3">
      <c r="A33" s="24"/>
      <c r="B33" s="24" t="s">
        <v>40</v>
      </c>
      <c r="Q33" s="132"/>
    </row>
    <row r="34" spans="1:29" s="178" customFormat="1" ht="15.75" thickBot="1" x14ac:dyDescent="0.3">
      <c r="A34" s="177"/>
      <c r="B34" s="178" t="s">
        <v>37</v>
      </c>
      <c r="D34" s="179"/>
      <c r="E34" s="179">
        <f>6033809-6001997</f>
        <v>31812</v>
      </c>
      <c r="F34" s="179"/>
      <c r="G34" s="179">
        <f>E34-J34-L34</f>
        <v>9417</v>
      </c>
      <c r="H34" s="179"/>
      <c r="I34" s="179"/>
      <c r="J34" s="179">
        <v>18348</v>
      </c>
      <c r="K34" s="179"/>
      <c r="L34" s="179">
        <v>4047</v>
      </c>
      <c r="M34" s="179"/>
      <c r="N34" s="179"/>
    </row>
    <row r="35" spans="1:29" ht="15.75" thickBot="1" x14ac:dyDescent="0.3">
      <c r="B35" s="132"/>
      <c r="Q35" s="132"/>
    </row>
    <row r="36" spans="1:29" s="181" customFormat="1" ht="15.75" thickBot="1" x14ac:dyDescent="0.3">
      <c r="A36" s="180"/>
      <c r="B36" s="181" t="s">
        <v>38</v>
      </c>
      <c r="D36" s="182"/>
      <c r="E36" s="182">
        <f>18117356-18062805</f>
        <v>54551</v>
      </c>
      <c r="F36" s="182"/>
      <c r="G36" s="182">
        <f>E36-J36-L36</f>
        <v>18779</v>
      </c>
      <c r="H36" s="182"/>
      <c r="I36" s="182"/>
      <c r="J36" s="182">
        <f>4258+3144</f>
        <v>7402</v>
      </c>
      <c r="K36" s="182"/>
      <c r="L36" s="182">
        <f>6156+22214</f>
        <v>28370</v>
      </c>
      <c r="M36" s="182"/>
      <c r="N36" s="182"/>
    </row>
    <row r="37" spans="1:29" ht="15.75" thickBot="1" x14ac:dyDescent="0.3">
      <c r="B37" s="132"/>
      <c r="Q37" s="132"/>
    </row>
    <row r="38" spans="1:29" s="184" customFormat="1" ht="15.75" thickBot="1" x14ac:dyDescent="0.3">
      <c r="A38" s="183"/>
      <c r="B38" s="183" t="s">
        <v>40</v>
      </c>
      <c r="D38" s="185"/>
      <c r="E38" s="185">
        <f>4612118-4604352</f>
        <v>7766</v>
      </c>
      <c r="F38" s="185"/>
      <c r="G38" s="185">
        <f>E38-J38-L38</f>
        <v>1945</v>
      </c>
      <c r="H38" s="185"/>
      <c r="I38" s="185"/>
      <c r="J38" s="185">
        <v>0</v>
      </c>
      <c r="K38" s="185"/>
      <c r="L38" s="185">
        <v>5821</v>
      </c>
      <c r="M38" s="185"/>
      <c r="N38" s="185"/>
    </row>
    <row r="39" spans="1:29" ht="15.75" thickBot="1" x14ac:dyDescent="0.3">
      <c r="B39" s="132"/>
      <c r="Q39" s="132"/>
    </row>
    <row r="40" spans="1:29" s="163" customFormat="1" ht="15.75" thickBot="1" x14ac:dyDescent="0.3">
      <c r="A40" s="162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</row>
    <row r="45" spans="1:29" x14ac:dyDescent="0.25">
      <c r="A45" s="132"/>
      <c r="B45" s="132"/>
      <c r="C45" s="132"/>
      <c r="D45" s="161" t="s">
        <v>44</v>
      </c>
      <c r="E45" s="161" t="s">
        <v>45</v>
      </c>
      <c r="G45" s="161" t="s">
        <v>46</v>
      </c>
      <c r="J45" s="161" t="s">
        <v>47</v>
      </c>
      <c r="L45" s="161" t="s">
        <v>48</v>
      </c>
    </row>
    <row r="46" spans="1:29" x14ac:dyDescent="0.25">
      <c r="A46" s="24" t="s">
        <v>50</v>
      </c>
      <c r="B46" s="24" t="s">
        <v>41</v>
      </c>
      <c r="C46" s="132"/>
    </row>
    <row r="47" spans="1:29" ht="15.75" thickBot="1" x14ac:dyDescent="0.3">
      <c r="A47" s="24"/>
      <c r="B47" s="24" t="s">
        <v>36</v>
      </c>
      <c r="C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</row>
    <row r="48" spans="1:29" s="178" customFormat="1" ht="15.75" thickBot="1" x14ac:dyDescent="0.3">
      <c r="A48" s="177"/>
      <c r="B48" s="178" t="s">
        <v>37</v>
      </c>
      <c r="D48" s="179"/>
      <c r="E48" s="179">
        <f>4440196-4219645</f>
        <v>220551</v>
      </c>
      <c r="F48" s="179"/>
      <c r="G48" s="179">
        <f>E48-J48-L48</f>
        <v>15292</v>
      </c>
      <c r="H48" s="179"/>
      <c r="I48" s="179"/>
      <c r="J48" s="179">
        <v>177977</v>
      </c>
      <c r="K48" s="179"/>
      <c r="L48" s="179">
        <v>27282</v>
      </c>
      <c r="M48" s="179"/>
      <c r="N48" s="179"/>
    </row>
    <row r="49" spans="1:17" ht="15.75" thickBot="1" x14ac:dyDescent="0.3">
      <c r="A49" s="132"/>
      <c r="B49" s="132"/>
      <c r="C49" s="132"/>
      <c r="Q49" s="132"/>
    </row>
    <row r="50" spans="1:17" s="181" customFormat="1" ht="15.75" thickBot="1" x14ac:dyDescent="0.3">
      <c r="A50" s="180"/>
      <c r="B50" s="181" t="s">
        <v>38</v>
      </c>
      <c r="D50" s="182"/>
      <c r="E50" s="182">
        <f>4314485-4090372</f>
        <v>224113</v>
      </c>
      <c r="F50" s="182"/>
      <c r="G50" s="182">
        <f>E50-J50-L50</f>
        <v>10690</v>
      </c>
      <c r="H50" s="182"/>
      <c r="I50" s="182"/>
      <c r="J50" s="182">
        <f>37168+25969</f>
        <v>63137</v>
      </c>
      <c r="K50" s="182"/>
      <c r="L50" s="182">
        <v>150286</v>
      </c>
      <c r="M50" s="182"/>
      <c r="N50" s="182"/>
    </row>
    <row r="51" spans="1:17" ht="15.75" thickBot="1" x14ac:dyDescent="0.3">
      <c r="A51" s="132"/>
      <c r="B51" s="132"/>
      <c r="C51" s="132"/>
      <c r="Q51" s="132"/>
    </row>
    <row r="52" spans="1:17" s="184" customFormat="1" ht="15.75" thickBot="1" x14ac:dyDescent="0.3">
      <c r="A52" s="183"/>
      <c r="B52" s="184" t="s">
        <v>39</v>
      </c>
      <c r="D52" s="185"/>
      <c r="E52" s="185">
        <f>3874789-3793668</f>
        <v>81121</v>
      </c>
      <c r="F52" s="185"/>
      <c r="G52" s="185">
        <f>E52-J52-L52</f>
        <v>16703</v>
      </c>
      <c r="H52" s="185"/>
      <c r="I52" s="185"/>
      <c r="J52" s="185">
        <v>37176</v>
      </c>
      <c r="K52" s="185"/>
      <c r="L52" s="185">
        <v>27242</v>
      </c>
      <c r="M52" s="185"/>
      <c r="N52" s="185"/>
    </row>
    <row r="53" spans="1:17" x14ac:dyDescent="0.25">
      <c r="A53" s="132"/>
      <c r="B53" s="132"/>
      <c r="C53" s="132"/>
      <c r="Q53" s="132"/>
    </row>
    <row r="54" spans="1:17" x14ac:dyDescent="0.25">
      <c r="A54" s="24"/>
      <c r="B54" s="24" t="s">
        <v>41</v>
      </c>
      <c r="C54" s="132"/>
      <c r="Q54" s="132"/>
    </row>
    <row r="55" spans="1:17" ht="15.75" thickBot="1" x14ac:dyDescent="0.3">
      <c r="A55" s="24"/>
      <c r="B55" s="24" t="s">
        <v>40</v>
      </c>
      <c r="C55" s="132"/>
      <c r="Q55" s="132"/>
    </row>
    <row r="56" spans="1:17" s="178" customFormat="1" ht="15.75" thickBot="1" x14ac:dyDescent="0.3">
      <c r="A56" s="177"/>
      <c r="B56" s="178" t="s">
        <v>37</v>
      </c>
      <c r="D56" s="179"/>
      <c r="E56" s="179">
        <f>4591766-4376856</f>
        <v>214910</v>
      </c>
      <c r="F56" s="179"/>
      <c r="G56" s="179">
        <f>E56-J56-L56</f>
        <v>9734</v>
      </c>
      <c r="H56" s="179"/>
      <c r="I56" s="179"/>
      <c r="J56" s="179">
        <v>177961</v>
      </c>
      <c r="K56" s="179"/>
      <c r="L56" s="179">
        <v>27215</v>
      </c>
      <c r="M56" s="179"/>
      <c r="N56" s="179"/>
    </row>
    <row r="57" spans="1:17" ht="15.75" thickBot="1" x14ac:dyDescent="0.3">
      <c r="A57" s="132"/>
      <c r="B57" s="132"/>
      <c r="C57" s="132"/>
      <c r="Q57" s="132"/>
    </row>
    <row r="58" spans="1:17" s="181" customFormat="1" ht="15.75" thickBot="1" x14ac:dyDescent="0.3">
      <c r="A58" s="180"/>
      <c r="B58" s="181" t="s">
        <v>38</v>
      </c>
      <c r="D58" s="182"/>
      <c r="E58" s="182">
        <f>14313207-14059446</f>
        <v>253761</v>
      </c>
      <c r="F58" s="182"/>
      <c r="G58" s="182">
        <f>E58-J58-L58</f>
        <v>17803</v>
      </c>
      <c r="H58" s="182"/>
      <c r="I58" s="182"/>
      <c r="J58" s="182">
        <f>37172+25977</f>
        <v>63149</v>
      </c>
      <c r="K58" s="182"/>
      <c r="L58" s="182">
        <f>37941+134868</f>
        <v>172809</v>
      </c>
      <c r="M58" s="182"/>
      <c r="N58" s="182"/>
    </row>
    <row r="59" spans="1:17" ht="15.75" thickBot="1" x14ac:dyDescent="0.3">
      <c r="A59" s="132"/>
      <c r="B59" s="132"/>
      <c r="C59" s="132"/>
      <c r="Q59" s="132"/>
    </row>
    <row r="60" spans="1:17" s="184" customFormat="1" ht="15.75" thickBot="1" x14ac:dyDescent="0.3">
      <c r="A60" s="183"/>
      <c r="B60" s="183" t="s">
        <v>40</v>
      </c>
      <c r="D60" s="185"/>
      <c r="E60" s="185">
        <f>16997688-16960911</f>
        <v>36777</v>
      </c>
      <c r="F60" s="185"/>
      <c r="G60" s="185">
        <f>E60-J60-L60</f>
        <v>2039</v>
      </c>
      <c r="H60" s="185"/>
      <c r="I60" s="185"/>
      <c r="J60" s="185">
        <v>0</v>
      </c>
      <c r="K60" s="185"/>
      <c r="L60" s="185">
        <v>34738</v>
      </c>
      <c r="M60" s="185"/>
      <c r="N60" s="185"/>
    </row>
    <row r="61" spans="1:17" ht="15.75" thickBot="1" x14ac:dyDescent="0.3">
      <c r="A61" s="132"/>
      <c r="B61" s="132"/>
      <c r="C61" s="132"/>
      <c r="Q61" s="132"/>
    </row>
    <row r="62" spans="1:17" s="163" customFormat="1" ht="15.75" thickBot="1" x14ac:dyDescent="0.3">
      <c r="A62" s="162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</row>
    <row r="63" spans="1:17" x14ac:dyDescent="0.25">
      <c r="Q63" s="132"/>
    </row>
    <row r="64" spans="1:17" x14ac:dyDescent="0.25">
      <c r="Q64" s="132"/>
    </row>
    <row r="67" spans="1:14" x14ac:dyDescent="0.25">
      <c r="A67" s="132"/>
      <c r="B67" s="132"/>
      <c r="C67" s="132"/>
      <c r="D67" s="161" t="s">
        <v>44</v>
      </c>
      <c r="E67" s="161" t="s">
        <v>45</v>
      </c>
      <c r="G67" s="161" t="s">
        <v>46</v>
      </c>
      <c r="J67" s="161" t="s">
        <v>47</v>
      </c>
      <c r="L67" s="161" t="s">
        <v>48</v>
      </c>
    </row>
    <row r="68" spans="1:14" x14ac:dyDescent="0.25">
      <c r="A68" s="24" t="s">
        <v>51</v>
      </c>
      <c r="B68" s="24" t="s">
        <v>41</v>
      </c>
      <c r="C68" s="132"/>
    </row>
    <row r="69" spans="1:14" ht="15.75" thickBot="1" x14ac:dyDescent="0.3">
      <c r="A69" s="24"/>
      <c r="B69" s="24" t="s">
        <v>36</v>
      </c>
      <c r="C69" s="132"/>
    </row>
    <row r="70" spans="1:14" s="178" customFormat="1" ht="15.75" thickBot="1" x14ac:dyDescent="0.3">
      <c r="A70" s="177"/>
      <c r="B70" s="178" t="s">
        <v>37</v>
      </c>
      <c r="D70" s="179"/>
      <c r="E70" s="179">
        <f>6336090-6317926</f>
        <v>18164</v>
      </c>
      <c r="F70" s="179"/>
      <c r="G70" s="179">
        <f>E70-J70-L70</f>
        <v>12449</v>
      </c>
      <c r="H70" s="179"/>
      <c r="I70" s="179"/>
      <c r="J70" s="179">
        <v>4559</v>
      </c>
      <c r="K70" s="179"/>
      <c r="L70" s="179">
        <v>1156</v>
      </c>
      <c r="M70" s="179"/>
      <c r="N70" s="179"/>
    </row>
    <row r="71" spans="1:14" ht="15.75" thickBot="1" x14ac:dyDescent="0.3">
      <c r="A71" s="132"/>
      <c r="B71" s="132"/>
      <c r="C71" s="132"/>
    </row>
    <row r="72" spans="1:14" s="181" customFormat="1" ht="15.75" thickBot="1" x14ac:dyDescent="0.3">
      <c r="A72" s="180"/>
      <c r="B72" s="181" t="s">
        <v>38</v>
      </c>
      <c r="D72" s="182"/>
      <c r="E72" s="182">
        <f>5299653-5270965</f>
        <v>28688</v>
      </c>
      <c r="F72" s="182"/>
      <c r="G72" s="182">
        <f>E72-J72-L72</f>
        <v>14430</v>
      </c>
      <c r="H72" s="182"/>
      <c r="I72" s="182"/>
      <c r="J72" s="182">
        <f>1047+762</f>
        <v>1809</v>
      </c>
      <c r="K72" s="182"/>
      <c r="L72" s="182">
        <v>12449</v>
      </c>
      <c r="M72" s="182"/>
      <c r="N72" s="182"/>
    </row>
    <row r="73" spans="1:14" ht="15.75" thickBot="1" x14ac:dyDescent="0.3">
      <c r="A73" s="132"/>
      <c r="B73" s="132"/>
      <c r="C73" s="132"/>
    </row>
    <row r="74" spans="1:14" s="184" customFormat="1" ht="15.75" thickBot="1" x14ac:dyDescent="0.3">
      <c r="A74" s="183"/>
      <c r="B74" s="184" t="s">
        <v>39</v>
      </c>
      <c r="D74" s="185"/>
      <c r="E74" s="185">
        <f>5676696-5665137</f>
        <v>11559</v>
      </c>
      <c r="F74" s="185"/>
      <c r="G74" s="185">
        <f>E74-J74-L74</f>
        <v>9321</v>
      </c>
      <c r="H74" s="185"/>
      <c r="I74" s="185"/>
      <c r="J74" s="185">
        <v>1051</v>
      </c>
      <c r="K74" s="185"/>
      <c r="L74" s="185">
        <v>1187</v>
      </c>
      <c r="M74" s="185"/>
      <c r="N74" s="185"/>
    </row>
    <row r="75" spans="1:14" x14ac:dyDescent="0.25">
      <c r="A75" s="132"/>
      <c r="B75" s="132"/>
      <c r="C75" s="132"/>
    </row>
    <row r="76" spans="1:14" x14ac:dyDescent="0.25">
      <c r="A76" s="24"/>
      <c r="B76" s="24" t="s">
        <v>41</v>
      </c>
      <c r="C76" s="132"/>
    </row>
    <row r="77" spans="1:14" ht="15.75" thickBot="1" x14ac:dyDescent="0.3">
      <c r="A77" s="24"/>
      <c r="B77" s="24" t="s">
        <v>40</v>
      </c>
      <c r="C77" s="132"/>
    </row>
    <row r="78" spans="1:14" s="178" customFormat="1" ht="15.75" thickBot="1" x14ac:dyDescent="0.3">
      <c r="A78" s="177"/>
      <c r="B78" s="178" t="s">
        <v>37</v>
      </c>
      <c r="D78" s="179"/>
      <c r="E78" s="179">
        <f>4130047-4113985</f>
        <v>16062</v>
      </c>
      <c r="F78" s="179"/>
      <c r="G78" s="179">
        <f>E78-J78-L78</f>
        <v>10336</v>
      </c>
      <c r="H78" s="179"/>
      <c r="I78" s="179"/>
      <c r="J78" s="179">
        <v>4570</v>
      </c>
      <c r="K78" s="179"/>
      <c r="L78" s="179">
        <v>1156</v>
      </c>
      <c r="M78" s="179"/>
      <c r="N78" s="179"/>
    </row>
    <row r="79" spans="1:14" ht="15.75" thickBot="1" x14ac:dyDescent="0.3">
      <c r="A79" s="132"/>
      <c r="B79" s="132"/>
      <c r="C79" s="132"/>
    </row>
    <row r="80" spans="1:14" s="181" customFormat="1" ht="15.75" thickBot="1" x14ac:dyDescent="0.3">
      <c r="A80" s="180"/>
      <c r="B80" s="181" t="s">
        <v>38</v>
      </c>
      <c r="D80" s="182"/>
      <c r="E80" s="182">
        <f>4134844-4101735</f>
        <v>33109</v>
      </c>
      <c r="F80" s="182"/>
      <c r="G80" s="182">
        <f>E80-J80-L80</f>
        <v>14757</v>
      </c>
      <c r="H80" s="182"/>
      <c r="I80" s="182"/>
      <c r="J80" s="182">
        <f>1047+766</f>
        <v>1813</v>
      </c>
      <c r="K80" s="182"/>
      <c r="L80" s="182">
        <f>1574+14965</f>
        <v>16539</v>
      </c>
      <c r="M80" s="182"/>
      <c r="N80" s="182"/>
    </row>
    <row r="81" spans="1:14" ht="15.75" thickBot="1" x14ac:dyDescent="0.3">
      <c r="A81" s="132"/>
      <c r="B81" s="132"/>
      <c r="C81" s="132"/>
    </row>
    <row r="82" spans="1:14" s="184" customFormat="1" ht="15.75" thickBot="1" x14ac:dyDescent="0.3">
      <c r="A82" s="183"/>
      <c r="B82" s="183" t="s">
        <v>40</v>
      </c>
      <c r="D82" s="185"/>
      <c r="E82" s="185">
        <f>5096399-5092875</f>
        <v>3524</v>
      </c>
      <c r="F82" s="185"/>
      <c r="G82" s="185">
        <f>E82-J82-L82</f>
        <v>2024</v>
      </c>
      <c r="H82" s="185"/>
      <c r="I82" s="185"/>
      <c r="J82" s="185">
        <v>0</v>
      </c>
      <c r="K82" s="185"/>
      <c r="L82" s="185">
        <v>1500</v>
      </c>
      <c r="M82" s="185"/>
      <c r="N82" s="185"/>
    </row>
    <row r="83" spans="1:14" ht="15.75" thickBot="1" x14ac:dyDescent="0.3">
      <c r="A83" s="132"/>
      <c r="B83" s="132"/>
      <c r="C83" s="132"/>
    </row>
    <row r="84" spans="1:14" s="163" customFormat="1" ht="15.75" thickBot="1" x14ac:dyDescent="0.3">
      <c r="A84" s="162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</row>
    <row r="90" spans="1:14" x14ac:dyDescent="0.25">
      <c r="A90" s="132"/>
      <c r="B90" s="132"/>
      <c r="C90" s="132"/>
      <c r="D90" s="161" t="s">
        <v>44</v>
      </c>
      <c r="E90" s="161" t="s">
        <v>45</v>
      </c>
      <c r="G90" s="161" t="s">
        <v>46</v>
      </c>
      <c r="J90" s="161" t="s">
        <v>47</v>
      </c>
      <c r="L90" s="161" t="s">
        <v>48</v>
      </c>
    </row>
    <row r="91" spans="1:14" x14ac:dyDescent="0.25">
      <c r="A91" s="24" t="s">
        <v>49</v>
      </c>
      <c r="B91" s="24" t="s">
        <v>42</v>
      </c>
      <c r="C91" s="132"/>
    </row>
    <row r="92" spans="1:14" ht="15.75" thickBot="1" x14ac:dyDescent="0.3">
      <c r="A92" s="24"/>
      <c r="B92" s="24" t="s">
        <v>36</v>
      </c>
      <c r="C92" s="132"/>
    </row>
    <row r="93" spans="1:14" s="178" customFormat="1" ht="15.75" thickBot="1" x14ac:dyDescent="0.3">
      <c r="A93" s="177"/>
      <c r="B93" s="178" t="s">
        <v>37</v>
      </c>
      <c r="D93" s="179"/>
      <c r="E93" s="179">
        <f>5151582-5123508</f>
        <v>28074</v>
      </c>
      <c r="F93" s="179"/>
      <c r="G93" s="179">
        <f>E93-J93-L93</f>
        <v>5703</v>
      </c>
      <c r="H93" s="179"/>
      <c r="I93" s="179"/>
      <c r="J93" s="179">
        <v>18340</v>
      </c>
      <c r="K93" s="179"/>
      <c r="L93" s="179">
        <v>4031</v>
      </c>
      <c r="M93" s="179"/>
      <c r="N93" s="179"/>
    </row>
    <row r="94" spans="1:14" ht="15.75" thickBot="1" x14ac:dyDescent="0.3">
      <c r="A94" s="132"/>
      <c r="B94" s="132"/>
      <c r="C94" s="132"/>
    </row>
    <row r="95" spans="1:14" s="181" customFormat="1" ht="15.75" thickBot="1" x14ac:dyDescent="0.3">
      <c r="A95" s="180"/>
      <c r="B95" s="181" t="s">
        <v>38</v>
      </c>
      <c r="D95" s="182"/>
      <c r="E95" s="182">
        <f>4767184-4736188</f>
        <v>30996</v>
      </c>
      <c r="F95" s="182"/>
      <c r="G95" s="182">
        <f>E95-J95-L95</f>
        <v>5234</v>
      </c>
      <c r="H95" s="182"/>
      <c r="I95" s="182"/>
      <c r="J95" s="182">
        <f>4242+3144</f>
        <v>7386</v>
      </c>
      <c r="K95" s="182"/>
      <c r="L95" s="182">
        <f>4266+14110</f>
        <v>18376</v>
      </c>
      <c r="M95" s="182"/>
      <c r="N95" s="182"/>
    </row>
    <row r="96" spans="1:14" ht="15.75" thickBot="1" x14ac:dyDescent="0.3">
      <c r="A96" s="132"/>
      <c r="B96" s="132"/>
      <c r="C96" s="132"/>
    </row>
    <row r="97" spans="1:14" s="184" customFormat="1" ht="15.75" thickBot="1" x14ac:dyDescent="0.3">
      <c r="A97" s="183"/>
      <c r="B97" s="184" t="s">
        <v>39</v>
      </c>
      <c r="D97" s="185"/>
      <c r="E97" s="185">
        <f>4764809-4748059</f>
        <v>16750</v>
      </c>
      <c r="F97" s="185"/>
      <c r="G97" s="185">
        <f>E97-J97-L97</f>
        <v>8484</v>
      </c>
      <c r="H97" s="185"/>
      <c r="I97" s="185"/>
      <c r="J97" s="185">
        <v>4262</v>
      </c>
      <c r="K97" s="185"/>
      <c r="L97" s="185">
        <v>4004</v>
      </c>
      <c r="M97" s="185"/>
      <c r="N97" s="185"/>
    </row>
    <row r="98" spans="1:14" x14ac:dyDescent="0.25">
      <c r="A98" s="132"/>
      <c r="B98" s="132"/>
      <c r="C98" s="132"/>
    </row>
    <row r="99" spans="1:14" x14ac:dyDescent="0.25">
      <c r="A99" s="24"/>
      <c r="B99" s="24" t="s">
        <v>42</v>
      </c>
      <c r="C99" s="132"/>
    </row>
    <row r="100" spans="1:14" ht="15.75" thickBot="1" x14ac:dyDescent="0.3">
      <c r="A100" s="24"/>
      <c r="B100" s="24" t="s">
        <v>40</v>
      </c>
      <c r="C100" s="132"/>
    </row>
    <row r="101" spans="1:14" s="178" customFormat="1" ht="15.75" thickBot="1" x14ac:dyDescent="0.3">
      <c r="A101" s="177"/>
      <c r="B101" s="178" t="s">
        <v>37</v>
      </c>
      <c r="D101" s="179"/>
      <c r="E101" s="179">
        <f>5342750-5312477</f>
        <v>30273</v>
      </c>
      <c r="F101" s="179"/>
      <c r="G101" s="179">
        <f>E101-J101-L101</f>
        <v>7902</v>
      </c>
      <c r="H101" s="179"/>
      <c r="I101" s="179"/>
      <c r="J101" s="179">
        <v>18340</v>
      </c>
      <c r="K101" s="179"/>
      <c r="L101" s="179">
        <v>4031</v>
      </c>
      <c r="M101" s="179"/>
      <c r="N101" s="179"/>
    </row>
    <row r="102" spans="1:14" ht="15.75" thickBot="1" x14ac:dyDescent="0.3">
      <c r="A102" s="132"/>
      <c r="B102" s="132"/>
      <c r="C102" s="132"/>
    </row>
    <row r="103" spans="1:14" s="181" customFormat="1" ht="15.75" thickBot="1" x14ac:dyDescent="0.3">
      <c r="A103" s="180"/>
      <c r="B103" s="181" t="s">
        <v>38</v>
      </c>
      <c r="D103" s="182"/>
      <c r="E103" s="182">
        <f>6587637-6541883</f>
        <v>45754</v>
      </c>
      <c r="F103" s="182"/>
      <c r="G103" s="182">
        <f>E103-J103-L103</f>
        <v>10984</v>
      </c>
      <c r="H103" s="182"/>
      <c r="I103" s="182"/>
      <c r="J103" s="182">
        <f>4250+3133</f>
        <v>7383</v>
      </c>
      <c r="K103" s="182"/>
      <c r="L103" s="182">
        <f>6133+21254</f>
        <v>27387</v>
      </c>
      <c r="M103" s="182"/>
      <c r="N103" s="182"/>
    </row>
    <row r="104" spans="1:14" ht="15.75" thickBot="1" x14ac:dyDescent="0.3">
      <c r="A104" s="132"/>
      <c r="B104" s="132"/>
      <c r="C104" s="132"/>
    </row>
    <row r="105" spans="1:14" s="184" customFormat="1" ht="15.75" thickBot="1" x14ac:dyDescent="0.3">
      <c r="A105" s="183"/>
      <c r="B105" s="183" t="s">
        <v>40</v>
      </c>
      <c r="D105" s="185"/>
      <c r="E105" s="185">
        <f>2898891-2891024</f>
        <v>7867</v>
      </c>
      <c r="F105" s="185"/>
      <c r="G105" s="185">
        <f>E105-J105-L105</f>
        <v>2141</v>
      </c>
      <c r="H105" s="185"/>
      <c r="I105" s="185"/>
      <c r="J105" s="185">
        <v>0</v>
      </c>
      <c r="K105" s="185"/>
      <c r="L105" s="185">
        <v>5726</v>
      </c>
      <c r="M105" s="185"/>
      <c r="N105" s="185"/>
    </row>
    <row r="106" spans="1:14" ht="15.75" thickBot="1" x14ac:dyDescent="0.3">
      <c r="A106" s="132"/>
      <c r="B106" s="132"/>
      <c r="C106" s="132"/>
    </row>
    <row r="107" spans="1:14" s="163" customFormat="1" ht="15.75" thickBot="1" x14ac:dyDescent="0.3">
      <c r="A107" s="162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</row>
    <row r="108" spans="1:14" x14ac:dyDescent="0.25">
      <c r="A108" s="132"/>
      <c r="B108" s="132"/>
      <c r="C108" s="132"/>
    </row>
    <row r="109" spans="1:14" x14ac:dyDescent="0.25">
      <c r="A109" s="132"/>
      <c r="B109" s="132"/>
      <c r="C109" s="132"/>
    </row>
    <row r="110" spans="1:14" x14ac:dyDescent="0.25">
      <c r="A110" s="132"/>
      <c r="B110" s="132"/>
      <c r="C110" s="132"/>
    </row>
    <row r="111" spans="1:14" x14ac:dyDescent="0.25">
      <c r="A111" s="132"/>
      <c r="B111" s="132"/>
      <c r="C111" s="132"/>
    </row>
    <row r="112" spans="1:14" x14ac:dyDescent="0.25">
      <c r="A112" s="132"/>
      <c r="B112" s="132"/>
      <c r="C112" s="132"/>
      <c r="D112" s="161" t="s">
        <v>44</v>
      </c>
      <c r="E112" s="161" t="s">
        <v>45</v>
      </c>
      <c r="G112" s="161" t="s">
        <v>46</v>
      </c>
      <c r="J112" s="161" t="s">
        <v>47</v>
      </c>
      <c r="L112" s="161" t="s">
        <v>48</v>
      </c>
    </row>
    <row r="113" spans="1:14" x14ac:dyDescent="0.25">
      <c r="A113" s="24" t="s">
        <v>50</v>
      </c>
      <c r="B113" s="24" t="s">
        <v>42</v>
      </c>
      <c r="C113" s="132"/>
    </row>
    <row r="114" spans="1:14" ht="15.75" thickBot="1" x14ac:dyDescent="0.3">
      <c r="A114" s="24"/>
      <c r="B114" s="24" t="s">
        <v>36</v>
      </c>
      <c r="C114" s="132"/>
    </row>
    <row r="115" spans="1:14" s="178" customFormat="1" ht="15.75" thickBot="1" x14ac:dyDescent="0.3">
      <c r="A115" s="177"/>
      <c r="B115" s="178" t="s">
        <v>37</v>
      </c>
      <c r="D115" s="179"/>
      <c r="E115" s="179">
        <f>4503614-4284821</f>
        <v>218793</v>
      </c>
      <c r="F115" s="179"/>
      <c r="G115" s="179">
        <f>E115-J115-L115</f>
        <v>13547</v>
      </c>
      <c r="H115" s="179"/>
      <c r="I115" s="179"/>
      <c r="J115" s="179">
        <v>177996</v>
      </c>
      <c r="K115" s="179"/>
      <c r="L115" s="179">
        <v>27250</v>
      </c>
      <c r="M115" s="179"/>
      <c r="N115" s="179"/>
    </row>
    <row r="116" spans="1:14" ht="15.75" thickBot="1" x14ac:dyDescent="0.3">
      <c r="A116" s="132"/>
      <c r="B116" s="132"/>
      <c r="C116" s="132"/>
    </row>
    <row r="117" spans="1:14" s="181" customFormat="1" ht="15.75" thickBot="1" x14ac:dyDescent="0.3">
      <c r="A117" s="180"/>
      <c r="B117" s="181" t="s">
        <v>38</v>
      </c>
      <c r="D117" s="182"/>
      <c r="E117" s="182">
        <f>4562723-4317938</f>
        <v>244785</v>
      </c>
      <c r="F117" s="182"/>
      <c r="G117" s="182">
        <f>E117-J117-L117</f>
        <v>24297</v>
      </c>
      <c r="H117" s="182"/>
      <c r="I117" s="182"/>
      <c r="J117" s="182">
        <f>37187+25930</f>
        <v>63117</v>
      </c>
      <c r="K117" s="182"/>
      <c r="L117" s="182">
        <f>27519+129852</f>
        <v>157371</v>
      </c>
      <c r="M117" s="182"/>
      <c r="N117" s="182"/>
    </row>
    <row r="118" spans="1:14" ht="15.75" thickBot="1" x14ac:dyDescent="0.3">
      <c r="A118" s="132"/>
      <c r="B118" s="132"/>
      <c r="C118" s="132"/>
    </row>
    <row r="119" spans="1:14" s="184" customFormat="1" ht="15.75" thickBot="1" x14ac:dyDescent="0.3">
      <c r="A119" s="183"/>
      <c r="B119" s="184" t="s">
        <v>39</v>
      </c>
      <c r="D119" s="185"/>
      <c r="E119" s="184">
        <f>4825469-4754391</f>
        <v>71078</v>
      </c>
      <c r="F119" s="185"/>
      <c r="G119" s="185">
        <f>E119-J119-L119</f>
        <v>6656</v>
      </c>
      <c r="H119" s="185"/>
      <c r="I119" s="185"/>
      <c r="J119" s="185">
        <v>37180</v>
      </c>
      <c r="K119" s="185"/>
      <c r="L119" s="185">
        <v>27242</v>
      </c>
      <c r="M119" s="185"/>
      <c r="N119" s="185"/>
    </row>
    <row r="120" spans="1:14" x14ac:dyDescent="0.25">
      <c r="A120" s="132"/>
      <c r="B120" s="132"/>
      <c r="C120" s="132"/>
    </row>
    <row r="121" spans="1:14" x14ac:dyDescent="0.25">
      <c r="A121" s="24"/>
      <c r="B121" s="24" t="s">
        <v>42</v>
      </c>
      <c r="C121" s="132"/>
    </row>
    <row r="122" spans="1:14" ht="15.75" thickBot="1" x14ac:dyDescent="0.3">
      <c r="A122" s="24"/>
      <c r="B122" s="24" t="s">
        <v>40</v>
      </c>
      <c r="C122" s="132"/>
    </row>
    <row r="123" spans="1:14" s="178" customFormat="1" ht="15.75" thickBot="1" x14ac:dyDescent="0.3">
      <c r="A123" s="177"/>
      <c r="B123" s="178" t="s">
        <v>37</v>
      </c>
      <c r="D123" s="179"/>
      <c r="E123" s="179">
        <f>5059539-4805786</f>
        <v>253753</v>
      </c>
      <c r="F123" s="179"/>
      <c r="G123" s="179">
        <f>E123-J123-L123</f>
        <v>48542</v>
      </c>
      <c r="H123" s="179"/>
      <c r="I123" s="179"/>
      <c r="J123" s="179">
        <v>177977</v>
      </c>
      <c r="K123" s="179"/>
      <c r="L123" s="179">
        <v>27234</v>
      </c>
      <c r="M123" s="179"/>
      <c r="N123" s="179"/>
    </row>
    <row r="124" spans="1:14" ht="15.75" thickBot="1" x14ac:dyDescent="0.3">
      <c r="A124" s="132"/>
      <c r="B124" s="132"/>
      <c r="C124" s="132"/>
    </row>
    <row r="125" spans="1:14" s="181" customFormat="1" ht="15.75" thickBot="1" x14ac:dyDescent="0.3">
      <c r="A125" s="180"/>
      <c r="B125" s="181" t="s">
        <v>38</v>
      </c>
      <c r="D125" s="182"/>
      <c r="E125" s="182">
        <f>3877407-3587860</f>
        <v>289547</v>
      </c>
      <c r="F125" s="182"/>
      <c r="G125" s="182">
        <f>E125-J125-L125</f>
        <v>44825</v>
      </c>
      <c r="H125" s="182"/>
      <c r="I125" s="182"/>
      <c r="J125" s="182">
        <f>37172+25972</f>
        <v>63144</v>
      </c>
      <c r="K125" s="182"/>
      <c r="L125" s="182">
        <f>37809+143769</f>
        <v>181578</v>
      </c>
      <c r="M125" s="182"/>
      <c r="N125" s="182"/>
    </row>
    <row r="126" spans="1:14" ht="15.75" thickBot="1" x14ac:dyDescent="0.3">
      <c r="A126" s="132"/>
      <c r="B126" s="132"/>
      <c r="C126" s="132"/>
    </row>
    <row r="127" spans="1:14" s="184" customFormat="1" ht="15.75" thickBot="1" x14ac:dyDescent="0.3">
      <c r="A127" s="183"/>
      <c r="B127" s="183" t="s">
        <v>40</v>
      </c>
      <c r="D127" s="185"/>
      <c r="E127" s="185">
        <f>15841922-15805309</f>
        <v>36613</v>
      </c>
      <c r="F127" s="185"/>
      <c r="G127" s="185">
        <f>E127-J127-L127</f>
        <v>2621</v>
      </c>
      <c r="H127" s="185"/>
      <c r="I127" s="185"/>
      <c r="J127" s="185">
        <v>0</v>
      </c>
      <c r="K127" s="185"/>
      <c r="L127" s="185">
        <v>33992</v>
      </c>
      <c r="M127" s="185"/>
      <c r="N127" s="185"/>
    </row>
    <row r="128" spans="1:14" ht="15.75" thickBot="1" x14ac:dyDescent="0.3">
      <c r="A128" s="132"/>
      <c r="B128" s="132"/>
      <c r="C128" s="132"/>
    </row>
    <row r="129" spans="1:14" s="163" customFormat="1" ht="15.75" thickBot="1" x14ac:dyDescent="0.3">
      <c r="A129" s="162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</row>
    <row r="130" spans="1:14" x14ac:dyDescent="0.25">
      <c r="A130" s="132"/>
      <c r="B130" s="132"/>
      <c r="C130" s="132"/>
    </row>
    <row r="131" spans="1:14" x14ac:dyDescent="0.25">
      <c r="A131" s="132"/>
      <c r="B131" s="132"/>
      <c r="C131" s="132"/>
    </row>
    <row r="132" spans="1:14" x14ac:dyDescent="0.25">
      <c r="A132" s="132"/>
      <c r="B132" s="132"/>
      <c r="C132" s="132"/>
    </row>
    <row r="133" spans="1:14" x14ac:dyDescent="0.25">
      <c r="A133" s="132"/>
      <c r="B133" s="132"/>
      <c r="C133" s="132"/>
    </row>
    <row r="134" spans="1:14" x14ac:dyDescent="0.25">
      <c r="A134" s="132"/>
      <c r="B134" s="132"/>
      <c r="C134" s="132"/>
      <c r="D134" s="161" t="s">
        <v>44</v>
      </c>
      <c r="E134" s="161" t="s">
        <v>45</v>
      </c>
      <c r="G134" s="161" t="s">
        <v>46</v>
      </c>
      <c r="J134" s="161" t="s">
        <v>47</v>
      </c>
      <c r="L134" s="161" t="s">
        <v>48</v>
      </c>
    </row>
    <row r="135" spans="1:14" x14ac:dyDescent="0.25">
      <c r="A135" s="24" t="s">
        <v>51</v>
      </c>
      <c r="B135" s="24" t="s">
        <v>42</v>
      </c>
      <c r="C135" s="132"/>
    </row>
    <row r="136" spans="1:14" ht="15.75" thickBot="1" x14ac:dyDescent="0.3">
      <c r="A136" s="24"/>
      <c r="B136" s="24" t="s">
        <v>36</v>
      </c>
      <c r="C136" s="132"/>
    </row>
    <row r="137" spans="1:14" s="178" customFormat="1" ht="15.75" thickBot="1" x14ac:dyDescent="0.3">
      <c r="A137" s="177"/>
      <c r="B137" s="178" t="s">
        <v>37</v>
      </c>
      <c r="D137" s="179"/>
      <c r="E137" s="179">
        <f>4944829-4934700</f>
        <v>10129</v>
      </c>
      <c r="F137" s="179"/>
      <c r="G137" s="179">
        <f>E137-J137-L137</f>
        <v>4082</v>
      </c>
      <c r="H137" s="179"/>
      <c r="I137" s="179"/>
      <c r="J137" s="179">
        <v>4562</v>
      </c>
      <c r="K137" s="179"/>
      <c r="L137" s="179">
        <v>1485</v>
      </c>
      <c r="M137" s="179"/>
      <c r="N137" s="179"/>
    </row>
    <row r="138" spans="1:14" ht="15.75" thickBot="1" x14ac:dyDescent="0.3">
      <c r="A138" s="132"/>
      <c r="B138" s="132"/>
      <c r="C138" s="132"/>
    </row>
    <row r="139" spans="1:14" s="181" customFormat="1" ht="15.75" thickBot="1" x14ac:dyDescent="0.3">
      <c r="A139" s="180"/>
      <c r="B139" s="181" t="s">
        <v>38</v>
      </c>
      <c r="D139" s="182"/>
      <c r="E139" s="182">
        <f>4310403-4297254</f>
        <v>13149</v>
      </c>
      <c r="F139" s="182"/>
      <c r="G139" s="182">
        <f>E139-J139-L139</f>
        <v>4982</v>
      </c>
      <c r="H139" s="182"/>
      <c r="I139" s="182"/>
      <c r="J139" s="182">
        <f>1039+761</f>
        <v>1800</v>
      </c>
      <c r="K139" s="182"/>
      <c r="L139" s="182">
        <f>1414+4953</f>
        <v>6367</v>
      </c>
      <c r="M139" s="182"/>
      <c r="N139" s="182"/>
    </row>
    <row r="140" spans="1:14" ht="15.75" thickBot="1" x14ac:dyDescent="0.3">
      <c r="A140" s="132"/>
      <c r="B140" s="132"/>
      <c r="C140" s="132"/>
    </row>
    <row r="141" spans="1:14" s="184" customFormat="1" ht="15.75" thickBot="1" x14ac:dyDescent="0.3">
      <c r="A141" s="183"/>
      <c r="B141" s="184" t="s">
        <v>39</v>
      </c>
      <c r="D141" s="185"/>
      <c r="E141" s="185">
        <f>5277899-5271309</f>
        <v>6590</v>
      </c>
      <c r="F141" s="185"/>
      <c r="G141" s="185">
        <f>E141-J141-L141</f>
        <v>4391</v>
      </c>
      <c r="H141" s="185"/>
      <c r="I141" s="185"/>
      <c r="J141" s="185">
        <v>1035</v>
      </c>
      <c r="K141" s="185"/>
      <c r="L141" s="185">
        <v>1164</v>
      </c>
      <c r="M141" s="185"/>
      <c r="N141" s="185"/>
    </row>
    <row r="142" spans="1:14" x14ac:dyDescent="0.25">
      <c r="A142" s="132"/>
      <c r="B142" s="132"/>
      <c r="C142" s="132"/>
    </row>
    <row r="143" spans="1:14" x14ac:dyDescent="0.25">
      <c r="A143" s="24"/>
      <c r="B143" s="24" t="s">
        <v>42</v>
      </c>
      <c r="C143" s="132"/>
    </row>
    <row r="144" spans="1:14" ht="15.75" thickBot="1" x14ac:dyDescent="0.3">
      <c r="A144" s="24"/>
      <c r="B144" s="24" t="s">
        <v>40</v>
      </c>
      <c r="C144" s="132"/>
    </row>
    <row r="145" spans="1:14" s="178" customFormat="1" ht="15.75" thickBot="1" x14ac:dyDescent="0.3">
      <c r="A145" s="177"/>
      <c r="B145" s="178" t="s">
        <v>37</v>
      </c>
      <c r="D145" s="179"/>
      <c r="E145" s="179">
        <f>4111243-4098051</f>
        <v>13192</v>
      </c>
      <c r="F145" s="179"/>
      <c r="G145" s="179">
        <f>E145-J145-L145</f>
        <v>7469</v>
      </c>
      <c r="H145" s="179"/>
      <c r="I145" s="179"/>
      <c r="J145" s="179">
        <v>4562</v>
      </c>
      <c r="K145" s="179"/>
      <c r="L145" s="179">
        <v>1161</v>
      </c>
      <c r="M145" s="179"/>
      <c r="N145" s="179"/>
    </row>
    <row r="146" spans="1:14" ht="15.75" thickBot="1" x14ac:dyDescent="0.3">
      <c r="A146" s="132"/>
      <c r="B146" s="132"/>
      <c r="C146" s="132"/>
    </row>
    <row r="147" spans="1:14" s="181" customFormat="1" ht="15.75" thickBot="1" x14ac:dyDescent="0.3">
      <c r="A147" s="180"/>
      <c r="B147" s="181" t="s">
        <v>38</v>
      </c>
      <c r="D147" s="182"/>
      <c r="E147" s="182">
        <f>4449672-4430985</f>
        <v>18687</v>
      </c>
      <c r="F147" s="182"/>
      <c r="G147" s="182">
        <f>E147-J147-L147</f>
        <v>9291</v>
      </c>
      <c r="H147" s="182"/>
      <c r="I147" s="182"/>
      <c r="J147" s="182">
        <f>1031+762</f>
        <v>1793</v>
      </c>
      <c r="K147" s="182"/>
      <c r="L147" s="182">
        <f>1528+6075</f>
        <v>7603</v>
      </c>
      <c r="M147" s="182"/>
      <c r="N147" s="182"/>
    </row>
    <row r="148" spans="1:14" ht="15.75" thickBot="1" x14ac:dyDescent="0.3">
      <c r="A148" s="132"/>
      <c r="B148" s="132"/>
      <c r="C148" s="132"/>
    </row>
    <row r="149" spans="1:14" s="184" customFormat="1" ht="15.75" thickBot="1" x14ac:dyDescent="0.3">
      <c r="A149" s="183"/>
      <c r="B149" s="183" t="s">
        <v>40</v>
      </c>
      <c r="D149" s="185"/>
      <c r="E149" s="185">
        <f>18606153-18602715</f>
        <v>3438</v>
      </c>
      <c r="F149" s="185"/>
      <c r="G149" s="185">
        <f>E149-J149-L149</f>
        <v>1985</v>
      </c>
      <c r="H149" s="185"/>
      <c r="I149" s="185"/>
      <c r="J149" s="185">
        <v>0</v>
      </c>
      <c r="K149" s="185"/>
      <c r="L149" s="185">
        <v>1453</v>
      </c>
      <c r="M149" s="185"/>
      <c r="N149" s="185"/>
    </row>
    <row r="150" spans="1:14" ht="15.75" thickBot="1" x14ac:dyDescent="0.3">
      <c r="A150" s="132"/>
      <c r="B150" s="132"/>
      <c r="C150" s="132"/>
    </row>
    <row r="151" spans="1:14" s="163" customFormat="1" ht="15.75" thickBot="1" x14ac:dyDescent="0.3">
      <c r="A151" s="162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</row>
    <row r="156" spans="1:14" x14ac:dyDescent="0.25">
      <c r="A156" s="132"/>
      <c r="B156" s="132"/>
      <c r="C156" s="132"/>
      <c r="D156" s="161" t="s">
        <v>44</v>
      </c>
      <c r="E156" s="161" t="s">
        <v>45</v>
      </c>
      <c r="G156" s="161" t="s">
        <v>46</v>
      </c>
      <c r="J156" s="161" t="s">
        <v>47</v>
      </c>
      <c r="L156" s="161" t="s">
        <v>48</v>
      </c>
    </row>
    <row r="157" spans="1:14" x14ac:dyDescent="0.25">
      <c r="A157" s="24" t="s">
        <v>49</v>
      </c>
      <c r="B157" s="24" t="s">
        <v>43</v>
      </c>
      <c r="C157" s="132"/>
    </row>
    <row r="158" spans="1:14" ht="15.75" thickBot="1" x14ac:dyDescent="0.3">
      <c r="A158" s="24"/>
      <c r="B158" s="24" t="s">
        <v>36</v>
      </c>
      <c r="C158" s="132"/>
    </row>
    <row r="159" spans="1:14" s="178" customFormat="1" ht="15.75" thickBot="1" x14ac:dyDescent="0.3">
      <c r="A159" s="177"/>
      <c r="B159" s="178" t="s">
        <v>37</v>
      </c>
      <c r="D159" s="179"/>
      <c r="E159" s="179">
        <f>4501844-4470754</f>
        <v>31090</v>
      </c>
      <c r="F159" s="179"/>
      <c r="G159" s="179">
        <f>E159-J159-L159</f>
        <v>8688</v>
      </c>
      <c r="H159" s="179"/>
      <c r="I159" s="179"/>
      <c r="J159" s="179">
        <v>18340</v>
      </c>
      <c r="K159" s="179"/>
      <c r="L159" s="179">
        <v>4062</v>
      </c>
      <c r="M159" s="179"/>
      <c r="N159" s="179"/>
    </row>
    <row r="160" spans="1:14" ht="15.75" thickBot="1" x14ac:dyDescent="0.3">
      <c r="A160" s="132"/>
      <c r="B160" s="132"/>
      <c r="C160" s="132"/>
    </row>
    <row r="161" spans="1:14" s="181" customFormat="1" ht="15.75" thickBot="1" x14ac:dyDescent="0.3">
      <c r="A161" s="180"/>
      <c r="B161" s="181" t="s">
        <v>38</v>
      </c>
      <c r="D161" s="182"/>
      <c r="E161" s="182">
        <f>5372875-5339090</f>
        <v>33785</v>
      </c>
      <c r="F161" s="182"/>
      <c r="G161" s="182">
        <f>E161-J161-L161</f>
        <v>8675</v>
      </c>
      <c r="H161" s="182"/>
      <c r="I161" s="182"/>
      <c r="J161" s="182">
        <f>4258+3137</f>
        <v>7395</v>
      </c>
      <c r="K161" s="182"/>
      <c r="L161" s="182">
        <f>4277+13438</f>
        <v>17715</v>
      </c>
      <c r="M161" s="182"/>
      <c r="N161" s="182"/>
    </row>
    <row r="162" spans="1:14" ht="15.75" thickBot="1" x14ac:dyDescent="0.3">
      <c r="A162" s="132"/>
      <c r="B162" s="132"/>
      <c r="C162" s="132"/>
    </row>
    <row r="163" spans="1:14" s="184" customFormat="1" ht="15.75" thickBot="1" x14ac:dyDescent="0.3">
      <c r="A163" s="183"/>
      <c r="B163" s="184" t="s">
        <v>39</v>
      </c>
      <c r="D163" s="185"/>
      <c r="E163" s="184">
        <f>3975383-3959020</f>
        <v>16363</v>
      </c>
      <c r="F163" s="185"/>
      <c r="G163" s="185">
        <f>E163-J163-L163</f>
        <v>8082</v>
      </c>
      <c r="H163" s="185"/>
      <c r="I163" s="185"/>
      <c r="J163" s="185">
        <v>4250</v>
      </c>
      <c r="K163" s="185"/>
      <c r="L163" s="185">
        <v>4031</v>
      </c>
      <c r="M163" s="185"/>
      <c r="N163" s="185"/>
    </row>
    <row r="164" spans="1:14" x14ac:dyDescent="0.25">
      <c r="A164" s="132"/>
      <c r="B164" s="132"/>
      <c r="C164" s="132"/>
    </row>
    <row r="165" spans="1:14" x14ac:dyDescent="0.25">
      <c r="A165" s="24"/>
      <c r="B165" s="24" t="s">
        <v>43</v>
      </c>
      <c r="C165" s="132"/>
    </row>
    <row r="166" spans="1:14" ht="15.75" thickBot="1" x14ac:dyDescent="0.3">
      <c r="A166" s="24"/>
      <c r="B166" s="24" t="s">
        <v>40</v>
      </c>
      <c r="C166" s="132"/>
    </row>
    <row r="167" spans="1:14" s="178" customFormat="1" ht="15.75" thickBot="1" x14ac:dyDescent="0.3">
      <c r="A167" s="177"/>
      <c r="B167" s="178" t="s">
        <v>37</v>
      </c>
      <c r="D167" s="179"/>
      <c r="E167" s="179">
        <f>3675481-3647516</f>
        <v>27965</v>
      </c>
      <c r="F167" s="179"/>
      <c r="G167" s="179">
        <f>E167-J167-L167</f>
        <v>5587</v>
      </c>
      <c r="H167" s="179"/>
      <c r="I167" s="179"/>
      <c r="J167" s="179">
        <v>18339</v>
      </c>
      <c r="K167" s="179"/>
      <c r="L167" s="179">
        <v>4039</v>
      </c>
      <c r="M167" s="179"/>
      <c r="N167" s="179"/>
    </row>
    <row r="168" spans="1:14" ht="15.75" thickBot="1" x14ac:dyDescent="0.3">
      <c r="A168" s="132"/>
      <c r="B168" s="132"/>
      <c r="C168" s="132"/>
    </row>
    <row r="169" spans="1:14" s="181" customFormat="1" ht="15.75" thickBot="1" x14ac:dyDescent="0.3">
      <c r="A169" s="180"/>
      <c r="B169" s="181" t="s">
        <v>38</v>
      </c>
      <c r="D169" s="182"/>
      <c r="E169" s="182">
        <f>6945684-6902250</f>
        <v>43434</v>
      </c>
      <c r="F169" s="182"/>
      <c r="G169" s="182">
        <f>E169-J169-L169</f>
        <v>8106</v>
      </c>
      <c r="H169" s="182"/>
      <c r="I169" s="182"/>
      <c r="J169" s="182">
        <f>4253+3137</f>
        <v>7390</v>
      </c>
      <c r="K169" s="182"/>
      <c r="L169" s="182">
        <f>6239+21699</f>
        <v>27938</v>
      </c>
      <c r="M169" s="182"/>
      <c r="N169" s="182"/>
    </row>
    <row r="170" spans="1:14" ht="15.75" thickBot="1" x14ac:dyDescent="0.3">
      <c r="A170" s="132"/>
      <c r="B170" s="132"/>
      <c r="C170" s="132"/>
    </row>
    <row r="171" spans="1:14" s="184" customFormat="1" ht="15.75" thickBot="1" x14ac:dyDescent="0.3">
      <c r="A171" s="183"/>
      <c r="B171" s="183" t="s">
        <v>40</v>
      </c>
      <c r="D171" s="185"/>
      <c r="E171" s="185">
        <f>5213766-5205825</f>
        <v>7941</v>
      </c>
      <c r="F171" s="185"/>
      <c r="G171" s="185">
        <f>E171-J171-L171</f>
        <v>2144</v>
      </c>
      <c r="H171" s="185"/>
      <c r="I171" s="185"/>
      <c r="J171" s="185">
        <v>0</v>
      </c>
      <c r="K171" s="185"/>
      <c r="L171" s="185">
        <v>5797</v>
      </c>
      <c r="M171" s="185"/>
      <c r="N171" s="185"/>
    </row>
    <row r="172" spans="1:14" ht="15.75" thickBot="1" x14ac:dyDescent="0.3">
      <c r="A172" s="132"/>
      <c r="B172" s="132"/>
      <c r="C172" s="132"/>
    </row>
    <row r="173" spans="1:14" s="163" customFormat="1" ht="15.75" thickBot="1" x14ac:dyDescent="0.3">
      <c r="A173" s="162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</row>
    <row r="174" spans="1:14" x14ac:dyDescent="0.25">
      <c r="A174" s="132"/>
      <c r="B174" s="132"/>
      <c r="C174" s="132"/>
    </row>
    <row r="175" spans="1:14" x14ac:dyDescent="0.25">
      <c r="A175" s="132"/>
      <c r="B175" s="132"/>
      <c r="C175" s="132"/>
    </row>
    <row r="176" spans="1:14" x14ac:dyDescent="0.25">
      <c r="A176" s="132"/>
      <c r="B176" s="132"/>
      <c r="C176" s="132"/>
    </row>
    <row r="177" spans="1:14" x14ac:dyDescent="0.25">
      <c r="A177" s="132"/>
      <c r="B177" s="132"/>
      <c r="C177" s="132"/>
    </row>
    <row r="178" spans="1:14" x14ac:dyDescent="0.25">
      <c r="A178" s="132"/>
      <c r="B178" s="132"/>
      <c r="C178" s="132"/>
      <c r="D178" s="161" t="s">
        <v>44</v>
      </c>
      <c r="E178" s="161" t="s">
        <v>45</v>
      </c>
      <c r="G178" s="161" t="s">
        <v>46</v>
      </c>
      <c r="J178" s="161" t="s">
        <v>47</v>
      </c>
      <c r="L178" s="161" t="s">
        <v>48</v>
      </c>
    </row>
    <row r="179" spans="1:14" x14ac:dyDescent="0.25">
      <c r="A179" s="24" t="s">
        <v>50</v>
      </c>
      <c r="B179" s="24" t="s">
        <v>43</v>
      </c>
      <c r="C179" s="132"/>
    </row>
    <row r="180" spans="1:14" ht="15.75" thickBot="1" x14ac:dyDescent="0.3">
      <c r="A180" s="24"/>
      <c r="B180" s="24" t="s">
        <v>36</v>
      </c>
      <c r="C180" s="132"/>
    </row>
    <row r="181" spans="1:14" s="178" customFormat="1" ht="15.75" thickBot="1" x14ac:dyDescent="0.3">
      <c r="A181" s="177"/>
      <c r="B181" s="178" t="s">
        <v>37</v>
      </c>
      <c r="D181" s="179"/>
      <c r="E181" s="179">
        <f>5102192-4889539</f>
        <v>212653</v>
      </c>
      <c r="F181" s="179"/>
      <c r="G181" s="179">
        <f>E181-J181-L181</f>
        <v>7415</v>
      </c>
      <c r="H181" s="179"/>
      <c r="I181" s="179"/>
      <c r="J181" s="179">
        <v>177984</v>
      </c>
      <c r="K181" s="179"/>
      <c r="L181" s="179">
        <v>27254</v>
      </c>
      <c r="M181" s="179"/>
      <c r="N181" s="179"/>
    </row>
    <row r="182" spans="1:14" ht="15.75" thickBot="1" x14ac:dyDescent="0.3">
      <c r="A182" s="132"/>
      <c r="B182" s="132"/>
      <c r="C182" s="132"/>
    </row>
    <row r="183" spans="1:14" s="181" customFormat="1" ht="15.75" thickBot="1" x14ac:dyDescent="0.3">
      <c r="A183" s="180"/>
      <c r="B183" s="181" t="s">
        <v>38</v>
      </c>
      <c r="D183" s="182"/>
      <c r="E183" s="182">
        <f>4179743-3964676</f>
        <v>215067</v>
      </c>
      <c r="F183" s="182"/>
      <c r="G183" s="182">
        <f>E183-J183-L183</f>
        <v>5743</v>
      </c>
      <c r="H183" s="182"/>
      <c r="I183" s="182"/>
      <c r="J183" s="182">
        <f>37191+25992</f>
        <v>63183</v>
      </c>
      <c r="K183" s="182"/>
      <c r="L183" s="182">
        <f>27496+118645</f>
        <v>146141</v>
      </c>
      <c r="M183" s="182"/>
      <c r="N183" s="182"/>
    </row>
    <row r="184" spans="1:14" ht="15.75" thickBot="1" x14ac:dyDescent="0.3">
      <c r="A184" s="132"/>
      <c r="B184" s="132"/>
      <c r="C184" s="132"/>
    </row>
    <row r="185" spans="1:14" s="184" customFormat="1" ht="15.75" thickBot="1" x14ac:dyDescent="0.3">
      <c r="A185" s="183"/>
      <c r="B185" s="184" t="s">
        <v>39</v>
      </c>
      <c r="D185" s="185"/>
      <c r="E185" s="185">
        <f>4234707-4162997</f>
        <v>71710</v>
      </c>
      <c r="F185" s="185"/>
      <c r="G185" s="185">
        <f>E185-J185-L185</f>
        <v>7284</v>
      </c>
      <c r="H185" s="185"/>
      <c r="I185" s="185"/>
      <c r="J185" s="185">
        <v>37180</v>
      </c>
      <c r="K185" s="185"/>
      <c r="L185" s="185">
        <v>27246</v>
      </c>
      <c r="M185" s="185"/>
      <c r="N185" s="185"/>
    </row>
    <row r="186" spans="1:14" x14ac:dyDescent="0.25">
      <c r="A186" s="132"/>
      <c r="B186" s="132"/>
      <c r="C186" s="132"/>
    </row>
    <row r="187" spans="1:14" x14ac:dyDescent="0.25">
      <c r="A187" s="24"/>
      <c r="B187" s="24" t="s">
        <v>43</v>
      </c>
      <c r="C187" s="132"/>
    </row>
    <row r="188" spans="1:14" ht="15.75" thickBot="1" x14ac:dyDescent="0.3">
      <c r="A188" s="24"/>
      <c r="B188" s="24" t="s">
        <v>40</v>
      </c>
      <c r="C188" s="132"/>
    </row>
    <row r="189" spans="1:14" s="178" customFormat="1" ht="15.75" thickBot="1" x14ac:dyDescent="0.3">
      <c r="A189" s="177"/>
      <c r="B189" s="178" t="s">
        <v>37</v>
      </c>
      <c r="D189" s="179"/>
      <c r="E189" s="179">
        <f>5174223-4946711</f>
        <v>227512</v>
      </c>
      <c r="F189" s="179"/>
      <c r="G189" s="179">
        <f>E189-J189-L189</f>
        <v>22255</v>
      </c>
      <c r="H189" s="179"/>
      <c r="I189" s="179"/>
      <c r="J189" s="179">
        <v>177984</v>
      </c>
      <c r="K189" s="179"/>
      <c r="L189" s="179">
        <v>27273</v>
      </c>
      <c r="M189" s="179"/>
      <c r="N189" s="179"/>
    </row>
    <row r="190" spans="1:14" ht="15.75" thickBot="1" x14ac:dyDescent="0.3">
      <c r="A190" s="132"/>
      <c r="B190" s="132"/>
      <c r="C190" s="132"/>
    </row>
    <row r="191" spans="1:14" s="181" customFormat="1" ht="15.75" thickBot="1" x14ac:dyDescent="0.3">
      <c r="A191" s="180"/>
      <c r="B191" s="181" t="s">
        <v>38</v>
      </c>
      <c r="D191" s="182"/>
      <c r="E191" s="182">
        <f>3183657-2876598</f>
        <v>307059</v>
      </c>
      <c r="F191" s="182"/>
      <c r="G191" s="182">
        <f>E191-J191-L191</f>
        <v>42622</v>
      </c>
      <c r="H191" s="182"/>
      <c r="I191" s="182"/>
      <c r="J191" s="182">
        <f>37184+25988</f>
        <v>63172</v>
      </c>
      <c r="K191" s="182"/>
      <c r="L191" s="182">
        <f>38457+162808</f>
        <v>201265</v>
      </c>
      <c r="M191" s="182"/>
      <c r="N191" s="182"/>
    </row>
    <row r="192" spans="1:14" ht="15.75" thickBot="1" x14ac:dyDescent="0.3">
      <c r="A192" s="132"/>
      <c r="B192" s="132"/>
      <c r="C192" s="132"/>
    </row>
    <row r="193" spans="1:14" s="184" customFormat="1" ht="15.75" thickBot="1" x14ac:dyDescent="0.3">
      <c r="A193" s="183"/>
      <c r="B193" s="183" t="s">
        <v>40</v>
      </c>
      <c r="D193" s="185"/>
      <c r="E193" s="185">
        <f>5223965-5186711</f>
        <v>37254</v>
      </c>
      <c r="F193" s="185"/>
      <c r="G193" s="185">
        <f>E193-J193-L193</f>
        <v>2281</v>
      </c>
      <c r="H193" s="185"/>
      <c r="I193" s="185"/>
      <c r="J193" s="185">
        <v>0</v>
      </c>
      <c r="K193" s="185"/>
      <c r="L193" s="185">
        <v>34973</v>
      </c>
      <c r="M193" s="185"/>
      <c r="N193" s="185"/>
    </row>
    <row r="194" spans="1:14" ht="15.75" thickBot="1" x14ac:dyDescent="0.3">
      <c r="A194" s="132"/>
      <c r="B194" s="132"/>
      <c r="C194" s="132"/>
    </row>
    <row r="195" spans="1:14" s="163" customFormat="1" ht="15.75" thickBot="1" x14ac:dyDescent="0.3">
      <c r="A195" s="162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filterMode="1"/>
  <dimension ref="D1:R65"/>
  <sheetViews>
    <sheetView zoomScale="110" zoomScaleNormal="110" workbookViewId="0">
      <selection activeCell="I68" sqref="I68"/>
    </sheetView>
  </sheetViews>
  <sheetFormatPr defaultRowHeight="15" x14ac:dyDescent="0.25"/>
  <cols>
    <col min="4" max="4" width="8.5703125" customWidth="1"/>
    <col min="5" max="5" width="16.28515625" customWidth="1"/>
    <col min="6" max="6" width="14.85546875" customWidth="1"/>
    <col min="7" max="7" width="19" customWidth="1"/>
    <col min="8" max="8" width="19.140625" customWidth="1"/>
    <col min="9" max="9" width="11.140625" style="132" customWidth="1"/>
    <col min="10" max="10" width="19.140625" style="132" customWidth="1"/>
    <col min="11" max="11" width="17" customWidth="1"/>
    <col min="13" max="13" width="15.42578125" customWidth="1"/>
    <col min="14" max="14" width="14.7109375" customWidth="1"/>
    <col min="15" max="15" width="18.7109375" customWidth="1"/>
    <col min="16" max="16" width="13.42578125" customWidth="1"/>
    <col min="17" max="17" width="14.28515625" customWidth="1"/>
    <col min="18" max="18" width="12.7109375" customWidth="1"/>
  </cols>
  <sheetData>
    <row r="1" spans="4:18" x14ac:dyDescent="0.25">
      <c r="D1" s="172" t="s">
        <v>53</v>
      </c>
      <c r="E1" s="172" t="s">
        <v>54</v>
      </c>
      <c r="F1" s="172" t="s">
        <v>55</v>
      </c>
      <c r="G1" s="172" t="s">
        <v>56</v>
      </c>
      <c r="H1" s="174" t="s">
        <v>120</v>
      </c>
      <c r="I1" s="174" t="s">
        <v>127</v>
      </c>
      <c r="J1" s="174" t="s">
        <v>121</v>
      </c>
      <c r="K1" s="176" t="s">
        <v>57</v>
      </c>
      <c r="M1" t="s">
        <v>114</v>
      </c>
      <c r="N1" t="s">
        <v>115</v>
      </c>
      <c r="O1" t="s">
        <v>116</v>
      </c>
      <c r="P1" s="132" t="s">
        <v>117</v>
      </c>
      <c r="Q1" s="132" t="s">
        <v>118</v>
      </c>
      <c r="R1" s="132" t="s">
        <v>119</v>
      </c>
    </row>
    <row r="2" spans="4:18" hidden="1" x14ac:dyDescent="0.25">
      <c r="D2" s="172">
        <v>2.4</v>
      </c>
      <c r="E2" s="172">
        <v>250</v>
      </c>
      <c r="F2" s="172" t="s">
        <v>58</v>
      </c>
      <c r="G2" s="172" t="s">
        <v>59</v>
      </c>
      <c r="H2" s="174" t="s">
        <v>60</v>
      </c>
      <c r="I2" s="174" t="s">
        <v>128</v>
      </c>
      <c r="J2" s="174" t="s">
        <v>122</v>
      </c>
      <c r="K2" s="155" t="s">
        <v>114</v>
      </c>
      <c r="N2" s="132"/>
      <c r="O2" s="132"/>
      <c r="P2" s="132"/>
      <c r="Q2" s="132"/>
      <c r="R2" s="132"/>
    </row>
    <row r="3" spans="4:18" hidden="1" x14ac:dyDescent="0.25">
      <c r="D3" s="172">
        <v>2.4</v>
      </c>
      <c r="E3" s="172">
        <v>250</v>
      </c>
      <c r="F3" s="172" t="s">
        <v>58</v>
      </c>
      <c r="G3" s="172" t="s">
        <v>61</v>
      </c>
      <c r="H3" s="174" t="s">
        <v>62</v>
      </c>
      <c r="I3" s="174" t="s">
        <v>128</v>
      </c>
      <c r="J3" s="174" t="s">
        <v>122</v>
      </c>
      <c r="K3" s="155" t="s">
        <v>115</v>
      </c>
      <c r="M3" s="173"/>
    </row>
    <row r="4" spans="4:18" hidden="1" x14ac:dyDescent="0.25">
      <c r="D4" s="172">
        <v>2.4</v>
      </c>
      <c r="E4" s="172">
        <v>250</v>
      </c>
      <c r="F4" s="172" t="s">
        <v>58</v>
      </c>
      <c r="G4" s="172" t="s">
        <v>63</v>
      </c>
      <c r="H4" s="174" t="s">
        <v>64</v>
      </c>
      <c r="I4" s="174" t="s">
        <v>128</v>
      </c>
      <c r="J4" s="174" t="s">
        <v>122</v>
      </c>
      <c r="K4" s="155" t="s">
        <v>116</v>
      </c>
      <c r="M4" s="173"/>
    </row>
    <row r="5" spans="4:18" hidden="1" x14ac:dyDescent="0.25">
      <c r="D5" s="172">
        <v>2.4</v>
      </c>
      <c r="E5" s="172">
        <v>250</v>
      </c>
      <c r="F5" s="172" t="s">
        <v>65</v>
      </c>
      <c r="G5" s="172" t="s">
        <v>59</v>
      </c>
      <c r="H5" s="174" t="s">
        <v>60</v>
      </c>
      <c r="I5" s="174" t="s">
        <v>128</v>
      </c>
      <c r="J5" s="174" t="s">
        <v>122</v>
      </c>
      <c r="K5" s="155" t="s">
        <v>117</v>
      </c>
    </row>
    <row r="6" spans="4:18" hidden="1" x14ac:dyDescent="0.25">
      <c r="D6" s="172">
        <v>2.4</v>
      </c>
      <c r="E6" s="172">
        <v>250</v>
      </c>
      <c r="F6" s="172" t="s">
        <v>65</v>
      </c>
      <c r="G6" s="172" t="s">
        <v>61</v>
      </c>
      <c r="H6" s="174" t="s">
        <v>62</v>
      </c>
      <c r="I6" s="174" t="s">
        <v>128</v>
      </c>
      <c r="J6" s="174" t="s">
        <v>122</v>
      </c>
      <c r="K6" s="155" t="s">
        <v>118</v>
      </c>
    </row>
    <row r="7" spans="4:18" hidden="1" x14ac:dyDescent="0.25">
      <c r="D7" s="172">
        <v>2.4</v>
      </c>
      <c r="E7" s="172">
        <v>250</v>
      </c>
      <c r="F7" s="172" t="s">
        <v>65</v>
      </c>
      <c r="G7" s="172" t="s">
        <v>63</v>
      </c>
      <c r="H7" s="174" t="s">
        <v>64</v>
      </c>
      <c r="I7" s="174" t="s">
        <v>128</v>
      </c>
      <c r="J7" s="174" t="s">
        <v>122</v>
      </c>
      <c r="K7" s="155" t="s">
        <v>119</v>
      </c>
    </row>
    <row r="8" spans="4:18" hidden="1" x14ac:dyDescent="0.25">
      <c r="D8" s="172"/>
      <c r="E8" s="172"/>
      <c r="F8" s="172"/>
      <c r="G8" s="172"/>
      <c r="H8" s="174"/>
      <c r="I8" s="174"/>
      <c r="J8" s="174"/>
      <c r="K8" s="155"/>
    </row>
    <row r="9" spans="4:18" hidden="1" x14ac:dyDescent="0.25">
      <c r="D9" s="172">
        <v>915</v>
      </c>
      <c r="E9" s="172">
        <v>50</v>
      </c>
      <c r="F9" s="172" t="s">
        <v>58</v>
      </c>
      <c r="G9" s="172" t="s">
        <v>59</v>
      </c>
      <c r="H9" s="174" t="s">
        <v>66</v>
      </c>
      <c r="I9" s="174" t="s">
        <v>128</v>
      </c>
      <c r="J9" s="174" t="s">
        <v>123</v>
      </c>
      <c r="K9" s="155" t="s">
        <v>114</v>
      </c>
    </row>
    <row r="10" spans="4:18" hidden="1" x14ac:dyDescent="0.25">
      <c r="D10" s="172">
        <v>915</v>
      </c>
      <c r="E10" s="172">
        <v>50</v>
      </c>
      <c r="F10" s="172" t="s">
        <v>58</v>
      </c>
      <c r="G10" s="172" t="s">
        <v>61</v>
      </c>
      <c r="H10" s="174" t="s">
        <v>67</v>
      </c>
      <c r="I10" s="174" t="s">
        <v>128</v>
      </c>
      <c r="J10" s="174" t="s">
        <v>123</v>
      </c>
      <c r="K10" s="155" t="s">
        <v>115</v>
      </c>
    </row>
    <row r="11" spans="4:18" hidden="1" x14ac:dyDescent="0.25">
      <c r="D11" s="172">
        <v>915</v>
      </c>
      <c r="E11" s="172">
        <v>50</v>
      </c>
      <c r="F11" s="172" t="s">
        <v>58</v>
      </c>
      <c r="G11" s="172" t="s">
        <v>63</v>
      </c>
      <c r="H11" s="174" t="s">
        <v>68</v>
      </c>
      <c r="I11" s="174" t="s">
        <v>128</v>
      </c>
      <c r="J11" s="174" t="s">
        <v>123</v>
      </c>
      <c r="K11" s="155" t="s">
        <v>116</v>
      </c>
    </row>
    <row r="12" spans="4:18" x14ac:dyDescent="0.25">
      <c r="D12" s="172">
        <v>915</v>
      </c>
      <c r="E12" s="172">
        <v>50</v>
      </c>
      <c r="F12" s="172" t="s">
        <v>65</v>
      </c>
      <c r="G12" s="172" t="s">
        <v>59</v>
      </c>
      <c r="H12" s="174" t="s">
        <v>69</v>
      </c>
      <c r="I12" s="174" t="s">
        <v>128</v>
      </c>
      <c r="J12" s="174" t="s">
        <v>123</v>
      </c>
      <c r="K12" s="155" t="s">
        <v>117</v>
      </c>
    </row>
    <row r="13" spans="4:18" hidden="1" x14ac:dyDescent="0.25">
      <c r="D13" s="172">
        <v>915</v>
      </c>
      <c r="E13" s="172">
        <v>50</v>
      </c>
      <c r="F13" s="172" t="s">
        <v>65</v>
      </c>
      <c r="G13" s="172" t="s">
        <v>61</v>
      </c>
      <c r="H13" s="174" t="s">
        <v>70</v>
      </c>
      <c r="I13" s="174" t="s">
        <v>128</v>
      </c>
      <c r="J13" s="174" t="s">
        <v>123</v>
      </c>
      <c r="K13" s="155" t="s">
        <v>118</v>
      </c>
    </row>
    <row r="14" spans="4:18" hidden="1" x14ac:dyDescent="0.25">
      <c r="D14" s="172">
        <v>915</v>
      </c>
      <c r="E14" s="172">
        <v>50</v>
      </c>
      <c r="F14" s="172" t="s">
        <v>65</v>
      </c>
      <c r="G14" s="172" t="s">
        <v>63</v>
      </c>
      <c r="H14" s="174" t="s">
        <v>71</v>
      </c>
      <c r="I14" s="174" t="s">
        <v>128</v>
      </c>
      <c r="J14" s="174" t="s">
        <v>123</v>
      </c>
      <c r="K14" s="155" t="s">
        <v>119</v>
      </c>
    </row>
    <row r="15" spans="4:18" hidden="1" x14ac:dyDescent="0.25">
      <c r="D15" s="1"/>
      <c r="E15" s="1"/>
      <c r="F15" s="1"/>
      <c r="G15" s="1"/>
      <c r="H15" s="175"/>
      <c r="I15" s="175"/>
      <c r="J15" s="175"/>
      <c r="K15" s="155"/>
    </row>
    <row r="16" spans="4:18" hidden="1" x14ac:dyDescent="0.25">
      <c r="D16" s="172">
        <v>915</v>
      </c>
      <c r="E16" s="172">
        <v>5</v>
      </c>
      <c r="F16" s="172" t="s">
        <v>58</v>
      </c>
      <c r="G16" s="172" t="s">
        <v>59</v>
      </c>
      <c r="H16" s="174" t="s">
        <v>77</v>
      </c>
      <c r="I16" s="174" t="s">
        <v>128</v>
      </c>
      <c r="J16" s="174" t="s">
        <v>124</v>
      </c>
      <c r="K16" s="155" t="s">
        <v>114</v>
      </c>
    </row>
    <row r="17" spans="4:11" hidden="1" x14ac:dyDescent="0.25">
      <c r="D17" s="172">
        <v>915</v>
      </c>
      <c r="E17" s="172">
        <v>5</v>
      </c>
      <c r="F17" s="172" t="s">
        <v>58</v>
      </c>
      <c r="G17" s="172" t="s">
        <v>61</v>
      </c>
      <c r="H17" s="174" t="s">
        <v>76</v>
      </c>
      <c r="I17" s="174" t="s">
        <v>128</v>
      </c>
      <c r="J17" s="174" t="s">
        <v>124</v>
      </c>
      <c r="K17" s="155" t="s">
        <v>115</v>
      </c>
    </row>
    <row r="18" spans="4:11" hidden="1" x14ac:dyDescent="0.25">
      <c r="D18" s="172">
        <v>915</v>
      </c>
      <c r="E18" s="172">
        <v>5</v>
      </c>
      <c r="F18" s="172" t="s">
        <v>58</v>
      </c>
      <c r="G18" s="172" t="s">
        <v>63</v>
      </c>
      <c r="H18" s="174" t="s">
        <v>75</v>
      </c>
      <c r="I18" s="174" t="s">
        <v>128</v>
      </c>
      <c r="J18" s="174" t="s">
        <v>124</v>
      </c>
      <c r="K18" s="155" t="s">
        <v>116</v>
      </c>
    </row>
    <row r="19" spans="4:11" hidden="1" x14ac:dyDescent="0.25">
      <c r="D19" s="172">
        <v>915</v>
      </c>
      <c r="E19" s="172">
        <v>5</v>
      </c>
      <c r="F19" s="172" t="s">
        <v>65</v>
      </c>
      <c r="G19" s="172" t="s">
        <v>59</v>
      </c>
      <c r="H19" s="174" t="s">
        <v>74</v>
      </c>
      <c r="I19" s="174" t="s">
        <v>128</v>
      </c>
      <c r="J19" s="174" t="s">
        <v>124</v>
      </c>
      <c r="K19" s="155" t="s">
        <v>117</v>
      </c>
    </row>
    <row r="20" spans="4:11" hidden="1" x14ac:dyDescent="0.25">
      <c r="D20" s="172">
        <v>915</v>
      </c>
      <c r="E20" s="172">
        <v>5</v>
      </c>
      <c r="F20" s="172" t="s">
        <v>65</v>
      </c>
      <c r="G20" s="172" t="s">
        <v>61</v>
      </c>
      <c r="H20" s="174" t="s">
        <v>73</v>
      </c>
      <c r="I20" s="174" t="s">
        <v>128</v>
      </c>
      <c r="J20" s="174" t="s">
        <v>124</v>
      </c>
      <c r="K20" s="155" t="s">
        <v>118</v>
      </c>
    </row>
    <row r="21" spans="4:11" hidden="1" x14ac:dyDescent="0.25">
      <c r="D21" s="172">
        <v>915</v>
      </c>
      <c r="E21" s="172">
        <v>5</v>
      </c>
      <c r="F21" s="172" t="s">
        <v>65</v>
      </c>
      <c r="G21" s="172" t="s">
        <v>63</v>
      </c>
      <c r="H21" s="174" t="s">
        <v>72</v>
      </c>
      <c r="I21" s="174" t="s">
        <v>128</v>
      </c>
      <c r="J21" s="174" t="s">
        <v>124</v>
      </c>
      <c r="K21" s="155" t="s">
        <v>119</v>
      </c>
    </row>
    <row r="22" spans="4:11" hidden="1" x14ac:dyDescent="0.25">
      <c r="D22" s="1"/>
      <c r="E22" s="1"/>
      <c r="F22" s="1"/>
      <c r="G22" s="1"/>
      <c r="H22" s="175"/>
      <c r="I22" s="175"/>
      <c r="J22" s="175"/>
      <c r="K22" s="155"/>
    </row>
    <row r="23" spans="4:11" hidden="1" x14ac:dyDescent="0.25">
      <c r="D23" s="172">
        <v>915</v>
      </c>
      <c r="E23" s="172">
        <v>200</v>
      </c>
      <c r="F23" s="172" t="s">
        <v>58</v>
      </c>
      <c r="G23" s="172" t="s">
        <v>59</v>
      </c>
      <c r="H23" s="174" t="s">
        <v>78</v>
      </c>
      <c r="I23" s="174" t="s">
        <v>128</v>
      </c>
      <c r="J23" s="174" t="s">
        <v>125</v>
      </c>
      <c r="K23" s="155" t="s">
        <v>114</v>
      </c>
    </row>
    <row r="24" spans="4:11" hidden="1" x14ac:dyDescent="0.25">
      <c r="D24" s="172">
        <v>915</v>
      </c>
      <c r="E24" s="172">
        <v>200</v>
      </c>
      <c r="F24" s="172" t="s">
        <v>58</v>
      </c>
      <c r="G24" s="172" t="s">
        <v>61</v>
      </c>
      <c r="H24" s="174" t="s">
        <v>79</v>
      </c>
      <c r="I24" s="174" t="s">
        <v>128</v>
      </c>
      <c r="J24" s="174" t="s">
        <v>125</v>
      </c>
      <c r="K24" s="155" t="s">
        <v>115</v>
      </c>
    </row>
    <row r="25" spans="4:11" hidden="1" x14ac:dyDescent="0.25">
      <c r="D25" s="172">
        <v>915</v>
      </c>
      <c r="E25" s="172">
        <v>200</v>
      </c>
      <c r="F25" s="172" t="s">
        <v>58</v>
      </c>
      <c r="G25" s="172" t="s">
        <v>63</v>
      </c>
      <c r="H25" s="174" t="s">
        <v>80</v>
      </c>
      <c r="I25" s="174" t="s">
        <v>128</v>
      </c>
      <c r="J25" s="174" t="s">
        <v>125</v>
      </c>
      <c r="K25" s="155" t="s">
        <v>116</v>
      </c>
    </row>
    <row r="26" spans="4:11" hidden="1" x14ac:dyDescent="0.25">
      <c r="D26" s="172">
        <v>915</v>
      </c>
      <c r="E26" s="172">
        <v>200</v>
      </c>
      <c r="F26" s="172" t="s">
        <v>65</v>
      </c>
      <c r="G26" s="172" t="s">
        <v>59</v>
      </c>
      <c r="H26" s="174" t="s">
        <v>81</v>
      </c>
      <c r="I26" s="174" t="s">
        <v>128</v>
      </c>
      <c r="J26" s="174" t="s">
        <v>125</v>
      </c>
      <c r="K26" s="155" t="s">
        <v>117</v>
      </c>
    </row>
    <row r="27" spans="4:11" hidden="1" x14ac:dyDescent="0.25">
      <c r="D27" s="172">
        <v>915</v>
      </c>
      <c r="E27" s="172">
        <v>200</v>
      </c>
      <c r="F27" s="172" t="s">
        <v>65</v>
      </c>
      <c r="G27" s="172" t="s">
        <v>61</v>
      </c>
      <c r="H27" s="174" t="s">
        <v>82</v>
      </c>
      <c r="I27" s="174" t="s">
        <v>128</v>
      </c>
      <c r="J27" s="174" t="s">
        <v>125</v>
      </c>
      <c r="K27" s="155" t="s">
        <v>118</v>
      </c>
    </row>
    <row r="28" spans="4:11" hidden="1" x14ac:dyDescent="0.25">
      <c r="D28" s="172">
        <v>915</v>
      </c>
      <c r="E28" s="172">
        <v>200</v>
      </c>
      <c r="F28" s="172" t="s">
        <v>65</v>
      </c>
      <c r="G28" s="172" t="s">
        <v>63</v>
      </c>
      <c r="H28" s="174" t="s">
        <v>83</v>
      </c>
      <c r="I28" s="174" t="s">
        <v>128</v>
      </c>
      <c r="J28" s="174" t="s">
        <v>125</v>
      </c>
      <c r="K28" s="155" t="s">
        <v>119</v>
      </c>
    </row>
    <row r="29" spans="4:11" hidden="1" x14ac:dyDescent="0.25">
      <c r="D29" s="1"/>
      <c r="E29" s="1"/>
      <c r="F29" s="1"/>
      <c r="G29" s="1"/>
      <c r="H29" s="175"/>
      <c r="I29" s="175"/>
      <c r="J29" s="175"/>
      <c r="K29" s="155"/>
    </row>
    <row r="30" spans="4:11" hidden="1" x14ac:dyDescent="0.25">
      <c r="D30" s="172">
        <v>868</v>
      </c>
      <c r="E30" s="172">
        <v>50</v>
      </c>
      <c r="F30" s="172" t="s">
        <v>58</v>
      </c>
      <c r="G30" s="172" t="s">
        <v>59</v>
      </c>
      <c r="H30" s="174" t="s">
        <v>84</v>
      </c>
      <c r="I30" s="174" t="s">
        <v>129</v>
      </c>
      <c r="J30" s="174" t="s">
        <v>123</v>
      </c>
      <c r="K30" s="155" t="s">
        <v>114</v>
      </c>
    </row>
    <row r="31" spans="4:11" hidden="1" x14ac:dyDescent="0.25">
      <c r="D31" s="172">
        <v>868</v>
      </c>
      <c r="E31" s="172">
        <v>50</v>
      </c>
      <c r="F31" s="172" t="s">
        <v>58</v>
      </c>
      <c r="G31" s="172" t="s">
        <v>61</v>
      </c>
      <c r="H31" s="174" t="s">
        <v>85</v>
      </c>
      <c r="I31" s="174" t="s">
        <v>129</v>
      </c>
      <c r="J31" s="174" t="s">
        <v>123</v>
      </c>
      <c r="K31" s="155" t="s">
        <v>115</v>
      </c>
    </row>
    <row r="32" spans="4:11" hidden="1" x14ac:dyDescent="0.25">
      <c r="D32" s="172">
        <v>868</v>
      </c>
      <c r="E32" s="172">
        <v>50</v>
      </c>
      <c r="F32" s="172" t="s">
        <v>58</v>
      </c>
      <c r="G32" s="172" t="s">
        <v>63</v>
      </c>
      <c r="H32" s="174" t="s">
        <v>86</v>
      </c>
      <c r="I32" s="174" t="s">
        <v>129</v>
      </c>
      <c r="J32" s="174" t="s">
        <v>123</v>
      </c>
      <c r="K32" s="155" t="s">
        <v>116</v>
      </c>
    </row>
    <row r="33" spans="4:11" x14ac:dyDescent="0.25">
      <c r="D33" s="172">
        <v>868</v>
      </c>
      <c r="E33" s="172">
        <v>50</v>
      </c>
      <c r="F33" s="172" t="s">
        <v>65</v>
      </c>
      <c r="G33" s="172" t="s">
        <v>59</v>
      </c>
      <c r="H33" s="174" t="s">
        <v>87</v>
      </c>
      <c r="I33" s="174" t="s">
        <v>129</v>
      </c>
      <c r="J33" s="174" t="s">
        <v>123</v>
      </c>
      <c r="K33" s="155" t="s">
        <v>117</v>
      </c>
    </row>
    <row r="34" spans="4:11" hidden="1" x14ac:dyDescent="0.25">
      <c r="D34" s="172">
        <v>868</v>
      </c>
      <c r="E34" s="172">
        <v>50</v>
      </c>
      <c r="F34" s="172" t="s">
        <v>65</v>
      </c>
      <c r="G34" s="172" t="s">
        <v>61</v>
      </c>
      <c r="H34" s="174" t="s">
        <v>88</v>
      </c>
      <c r="I34" s="174" t="s">
        <v>129</v>
      </c>
      <c r="J34" s="174" t="s">
        <v>123</v>
      </c>
      <c r="K34" s="155" t="s">
        <v>118</v>
      </c>
    </row>
    <row r="35" spans="4:11" hidden="1" x14ac:dyDescent="0.25">
      <c r="D35" s="172">
        <v>868</v>
      </c>
      <c r="E35" s="172">
        <v>50</v>
      </c>
      <c r="F35" s="172" t="s">
        <v>65</v>
      </c>
      <c r="G35" s="172" t="s">
        <v>63</v>
      </c>
      <c r="H35" s="174" t="s">
        <v>89</v>
      </c>
      <c r="I35" s="174" t="s">
        <v>129</v>
      </c>
      <c r="J35" s="174" t="s">
        <v>123</v>
      </c>
      <c r="K35" s="155" t="s">
        <v>119</v>
      </c>
    </row>
    <row r="36" spans="4:11" hidden="1" x14ac:dyDescent="0.25">
      <c r="D36" s="1"/>
      <c r="E36" s="1"/>
      <c r="F36" s="1"/>
      <c r="G36" s="1"/>
      <c r="H36" s="175"/>
      <c r="I36" s="175"/>
      <c r="J36" s="175"/>
      <c r="K36" s="155"/>
    </row>
    <row r="37" spans="4:11" hidden="1" x14ac:dyDescent="0.25">
      <c r="D37" s="172">
        <v>868</v>
      </c>
      <c r="E37" s="172">
        <v>5</v>
      </c>
      <c r="F37" s="172" t="s">
        <v>58</v>
      </c>
      <c r="G37" s="172" t="s">
        <v>59</v>
      </c>
      <c r="H37" s="174" t="s">
        <v>90</v>
      </c>
      <c r="I37" s="174" t="s">
        <v>129</v>
      </c>
      <c r="J37" s="174" t="s">
        <v>124</v>
      </c>
      <c r="K37" s="155" t="s">
        <v>114</v>
      </c>
    </row>
    <row r="38" spans="4:11" hidden="1" x14ac:dyDescent="0.25">
      <c r="D38" s="172">
        <v>868</v>
      </c>
      <c r="E38" s="172">
        <v>5</v>
      </c>
      <c r="F38" s="172" t="s">
        <v>58</v>
      </c>
      <c r="G38" s="172" t="s">
        <v>61</v>
      </c>
      <c r="H38" s="174" t="s">
        <v>91</v>
      </c>
      <c r="I38" s="174" t="s">
        <v>129</v>
      </c>
      <c r="J38" s="174" t="s">
        <v>124</v>
      </c>
      <c r="K38" s="155" t="s">
        <v>115</v>
      </c>
    </row>
    <row r="39" spans="4:11" hidden="1" x14ac:dyDescent="0.25">
      <c r="D39" s="172">
        <v>868</v>
      </c>
      <c r="E39" s="172">
        <v>5</v>
      </c>
      <c r="F39" s="172" t="s">
        <v>58</v>
      </c>
      <c r="G39" s="172" t="s">
        <v>63</v>
      </c>
      <c r="H39" s="174" t="s">
        <v>92</v>
      </c>
      <c r="I39" s="174" t="s">
        <v>129</v>
      </c>
      <c r="J39" s="174" t="s">
        <v>124</v>
      </c>
      <c r="K39" s="155" t="s">
        <v>116</v>
      </c>
    </row>
    <row r="40" spans="4:11" hidden="1" x14ac:dyDescent="0.25">
      <c r="D40" s="172">
        <v>868</v>
      </c>
      <c r="E40" s="172">
        <v>5</v>
      </c>
      <c r="F40" s="172" t="s">
        <v>65</v>
      </c>
      <c r="G40" s="172" t="s">
        <v>59</v>
      </c>
      <c r="H40" s="174" t="s">
        <v>93</v>
      </c>
      <c r="I40" s="174" t="s">
        <v>129</v>
      </c>
      <c r="J40" s="174" t="s">
        <v>124</v>
      </c>
      <c r="K40" s="155" t="s">
        <v>117</v>
      </c>
    </row>
    <row r="41" spans="4:11" hidden="1" x14ac:dyDescent="0.25">
      <c r="D41" s="172">
        <v>868</v>
      </c>
      <c r="E41" s="172">
        <v>5</v>
      </c>
      <c r="F41" s="172" t="s">
        <v>65</v>
      </c>
      <c r="G41" s="172" t="s">
        <v>61</v>
      </c>
      <c r="H41" s="174" t="s">
        <v>94</v>
      </c>
      <c r="I41" s="174" t="s">
        <v>129</v>
      </c>
      <c r="J41" s="174" t="s">
        <v>124</v>
      </c>
      <c r="K41" s="155" t="s">
        <v>118</v>
      </c>
    </row>
    <row r="42" spans="4:11" hidden="1" x14ac:dyDescent="0.25">
      <c r="D42" s="172">
        <v>868</v>
      </c>
      <c r="E42" s="172">
        <v>5</v>
      </c>
      <c r="F42" s="172" t="s">
        <v>65</v>
      </c>
      <c r="G42" s="172" t="s">
        <v>63</v>
      </c>
      <c r="H42" s="174" t="s">
        <v>95</v>
      </c>
      <c r="I42" s="174" t="s">
        <v>129</v>
      </c>
      <c r="J42" s="174" t="s">
        <v>124</v>
      </c>
      <c r="K42" s="155" t="s">
        <v>119</v>
      </c>
    </row>
    <row r="43" spans="4:11" hidden="1" x14ac:dyDescent="0.25">
      <c r="D43" s="1"/>
      <c r="E43" s="1"/>
      <c r="F43" s="1"/>
      <c r="G43" s="1"/>
      <c r="H43" s="175"/>
      <c r="I43" s="175"/>
      <c r="J43" s="175"/>
      <c r="K43" s="155"/>
    </row>
    <row r="44" spans="4:11" hidden="1" x14ac:dyDescent="0.25">
      <c r="D44" s="172">
        <v>868</v>
      </c>
      <c r="E44" s="172">
        <v>200</v>
      </c>
      <c r="F44" s="172" t="s">
        <v>58</v>
      </c>
      <c r="G44" s="172" t="s">
        <v>59</v>
      </c>
      <c r="H44" s="174" t="s">
        <v>96</v>
      </c>
      <c r="I44" s="174" t="s">
        <v>129</v>
      </c>
      <c r="J44" s="174" t="s">
        <v>125</v>
      </c>
      <c r="K44" s="155" t="s">
        <v>114</v>
      </c>
    </row>
    <row r="45" spans="4:11" hidden="1" x14ac:dyDescent="0.25">
      <c r="D45" s="172">
        <v>868</v>
      </c>
      <c r="E45" s="172">
        <v>200</v>
      </c>
      <c r="F45" s="172" t="s">
        <v>58</v>
      </c>
      <c r="G45" s="172" t="s">
        <v>61</v>
      </c>
      <c r="H45" s="174" t="s">
        <v>97</v>
      </c>
      <c r="I45" s="174" t="s">
        <v>129</v>
      </c>
      <c r="J45" s="174" t="s">
        <v>125</v>
      </c>
      <c r="K45" s="155" t="s">
        <v>115</v>
      </c>
    </row>
    <row r="46" spans="4:11" hidden="1" x14ac:dyDescent="0.25">
      <c r="D46" s="172">
        <v>868</v>
      </c>
      <c r="E46" s="172">
        <v>200</v>
      </c>
      <c r="F46" s="172" t="s">
        <v>58</v>
      </c>
      <c r="G46" s="172" t="s">
        <v>63</v>
      </c>
      <c r="H46" s="174" t="s">
        <v>98</v>
      </c>
      <c r="I46" s="174" t="s">
        <v>129</v>
      </c>
      <c r="J46" s="174" t="s">
        <v>125</v>
      </c>
      <c r="K46" s="155" t="s">
        <v>116</v>
      </c>
    </row>
    <row r="47" spans="4:11" hidden="1" x14ac:dyDescent="0.25">
      <c r="D47" s="172">
        <v>868</v>
      </c>
      <c r="E47" s="172">
        <v>200</v>
      </c>
      <c r="F47" s="172" t="s">
        <v>65</v>
      </c>
      <c r="G47" s="172" t="s">
        <v>59</v>
      </c>
      <c r="H47" s="174" t="s">
        <v>99</v>
      </c>
      <c r="I47" s="174" t="s">
        <v>129</v>
      </c>
      <c r="J47" s="174" t="s">
        <v>125</v>
      </c>
      <c r="K47" s="155" t="s">
        <v>117</v>
      </c>
    </row>
    <row r="48" spans="4:11" hidden="1" x14ac:dyDescent="0.25">
      <c r="D48" s="172">
        <v>868</v>
      </c>
      <c r="E48" s="172">
        <v>200</v>
      </c>
      <c r="F48" s="172" t="s">
        <v>65</v>
      </c>
      <c r="G48" s="172" t="s">
        <v>61</v>
      </c>
      <c r="H48" s="174" t="s">
        <v>100</v>
      </c>
      <c r="I48" s="174" t="s">
        <v>129</v>
      </c>
      <c r="J48" s="174" t="s">
        <v>125</v>
      </c>
      <c r="K48" s="155" t="s">
        <v>118</v>
      </c>
    </row>
    <row r="49" spans="4:11" hidden="1" x14ac:dyDescent="0.25">
      <c r="D49" s="172">
        <v>868</v>
      </c>
      <c r="E49" s="172">
        <v>200</v>
      </c>
      <c r="F49" s="172" t="s">
        <v>65</v>
      </c>
      <c r="G49" s="172" t="s">
        <v>63</v>
      </c>
      <c r="H49" s="174" t="s">
        <v>101</v>
      </c>
      <c r="I49" s="174" t="s">
        <v>129</v>
      </c>
      <c r="J49" s="174" t="s">
        <v>125</v>
      </c>
      <c r="K49" s="155" t="s">
        <v>119</v>
      </c>
    </row>
    <row r="50" spans="4:11" hidden="1" x14ac:dyDescent="0.25">
      <c r="D50" s="1"/>
      <c r="E50" s="1"/>
      <c r="F50" s="1"/>
      <c r="G50" s="1"/>
      <c r="H50" s="175"/>
      <c r="I50" s="175"/>
      <c r="J50" s="175"/>
      <c r="K50" s="155"/>
    </row>
    <row r="51" spans="4:11" hidden="1" x14ac:dyDescent="0.25">
      <c r="D51" s="172">
        <v>433</v>
      </c>
      <c r="E51" s="172">
        <v>50</v>
      </c>
      <c r="F51" s="172" t="s">
        <v>58</v>
      </c>
      <c r="G51" s="172" t="s">
        <v>59</v>
      </c>
      <c r="H51" s="174" t="s">
        <v>102</v>
      </c>
      <c r="I51" s="174" t="s">
        <v>128</v>
      </c>
      <c r="J51" s="174" t="s">
        <v>126</v>
      </c>
      <c r="K51" s="155" t="s">
        <v>114</v>
      </c>
    </row>
    <row r="52" spans="4:11" hidden="1" x14ac:dyDescent="0.25">
      <c r="D52" s="172">
        <v>433</v>
      </c>
      <c r="E52" s="172">
        <v>50</v>
      </c>
      <c r="F52" s="172" t="s">
        <v>58</v>
      </c>
      <c r="G52" s="172" t="s">
        <v>61</v>
      </c>
      <c r="H52" s="174" t="s">
        <v>103</v>
      </c>
      <c r="I52" s="174" t="s">
        <v>128</v>
      </c>
      <c r="J52" s="174" t="s">
        <v>126</v>
      </c>
      <c r="K52" s="155" t="s">
        <v>115</v>
      </c>
    </row>
    <row r="53" spans="4:11" hidden="1" x14ac:dyDescent="0.25">
      <c r="D53" s="172">
        <v>433</v>
      </c>
      <c r="E53" s="172">
        <v>50</v>
      </c>
      <c r="F53" s="172" t="s">
        <v>58</v>
      </c>
      <c r="G53" s="172" t="s">
        <v>63</v>
      </c>
      <c r="H53" s="174" t="s">
        <v>104</v>
      </c>
      <c r="I53" s="174" t="s">
        <v>128</v>
      </c>
      <c r="J53" s="174" t="s">
        <v>126</v>
      </c>
      <c r="K53" s="155" t="s">
        <v>116</v>
      </c>
    </row>
    <row r="54" spans="4:11" hidden="1" x14ac:dyDescent="0.25">
      <c r="D54" s="172">
        <v>433</v>
      </c>
      <c r="E54" s="172">
        <v>50</v>
      </c>
      <c r="F54" s="172" t="s">
        <v>65</v>
      </c>
      <c r="G54" s="172" t="s">
        <v>59</v>
      </c>
      <c r="H54" s="174" t="s">
        <v>105</v>
      </c>
      <c r="I54" s="174" t="s">
        <v>128</v>
      </c>
      <c r="J54" s="174" t="s">
        <v>126</v>
      </c>
      <c r="K54" s="155" t="s">
        <v>117</v>
      </c>
    </row>
    <row r="55" spans="4:11" hidden="1" x14ac:dyDescent="0.25">
      <c r="D55" s="172">
        <v>433</v>
      </c>
      <c r="E55" s="172">
        <v>50</v>
      </c>
      <c r="F55" s="172" t="s">
        <v>65</v>
      </c>
      <c r="G55" s="172" t="s">
        <v>61</v>
      </c>
      <c r="H55" s="174" t="s">
        <v>106</v>
      </c>
      <c r="I55" s="174" t="s">
        <v>128</v>
      </c>
      <c r="J55" s="174" t="s">
        <v>126</v>
      </c>
      <c r="K55" s="155" t="s">
        <v>118</v>
      </c>
    </row>
    <row r="56" spans="4:11" hidden="1" x14ac:dyDescent="0.25">
      <c r="D56" s="172">
        <v>433</v>
      </c>
      <c r="E56" s="172">
        <v>50</v>
      </c>
      <c r="F56" s="172" t="s">
        <v>65</v>
      </c>
      <c r="G56" s="172" t="s">
        <v>63</v>
      </c>
      <c r="H56" s="174" t="s">
        <v>107</v>
      </c>
      <c r="I56" s="174" t="s">
        <v>128</v>
      </c>
      <c r="J56" s="174" t="s">
        <v>126</v>
      </c>
      <c r="K56" s="155" t="s">
        <v>119</v>
      </c>
    </row>
    <row r="57" spans="4:11" hidden="1" x14ac:dyDescent="0.25">
      <c r="D57" s="1"/>
      <c r="E57" s="1"/>
      <c r="F57" s="1"/>
      <c r="G57" s="1"/>
      <c r="H57" s="175"/>
      <c r="I57" s="175"/>
      <c r="J57" s="175"/>
      <c r="K57" s="155"/>
    </row>
    <row r="58" spans="4:11" hidden="1" x14ac:dyDescent="0.25">
      <c r="D58" s="172">
        <v>433</v>
      </c>
      <c r="E58" s="172">
        <v>5</v>
      </c>
      <c r="F58" s="172" t="s">
        <v>58</v>
      </c>
      <c r="G58" s="172" t="s">
        <v>59</v>
      </c>
      <c r="H58" s="174" t="s">
        <v>108</v>
      </c>
      <c r="I58" s="174" t="s">
        <v>129</v>
      </c>
      <c r="J58" s="174" t="s">
        <v>126</v>
      </c>
      <c r="K58" s="155" t="s">
        <v>114</v>
      </c>
    </row>
    <row r="59" spans="4:11" hidden="1" x14ac:dyDescent="0.25">
      <c r="D59" s="172">
        <v>433</v>
      </c>
      <c r="E59" s="172">
        <v>5</v>
      </c>
      <c r="F59" s="172" t="s">
        <v>58</v>
      </c>
      <c r="G59" s="172" t="s">
        <v>61</v>
      </c>
      <c r="H59" s="174" t="s">
        <v>109</v>
      </c>
      <c r="I59" s="174" t="s">
        <v>129</v>
      </c>
      <c r="J59" s="174" t="s">
        <v>126</v>
      </c>
      <c r="K59" s="155" t="s">
        <v>115</v>
      </c>
    </row>
    <row r="60" spans="4:11" hidden="1" x14ac:dyDescent="0.25">
      <c r="D60" s="172">
        <v>433</v>
      </c>
      <c r="E60" s="172">
        <v>5</v>
      </c>
      <c r="F60" s="172" t="s">
        <v>58</v>
      </c>
      <c r="G60" s="172" t="s">
        <v>63</v>
      </c>
      <c r="H60" s="174" t="s">
        <v>110</v>
      </c>
      <c r="I60" s="174" t="s">
        <v>129</v>
      </c>
      <c r="J60" s="174" t="s">
        <v>126</v>
      </c>
      <c r="K60" s="155" t="s">
        <v>116</v>
      </c>
    </row>
    <row r="61" spans="4:11" hidden="1" x14ac:dyDescent="0.25">
      <c r="D61" s="172">
        <v>433</v>
      </c>
      <c r="E61" s="172">
        <v>5</v>
      </c>
      <c r="F61" s="172" t="s">
        <v>65</v>
      </c>
      <c r="G61" s="172" t="s">
        <v>59</v>
      </c>
      <c r="H61" s="174" t="s">
        <v>111</v>
      </c>
      <c r="I61" s="174" t="s">
        <v>129</v>
      </c>
      <c r="J61" s="174" t="s">
        <v>126</v>
      </c>
      <c r="K61" s="155" t="s">
        <v>117</v>
      </c>
    </row>
    <row r="62" spans="4:11" hidden="1" x14ac:dyDescent="0.25">
      <c r="D62" s="172">
        <v>433</v>
      </c>
      <c r="E62" s="172">
        <v>5</v>
      </c>
      <c r="F62" s="172" t="s">
        <v>65</v>
      </c>
      <c r="G62" s="172" t="s">
        <v>61</v>
      </c>
      <c r="H62" s="174" t="s">
        <v>112</v>
      </c>
      <c r="I62" s="174" t="s">
        <v>129</v>
      </c>
      <c r="J62" s="174" t="s">
        <v>126</v>
      </c>
      <c r="K62" s="155" t="s">
        <v>118</v>
      </c>
    </row>
    <row r="63" spans="4:11" hidden="1" x14ac:dyDescent="0.25">
      <c r="D63" s="172">
        <v>433</v>
      </c>
      <c r="E63" s="172">
        <v>5</v>
      </c>
      <c r="F63" s="172" t="s">
        <v>65</v>
      </c>
      <c r="G63" s="172" t="s">
        <v>63</v>
      </c>
      <c r="H63" s="174" t="s">
        <v>113</v>
      </c>
      <c r="I63" s="174" t="s">
        <v>129</v>
      </c>
      <c r="J63" s="174" t="s">
        <v>126</v>
      </c>
      <c r="K63" s="155" t="s">
        <v>119</v>
      </c>
    </row>
    <row r="64" spans="4:11" hidden="1" x14ac:dyDescent="0.25"/>
    <row r="65" hidden="1" x14ac:dyDescent="0.25"/>
  </sheetData>
  <autoFilter ref="D1:K65">
    <filterColumn colId="6">
      <filters>
        <filter val="cc1352r"/>
      </filters>
    </filterColumn>
    <filterColumn colId="7">
      <filters>
        <filter val="BCN_DA"/>
      </filters>
    </filterColumn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6:V33"/>
  <sheetViews>
    <sheetView topLeftCell="A4" workbookViewId="0">
      <selection activeCell="N44" sqref="N44"/>
    </sheetView>
  </sheetViews>
  <sheetFormatPr defaultRowHeight="15" x14ac:dyDescent="0.25"/>
  <cols>
    <col min="4" max="4" width="11.85546875" customWidth="1"/>
    <col min="16" max="16" width="13.5703125" customWidth="1"/>
    <col min="18" max="18" width="14" customWidth="1"/>
    <col min="20" max="20" width="15.28515625" customWidth="1"/>
  </cols>
  <sheetData>
    <row r="6" spans="2:22" x14ac:dyDescent="0.25">
      <c r="H6" t="s">
        <v>152</v>
      </c>
      <c r="I6" t="s">
        <v>154</v>
      </c>
      <c r="L6" t="s">
        <v>153</v>
      </c>
      <c r="N6" t="s">
        <v>153</v>
      </c>
      <c r="P6" t="s">
        <v>152</v>
      </c>
      <c r="R6" t="s">
        <v>152</v>
      </c>
    </row>
    <row r="8" spans="2:22" x14ac:dyDescent="0.25">
      <c r="B8" t="s">
        <v>134</v>
      </c>
    </row>
    <row r="9" spans="2:22" x14ac:dyDescent="0.25">
      <c r="B9" t="s">
        <v>135</v>
      </c>
      <c r="C9" t="s">
        <v>136</v>
      </c>
      <c r="D9" t="s">
        <v>137</v>
      </c>
      <c r="E9" t="s">
        <v>141</v>
      </c>
      <c r="F9" t="s">
        <v>142</v>
      </c>
      <c r="G9" t="s">
        <v>143</v>
      </c>
      <c r="H9" t="s">
        <v>144</v>
      </c>
      <c r="I9" s="132" t="s">
        <v>140</v>
      </c>
      <c r="L9" t="s">
        <v>145</v>
      </c>
      <c r="N9" t="s">
        <v>147</v>
      </c>
      <c r="P9" t="s">
        <v>150</v>
      </c>
      <c r="R9" t="s">
        <v>151</v>
      </c>
      <c r="T9" t="s">
        <v>168</v>
      </c>
      <c r="V9" t="s">
        <v>148</v>
      </c>
    </row>
    <row r="10" spans="2:22" x14ac:dyDescent="0.25">
      <c r="B10">
        <f>(0.395 * 3.3 * 3.3) - (3.3 *3.3868) + 9.9887</f>
        <v>3.11381</v>
      </c>
      <c r="C10" s="132">
        <f>(1.41 * 3.3 * 3.3) - (3.3 *10.559) + 25.695</f>
        <v>6.2052000000000014</v>
      </c>
      <c r="D10">
        <f>8.73956267</f>
        <v>8.7395626699999998</v>
      </c>
      <c r="E10">
        <v>3.45</v>
      </c>
      <c r="F10">
        <v>0.47599999999999998</v>
      </c>
      <c r="G10">
        <v>3.3860000000000001</v>
      </c>
      <c r="H10">
        <v>7.3120000000000003</v>
      </c>
      <c r="I10">
        <f>((B10*E10)+(C10*F10)+(D10*G10))/H10</f>
        <v>5.920196786189825</v>
      </c>
      <c r="L10">
        <f>3600/4320</f>
        <v>0.83333333333333337</v>
      </c>
      <c r="N10">
        <f>24*L10</f>
        <v>20</v>
      </c>
      <c r="P10">
        <f>L10*H10</f>
        <v>6.0933333333333337</v>
      </c>
      <c r="R10">
        <f>24*P10</f>
        <v>146.24</v>
      </c>
      <c r="T10">
        <f>H10*I10</f>
        <v>43.288478900619999</v>
      </c>
      <c r="V10">
        <f>T10*N10</f>
        <v>865.76957801239996</v>
      </c>
    </row>
    <row r="11" spans="2:22" x14ac:dyDescent="0.25">
      <c r="B11" t="s">
        <v>159</v>
      </c>
      <c r="C11" t="s">
        <v>160</v>
      </c>
    </row>
    <row r="12" spans="2:22" x14ac:dyDescent="0.25">
      <c r="B12">
        <v>7.7990000000000004E-2</v>
      </c>
      <c r="C12">
        <v>6.9156300000000002</v>
      </c>
    </row>
    <row r="15" spans="2:22" x14ac:dyDescent="0.25">
      <c r="B15" t="s">
        <v>138</v>
      </c>
    </row>
    <row r="16" spans="2:22" x14ac:dyDescent="0.25">
      <c r="B16" t="s">
        <v>135</v>
      </c>
      <c r="C16" t="s">
        <v>136</v>
      </c>
      <c r="D16" t="s">
        <v>137</v>
      </c>
      <c r="E16" s="132" t="s">
        <v>141</v>
      </c>
      <c r="F16" s="132" t="s">
        <v>142</v>
      </c>
      <c r="G16" s="132" t="s">
        <v>143</v>
      </c>
      <c r="H16" s="132" t="s">
        <v>144</v>
      </c>
      <c r="I16" s="132" t="s">
        <v>140</v>
      </c>
      <c r="L16" t="s">
        <v>145</v>
      </c>
      <c r="N16" s="132" t="s">
        <v>147</v>
      </c>
      <c r="P16" s="132" t="s">
        <v>149</v>
      </c>
      <c r="R16" s="132" t="s">
        <v>151</v>
      </c>
      <c r="T16" s="132" t="s">
        <v>168</v>
      </c>
      <c r="V16" s="132" t="s">
        <v>148</v>
      </c>
    </row>
    <row r="17" spans="2:22" x14ac:dyDescent="0.25">
      <c r="B17" s="132">
        <f>(0.395 * 3.3 * 3.3) - (3.3 *3.3868) + 9.9887</f>
        <v>3.11381</v>
      </c>
      <c r="C17" s="132">
        <f>(1.41 * 3.3 * 3.3) - (3.3 *10.559) + 25.695</f>
        <v>6.2052000000000014</v>
      </c>
      <c r="D17" s="132">
        <f>8.73956267</f>
        <v>8.7395626699999998</v>
      </c>
      <c r="E17">
        <v>4.3550000000000004</v>
      </c>
      <c r="F17">
        <v>3.7309999999999999</v>
      </c>
      <c r="G17">
        <v>0.97299999999999998</v>
      </c>
      <c r="H17">
        <v>9.0589999999999993</v>
      </c>
      <c r="I17" s="132">
        <f>((B17*E17)+(C17*F17)+(D17*G17))/H17</f>
        <v>4.9912615330511105</v>
      </c>
      <c r="L17" s="132">
        <f>3600/4320</f>
        <v>0.83333333333333337</v>
      </c>
      <c r="N17" s="132">
        <f>24*L17</f>
        <v>20</v>
      </c>
      <c r="P17" s="132">
        <f>L17*H17</f>
        <v>7.5491666666666664</v>
      </c>
      <c r="R17" s="132">
        <f>24*P17</f>
        <v>181.18</v>
      </c>
      <c r="T17" s="132">
        <f>H17*I17</f>
        <v>45.215838227910005</v>
      </c>
      <c r="V17" s="132">
        <f>T17*N17</f>
        <v>904.31676455820013</v>
      </c>
    </row>
    <row r="18" spans="2:22" x14ac:dyDescent="0.25">
      <c r="B18" s="132" t="s">
        <v>159</v>
      </c>
      <c r="C18" s="132" t="s">
        <v>160</v>
      </c>
    </row>
    <row r="19" spans="2:22" x14ac:dyDescent="0.25">
      <c r="B19" s="132">
        <v>7.7990000000000004E-2</v>
      </c>
      <c r="C19" s="132">
        <v>6.33148</v>
      </c>
    </row>
    <row r="22" spans="2:22" x14ac:dyDescent="0.25">
      <c r="B22" s="132" t="s">
        <v>139</v>
      </c>
      <c r="C22" s="132"/>
      <c r="D22" s="132"/>
    </row>
    <row r="23" spans="2:22" x14ac:dyDescent="0.25">
      <c r="B23" s="132" t="s">
        <v>135</v>
      </c>
      <c r="C23" s="132" t="s">
        <v>136</v>
      </c>
      <c r="D23" s="132" t="s">
        <v>137</v>
      </c>
      <c r="E23" s="132" t="s">
        <v>141</v>
      </c>
      <c r="F23" s="132" t="s">
        <v>142</v>
      </c>
      <c r="G23" s="132" t="s">
        <v>143</v>
      </c>
      <c r="H23" s="132" t="s">
        <v>144</v>
      </c>
      <c r="I23" t="s">
        <v>140</v>
      </c>
      <c r="L23" t="s">
        <v>145</v>
      </c>
      <c r="N23" s="132" t="s">
        <v>147</v>
      </c>
      <c r="P23" s="132" t="s">
        <v>149</v>
      </c>
      <c r="R23" s="132" t="s">
        <v>151</v>
      </c>
      <c r="T23" s="132" t="s">
        <v>168</v>
      </c>
      <c r="V23" s="132" t="s">
        <v>148</v>
      </c>
    </row>
    <row r="24" spans="2:22" x14ac:dyDescent="0.25">
      <c r="B24" s="132">
        <f>(0.395 * 3.3 * 3.3) - (3.3 *3.3868) + 9.9887</f>
        <v>3.11381</v>
      </c>
      <c r="C24" s="132">
        <f>(1.41 * 3.3 * 3.3) - (3.3 *10.559) + 25.695</f>
        <v>6.2052000000000014</v>
      </c>
      <c r="D24" s="132">
        <f>8.73956267</f>
        <v>8.7395626699999998</v>
      </c>
      <c r="E24">
        <v>3.3820000000000001</v>
      </c>
      <c r="F24">
        <v>0.57499999999999996</v>
      </c>
      <c r="G24">
        <v>0.58199999999999996</v>
      </c>
      <c r="H24">
        <v>4.5389999999999997</v>
      </c>
      <c r="I24" s="132">
        <f>((B24*E24)+(C24*F24)+(D24*G24))/H24</f>
        <v>4.2267726137783654</v>
      </c>
      <c r="L24" s="132">
        <f>3600/4320 - L17</f>
        <v>0</v>
      </c>
      <c r="N24" s="132">
        <f>24*L24</f>
        <v>0</v>
      </c>
      <c r="P24" s="132">
        <f>L24*H24</f>
        <v>0</v>
      </c>
      <c r="R24" s="132">
        <f>24*P24</f>
        <v>0</v>
      </c>
      <c r="T24" s="132">
        <f>H24*I24</f>
        <v>19.185320893939998</v>
      </c>
      <c r="V24" s="132">
        <f>T24*N24</f>
        <v>0</v>
      </c>
    </row>
    <row r="25" spans="2:22" x14ac:dyDescent="0.25">
      <c r="B25" s="132" t="s">
        <v>159</v>
      </c>
      <c r="C25" s="132" t="s">
        <v>160</v>
      </c>
    </row>
    <row r="26" spans="2:22" x14ac:dyDescent="0.25">
      <c r="B26" s="132">
        <v>7.7990000000000004E-2</v>
      </c>
      <c r="C26" s="132">
        <v>6.4169999999999998</v>
      </c>
    </row>
    <row r="27" spans="2:22" x14ac:dyDescent="0.25">
      <c r="D27" t="s">
        <v>152</v>
      </c>
      <c r="G27" t="s">
        <v>156</v>
      </c>
      <c r="J27" t="s">
        <v>156</v>
      </c>
      <c r="M27" t="s">
        <v>154</v>
      </c>
    </row>
    <row r="29" spans="2:22" x14ac:dyDescent="0.25">
      <c r="B29" t="s">
        <v>146</v>
      </c>
      <c r="D29" t="s">
        <v>155</v>
      </c>
      <c r="G29" s="132" t="s">
        <v>155</v>
      </c>
      <c r="J29" t="s">
        <v>157</v>
      </c>
      <c r="M29" t="s">
        <v>158</v>
      </c>
    </row>
    <row r="30" spans="2:22" x14ac:dyDescent="0.25">
      <c r="B30">
        <v>1E-3</v>
      </c>
      <c r="D30">
        <f>R10+R17+R24</f>
        <v>327.42</v>
      </c>
      <c r="G30">
        <f>D30/1000</f>
        <v>0.32741999999999999</v>
      </c>
      <c r="J30">
        <f>86400-G30</f>
        <v>86399.672579999999</v>
      </c>
      <c r="M30">
        <f>B30*J30</f>
        <v>86.399672580000001</v>
      </c>
    </row>
    <row r="32" spans="2:22" x14ac:dyDescent="0.25">
      <c r="B32" s="132" t="s">
        <v>161</v>
      </c>
      <c r="C32" s="132"/>
      <c r="D32" s="132" t="s">
        <v>162</v>
      </c>
      <c r="E32" s="132"/>
      <c r="F32" s="132"/>
      <c r="G32" s="132"/>
      <c r="H32" s="132" t="s">
        <v>163</v>
      </c>
      <c r="I32" s="132"/>
      <c r="J32" s="132"/>
      <c r="K32" s="132"/>
      <c r="L32" s="132" t="s">
        <v>164</v>
      </c>
      <c r="M32" s="132"/>
      <c r="N32" s="132"/>
      <c r="O32" s="132"/>
      <c r="P32" s="132" t="s">
        <v>166</v>
      </c>
      <c r="Q32" s="132"/>
      <c r="R32" s="132"/>
      <c r="S32" s="132"/>
      <c r="T32" s="132" t="s">
        <v>167</v>
      </c>
    </row>
    <row r="33" spans="2:20" x14ac:dyDescent="0.25">
      <c r="B33" s="132">
        <f>(1000*60*60*24)</f>
        <v>86400000</v>
      </c>
      <c r="C33" s="132">
        <f>B33-D30</f>
        <v>86399672.579999998</v>
      </c>
      <c r="D33" s="132">
        <f>0.001*C33</f>
        <v>86399.672579999999</v>
      </c>
      <c r="E33" s="132"/>
      <c r="F33" s="132"/>
      <c r="G33" s="132"/>
      <c r="H33" s="132">
        <f>D33+V10+V17+V24</f>
        <v>88169.758922570603</v>
      </c>
      <c r="I33" s="132"/>
      <c r="J33" s="132"/>
      <c r="K33" s="132"/>
      <c r="L33" s="132">
        <f>H33/(3600*1000)</f>
        <v>2.4491599700714056E-2</v>
      </c>
      <c r="M33" s="132"/>
      <c r="N33" s="132"/>
      <c r="O33" s="132"/>
      <c r="P33" s="132">
        <f>L33*3.3</f>
        <v>8.0822279012356377E-2</v>
      </c>
      <c r="Q33" s="132"/>
      <c r="R33" s="132"/>
      <c r="S33" s="132"/>
      <c r="T33" s="132">
        <f>L33/24</f>
        <v>1.0204833208630856E-3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T32"/>
  <sheetViews>
    <sheetView tabSelected="1" workbookViewId="0">
      <selection activeCell="K33" sqref="K33"/>
    </sheetView>
  </sheetViews>
  <sheetFormatPr defaultRowHeight="15" x14ac:dyDescent="0.25"/>
  <sheetData>
    <row r="1" spans="2:20" x14ac:dyDescent="0.25">
      <c r="H1" t="s">
        <v>152</v>
      </c>
      <c r="I1" t="s">
        <v>154</v>
      </c>
      <c r="P1" t="s">
        <v>152</v>
      </c>
      <c r="R1" t="s">
        <v>152</v>
      </c>
    </row>
    <row r="2" spans="2:20" x14ac:dyDescent="0.25">
      <c r="B2" s="132" t="s">
        <v>134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T2" t="s">
        <v>154</v>
      </c>
    </row>
    <row r="3" spans="2:20" x14ac:dyDescent="0.25">
      <c r="B3" s="132" t="s">
        <v>135</v>
      </c>
      <c r="C3" s="132" t="s">
        <v>136</v>
      </c>
      <c r="D3" s="132" t="s">
        <v>137</v>
      </c>
      <c r="E3" s="132" t="s">
        <v>141</v>
      </c>
      <c r="F3" s="132" t="s">
        <v>142</v>
      </c>
      <c r="G3" s="132" t="s">
        <v>143</v>
      </c>
      <c r="H3" s="132" t="s">
        <v>144</v>
      </c>
      <c r="I3" s="132" t="s">
        <v>140</v>
      </c>
      <c r="J3" s="132"/>
      <c r="K3" s="132"/>
      <c r="L3" s="132" t="s">
        <v>145</v>
      </c>
      <c r="M3" s="132"/>
      <c r="N3" s="132" t="s">
        <v>147</v>
      </c>
      <c r="O3" s="132"/>
      <c r="P3" s="132" t="s">
        <v>150</v>
      </c>
      <c r="Q3" s="132"/>
      <c r="R3" s="132" t="s">
        <v>151</v>
      </c>
      <c r="T3" t="s">
        <v>148</v>
      </c>
    </row>
    <row r="4" spans="2:20" x14ac:dyDescent="0.25">
      <c r="B4" s="132">
        <f>(0.395 * 3.3 * 3.3) - (3.3 *3.3868) + 9.9887</f>
        <v>3.11381</v>
      </c>
      <c r="C4" s="132">
        <f>(1.41 * 3.3 * 3.3) - (3.3 *10.559) + 25.695</f>
        <v>6.2052000000000014</v>
      </c>
      <c r="D4" s="132">
        <f>8.73956267</f>
        <v>8.7395626699999998</v>
      </c>
      <c r="E4" s="132">
        <v>2.306</v>
      </c>
      <c r="F4" s="132">
        <v>2.0571999999999999</v>
      </c>
      <c r="G4" s="132">
        <v>2.2073999999999998</v>
      </c>
      <c r="H4" s="132">
        <f>E4+F4+G4+B6</f>
        <v>6.6485899999999996</v>
      </c>
      <c r="I4" s="132">
        <f>((B4*E4)+(C4*F4)+(D4*G4)+(B6*C6))/H4</f>
        <v>5.9827488116214127</v>
      </c>
      <c r="J4" s="132"/>
      <c r="K4" s="132"/>
      <c r="L4" s="132">
        <f>3600/4320</f>
        <v>0.83333333333333337</v>
      </c>
      <c r="M4" s="132"/>
      <c r="N4" s="132">
        <f>24*L4</f>
        <v>20</v>
      </c>
      <c r="O4" s="132"/>
      <c r="P4" s="132">
        <f>L4*H4</f>
        <v>5.5404916666666661</v>
      </c>
      <c r="Q4" s="132"/>
      <c r="R4" s="132">
        <f>24*P4</f>
        <v>132.97179999999997</v>
      </c>
      <c r="T4">
        <f>R4*I4</f>
        <v>795.53687842915997</v>
      </c>
    </row>
    <row r="5" spans="2:20" x14ac:dyDescent="0.25">
      <c r="B5" s="132" t="s">
        <v>159</v>
      </c>
      <c r="C5" s="132" t="s">
        <v>160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</row>
    <row r="6" spans="2:20" x14ac:dyDescent="0.25">
      <c r="B6" s="132">
        <v>7.7990000000000004E-2</v>
      </c>
      <c r="C6" s="132">
        <v>6.9156300000000002</v>
      </c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</row>
    <row r="7" spans="2:20" x14ac:dyDescent="0.25"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</row>
    <row r="8" spans="2:20" x14ac:dyDescent="0.25"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</row>
    <row r="9" spans="2:20" x14ac:dyDescent="0.25">
      <c r="B9" s="132" t="s">
        <v>138</v>
      </c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</row>
    <row r="10" spans="2:20" x14ac:dyDescent="0.25">
      <c r="B10" s="132" t="s">
        <v>135</v>
      </c>
      <c r="C10" s="132" t="s">
        <v>136</v>
      </c>
      <c r="D10" s="132" t="s">
        <v>137</v>
      </c>
      <c r="E10" s="132" t="s">
        <v>141</v>
      </c>
      <c r="F10" s="132" t="s">
        <v>142</v>
      </c>
      <c r="G10" s="132" t="s">
        <v>143</v>
      </c>
      <c r="H10" s="132" t="s">
        <v>144</v>
      </c>
      <c r="I10" s="132" t="s">
        <v>140</v>
      </c>
      <c r="J10" s="132"/>
      <c r="K10" s="132"/>
      <c r="L10" s="132" t="s">
        <v>145</v>
      </c>
      <c r="M10" s="132"/>
      <c r="N10" s="132" t="s">
        <v>147</v>
      </c>
      <c r="O10" s="132"/>
      <c r="P10" s="132" t="s">
        <v>149</v>
      </c>
      <c r="Q10" s="132"/>
      <c r="R10" s="132" t="s">
        <v>151</v>
      </c>
    </row>
    <row r="11" spans="2:20" x14ac:dyDescent="0.25">
      <c r="B11" s="132">
        <f>(0.395 * 3.3 * 3.3) - (3.3 *3.3868) + 9.9887</f>
        <v>3.11381</v>
      </c>
      <c r="C11" s="132">
        <f>(1.41 * 3.3 * 3.3) - (3.3 *10.559) + 25.695</f>
        <v>6.2052000000000014</v>
      </c>
      <c r="D11" s="132">
        <f>8.73956267</f>
        <v>8.7395626699999998</v>
      </c>
      <c r="E11" s="132">
        <v>1.1722999999999999</v>
      </c>
      <c r="F11" s="132">
        <v>2.8866999999999998</v>
      </c>
      <c r="G11" s="132">
        <v>1.0325200000000001</v>
      </c>
      <c r="H11" s="132">
        <f>E11+F11+G11+B13</f>
        <v>5.1695099999999989</v>
      </c>
      <c r="I11" s="132">
        <f>((B11*E11)+(C11*F11)+(D11*G11)+(B13*C13))/H11</f>
        <v>6.0122595132282184</v>
      </c>
      <c r="J11" s="132"/>
      <c r="K11" s="132"/>
      <c r="L11" s="132">
        <f>3600/4320</f>
        <v>0.83333333333333337</v>
      </c>
      <c r="M11" s="132"/>
      <c r="N11" s="132">
        <f>24*L11</f>
        <v>20</v>
      </c>
      <c r="O11" s="132"/>
      <c r="P11" s="132">
        <f>L11*H11</f>
        <v>4.3079249999999991</v>
      </c>
      <c r="Q11" s="132"/>
      <c r="R11" s="132">
        <f>24*P11</f>
        <v>103.39019999999998</v>
      </c>
      <c r="T11" s="132">
        <f>R11*I11</f>
        <v>621.60871352456797</v>
      </c>
    </row>
    <row r="12" spans="2:20" x14ac:dyDescent="0.25">
      <c r="B12" s="132" t="s">
        <v>159</v>
      </c>
      <c r="C12" s="132" t="s">
        <v>160</v>
      </c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</row>
    <row r="13" spans="2:20" x14ac:dyDescent="0.25">
      <c r="B13" s="132">
        <v>7.7990000000000004E-2</v>
      </c>
      <c r="C13" s="132">
        <v>6.33148</v>
      </c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</row>
    <row r="14" spans="2:20" x14ac:dyDescent="0.25"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</row>
    <row r="15" spans="2:20" x14ac:dyDescent="0.25"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</row>
    <row r="16" spans="2:20" x14ac:dyDescent="0.25">
      <c r="B16" s="132" t="s">
        <v>139</v>
      </c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</row>
    <row r="17" spans="2:20" x14ac:dyDescent="0.25">
      <c r="B17" s="132" t="s">
        <v>135</v>
      </c>
      <c r="C17" s="132" t="s">
        <v>136</v>
      </c>
      <c r="D17" s="132" t="s">
        <v>137</v>
      </c>
      <c r="E17" s="132" t="s">
        <v>141</v>
      </c>
      <c r="F17" s="132" t="s">
        <v>142</v>
      </c>
      <c r="G17" s="132" t="s">
        <v>143</v>
      </c>
      <c r="H17" s="132" t="s">
        <v>144</v>
      </c>
      <c r="I17" s="132" t="s">
        <v>140</v>
      </c>
      <c r="J17" s="132"/>
      <c r="K17" s="132"/>
      <c r="L17" s="132" t="s">
        <v>145</v>
      </c>
      <c r="M17" s="132"/>
      <c r="N17" s="132" t="s">
        <v>147</v>
      </c>
      <c r="O17" s="132"/>
      <c r="P17" s="132" t="s">
        <v>149</v>
      </c>
      <c r="Q17" s="132"/>
      <c r="R17" s="132" t="s">
        <v>151</v>
      </c>
    </row>
    <row r="18" spans="2:20" x14ac:dyDescent="0.25">
      <c r="B18" s="132">
        <f>(0.395 * 3.3 * 3.3) - (3.3 *3.3868) + 9.9887</f>
        <v>3.11381</v>
      </c>
      <c r="C18" s="132">
        <f>(1.41 * 3.3 * 3.3) - (3.3 *10.559) + 25.695</f>
        <v>6.2052000000000014</v>
      </c>
      <c r="D18" s="132">
        <f>8.73956267</f>
        <v>8.7395626699999998</v>
      </c>
      <c r="E18" s="132">
        <v>1.0787</v>
      </c>
      <c r="F18" s="132">
        <v>2.0598999999999998</v>
      </c>
      <c r="G18" s="132">
        <v>1.0329999999999999</v>
      </c>
      <c r="H18" s="132">
        <f>E18+F18+G18+B20</f>
        <v>4.2495899999999995</v>
      </c>
      <c r="I18" s="132">
        <f>((B18*E18)+(C18*F18)+(D18*G18)+(B20*C20))/H18</f>
        <v>6.0404388176529968</v>
      </c>
      <c r="J18" s="132"/>
      <c r="K18" s="132"/>
      <c r="L18" s="132">
        <f>3600/4320 - L11</f>
        <v>0</v>
      </c>
      <c r="M18" s="132"/>
      <c r="N18" s="132">
        <f>24*L18</f>
        <v>0</v>
      </c>
      <c r="O18" s="132"/>
      <c r="P18" s="132">
        <f>L18*H18</f>
        <v>0</v>
      </c>
      <c r="Q18" s="132"/>
      <c r="R18" s="132">
        <f>24*P18</f>
        <v>0</v>
      </c>
      <c r="T18" s="132">
        <f>R18*I18</f>
        <v>0</v>
      </c>
    </row>
    <row r="19" spans="2:20" x14ac:dyDescent="0.25">
      <c r="B19" s="132" t="s">
        <v>159</v>
      </c>
      <c r="C19" s="132" t="s">
        <v>160</v>
      </c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</row>
    <row r="20" spans="2:20" x14ac:dyDescent="0.25">
      <c r="B20" s="132">
        <v>7.7990000000000004E-2</v>
      </c>
      <c r="C20" s="132">
        <v>6.4169999999999998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</row>
    <row r="21" spans="2:20" x14ac:dyDescent="0.25">
      <c r="B21" s="132"/>
      <c r="C21" s="132"/>
      <c r="D21" s="132" t="s">
        <v>152</v>
      </c>
      <c r="E21" s="132"/>
      <c r="F21" s="132"/>
      <c r="G21" s="132" t="s">
        <v>156</v>
      </c>
      <c r="H21" s="132"/>
      <c r="I21" s="132"/>
      <c r="J21" s="132" t="s">
        <v>156</v>
      </c>
      <c r="K21" s="132"/>
      <c r="L21" s="132"/>
      <c r="M21" s="132" t="s">
        <v>154</v>
      </c>
      <c r="N21" s="132"/>
      <c r="O21" s="132"/>
      <c r="P21" s="132"/>
      <c r="Q21" s="132"/>
      <c r="R21" s="132"/>
    </row>
    <row r="22" spans="2:20" x14ac:dyDescent="0.25"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</row>
    <row r="23" spans="2:20" x14ac:dyDescent="0.25">
      <c r="B23" s="132" t="s">
        <v>146</v>
      </c>
      <c r="C23" s="132"/>
      <c r="D23" s="132" t="s">
        <v>155</v>
      </c>
      <c r="E23" s="132"/>
      <c r="F23" s="132"/>
      <c r="G23" s="132" t="s">
        <v>155</v>
      </c>
      <c r="H23" s="132"/>
      <c r="I23" s="132"/>
      <c r="J23" s="132" t="s">
        <v>157</v>
      </c>
      <c r="K23" s="132"/>
      <c r="L23" s="132"/>
      <c r="M23" s="132" t="s">
        <v>158</v>
      </c>
      <c r="N23" s="132"/>
      <c r="O23" s="132"/>
      <c r="P23" s="132"/>
      <c r="Q23" s="132"/>
      <c r="R23" s="132"/>
    </row>
    <row r="24" spans="2:20" x14ac:dyDescent="0.25">
      <c r="B24" s="132">
        <v>1E-3</v>
      </c>
      <c r="C24" s="132"/>
      <c r="D24" s="132">
        <f>R4+R11+R18</f>
        <v>236.36199999999997</v>
      </c>
      <c r="E24" s="132"/>
      <c r="F24" s="132"/>
      <c r="G24" s="132">
        <f>D24/1000</f>
        <v>0.23636199999999996</v>
      </c>
      <c r="H24" s="132"/>
      <c r="I24" s="132"/>
      <c r="J24" s="132">
        <f>86400-G24</f>
        <v>86399.763638000004</v>
      </c>
      <c r="K24" s="132"/>
      <c r="L24" s="132"/>
      <c r="M24" s="132">
        <f>B24*J24</f>
        <v>86.39976363800001</v>
      </c>
      <c r="N24" s="132"/>
      <c r="O24" s="132"/>
      <c r="P24" s="132"/>
      <c r="Q24" s="132"/>
      <c r="R24" s="132"/>
    </row>
    <row r="26" spans="2:20" x14ac:dyDescent="0.25">
      <c r="D26" t="s">
        <v>169</v>
      </c>
      <c r="H26" t="s">
        <v>169</v>
      </c>
      <c r="L26" t="s">
        <v>165</v>
      </c>
    </row>
    <row r="27" spans="2:20" x14ac:dyDescent="0.25">
      <c r="B27" t="s">
        <v>161</v>
      </c>
      <c r="D27" t="s">
        <v>162</v>
      </c>
      <c r="H27" t="s">
        <v>163</v>
      </c>
      <c r="L27" t="s">
        <v>164</v>
      </c>
      <c r="P27" t="s">
        <v>166</v>
      </c>
      <c r="T27" t="s">
        <v>167</v>
      </c>
    </row>
    <row r="28" spans="2:20" x14ac:dyDescent="0.25">
      <c r="B28">
        <f>(1000*60*60*24)</f>
        <v>86400000</v>
      </c>
      <c r="C28">
        <f>B28-D24</f>
        <v>86399763.637999997</v>
      </c>
      <c r="D28">
        <f>0.0008*C28</f>
        <v>69119.810910400003</v>
      </c>
      <c r="H28">
        <f>D28+T4+T11+T18</f>
        <v>70536.956502353729</v>
      </c>
      <c r="L28">
        <f>H28/(3600*1000)</f>
        <v>1.959359902843159E-2</v>
      </c>
      <c r="P28">
        <f>L28*3.3</f>
        <v>6.4658876793824246E-2</v>
      </c>
      <c r="T28">
        <f>L28/24</f>
        <v>8.1639995951798296E-4</v>
      </c>
    </row>
    <row r="29" spans="2:20" x14ac:dyDescent="0.25">
      <c r="H29" t="s">
        <v>170</v>
      </c>
    </row>
    <row r="30" spans="2:20" x14ac:dyDescent="0.25">
      <c r="H30">
        <f>H28/(1000)</f>
        <v>70.536956502353732</v>
      </c>
    </row>
    <row r="31" spans="2:20" x14ac:dyDescent="0.25">
      <c r="H31" t="s">
        <v>171</v>
      </c>
    </row>
    <row r="32" spans="2:20" x14ac:dyDescent="0.25">
      <c r="H32">
        <f>H30/3600</f>
        <v>1.9593599028431594E-2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BQ460"/>
  <sheetViews>
    <sheetView topLeftCell="AC429" zoomScaleNormal="100" workbookViewId="0">
      <selection activeCell="BQ436" sqref="BQ436:BQ454"/>
    </sheetView>
  </sheetViews>
  <sheetFormatPr defaultRowHeight="15" x14ac:dyDescent="0.25"/>
  <cols>
    <col min="2" max="2" width="11.7109375" customWidth="1"/>
    <col min="3" max="3" width="12" bestFit="1" customWidth="1"/>
    <col min="4" max="6" width="10" bestFit="1" customWidth="1"/>
    <col min="25" max="25" width="12" bestFit="1" customWidth="1"/>
  </cols>
  <sheetData>
    <row r="2" spans="2:62" x14ac:dyDescent="0.25">
      <c r="B2" t="s">
        <v>0</v>
      </c>
      <c r="C2">
        <v>2</v>
      </c>
      <c r="O2" s="132"/>
      <c r="P2" s="132"/>
      <c r="Q2" s="132"/>
      <c r="R2" s="132" t="s">
        <v>0</v>
      </c>
      <c r="S2" s="132">
        <v>2</v>
      </c>
      <c r="W2" s="132"/>
      <c r="X2" s="132" t="s">
        <v>0</v>
      </c>
      <c r="Y2" s="132">
        <v>2</v>
      </c>
      <c r="AL2" s="132" t="s">
        <v>0</v>
      </c>
      <c r="AM2" s="132">
        <v>2</v>
      </c>
      <c r="AT2" s="132"/>
      <c r="AU2" s="132" t="s">
        <v>0</v>
      </c>
      <c r="AV2" s="132">
        <v>2</v>
      </c>
      <c r="BH2" s="132"/>
      <c r="BI2" s="132" t="s">
        <v>0</v>
      </c>
      <c r="BJ2" s="132">
        <v>2</v>
      </c>
    </row>
    <row r="3" spans="2:62" x14ac:dyDescent="0.25">
      <c r="B3" s="1" t="s">
        <v>4</v>
      </c>
      <c r="C3" s="1" t="s">
        <v>5</v>
      </c>
      <c r="D3" s="1">
        <v>1</v>
      </c>
      <c r="E3" s="1">
        <v>2</v>
      </c>
      <c r="F3" s="1">
        <v>3</v>
      </c>
      <c r="O3" s="132" t="s">
        <v>8</v>
      </c>
      <c r="P3" s="132">
        <v>9.1800000000000007E-2</v>
      </c>
      <c r="Q3" s="132" t="s">
        <v>13</v>
      </c>
      <c r="R3" s="1" t="s">
        <v>4</v>
      </c>
      <c r="S3" s="1" t="s">
        <v>5</v>
      </c>
      <c r="W3" s="143" t="s">
        <v>26</v>
      </c>
      <c r="X3" s="1" t="s">
        <v>4</v>
      </c>
      <c r="Y3" s="1" t="s">
        <v>5</v>
      </c>
      <c r="AH3" s="132" t="s">
        <v>8</v>
      </c>
      <c r="AI3">
        <v>9.7900000000000001E-2</v>
      </c>
      <c r="AK3" s="144" t="s">
        <v>29</v>
      </c>
      <c r="AL3" s="1" t="s">
        <v>4</v>
      </c>
      <c r="AM3" s="1" t="s">
        <v>5</v>
      </c>
      <c r="AO3" s="132" t="s">
        <v>8</v>
      </c>
      <c r="AP3" s="132">
        <v>9.1800000000000007E-2</v>
      </c>
      <c r="AT3" s="145" t="s">
        <v>30</v>
      </c>
      <c r="AU3" s="1" t="s">
        <v>4</v>
      </c>
      <c r="AV3" s="1" t="s">
        <v>5</v>
      </c>
      <c r="BE3" s="132" t="s">
        <v>8</v>
      </c>
      <c r="BF3" s="132">
        <v>9.2299999999999993E-2</v>
      </c>
      <c r="BH3" s="146" t="s">
        <v>32</v>
      </c>
      <c r="BI3" s="1" t="s">
        <v>4</v>
      </c>
      <c r="BJ3" s="1" t="s">
        <v>5</v>
      </c>
    </row>
    <row r="4" spans="2:62" x14ac:dyDescent="0.25">
      <c r="B4" s="1">
        <v>14</v>
      </c>
      <c r="C4" s="1">
        <f>AVERAGE(E4,F4,D4)</f>
        <v>34.818412333333328</v>
      </c>
      <c r="D4" s="3">
        <v>34.780273999999999</v>
      </c>
      <c r="E4" s="3">
        <v>34.587235</v>
      </c>
      <c r="F4" s="3">
        <v>35.087727999999998</v>
      </c>
      <c r="O4" s="132" t="s">
        <v>9</v>
      </c>
      <c r="P4" s="132">
        <v>0.34489999999999998</v>
      </c>
      <c r="Q4" s="132" t="s">
        <v>15</v>
      </c>
      <c r="R4" s="1">
        <v>14</v>
      </c>
      <c r="S4" s="1">
        <f>((R4*R4)*($P$3+$Q$408))+(R4*($P$4+$S$408))+($P$5+$U$408)</f>
        <v>38.083400000000005</v>
      </c>
      <c r="W4" s="143" t="s">
        <v>25</v>
      </c>
      <c r="X4" s="1">
        <v>14</v>
      </c>
      <c r="Y4" s="1">
        <f>((X4*X4)*($P$3+$C$458))+(X4*($P$4+$C$459))+($P$5+$C$460)</f>
        <v>36.224699999999999</v>
      </c>
      <c r="AH4" s="132" t="s">
        <v>9</v>
      </c>
      <c r="AI4">
        <v>0.31979999999999997</v>
      </c>
      <c r="AK4" s="144" t="s">
        <v>25</v>
      </c>
      <c r="AL4" s="1">
        <v>14</v>
      </c>
      <c r="AM4" s="1">
        <f>((AL4*AL4)*($AI$3+$AC$24))+(AL4*($AI$4+$AE$24))+($AI$5+$AG$24)</f>
        <v>38.897599999999997</v>
      </c>
      <c r="AO4" s="132" t="s">
        <v>9</v>
      </c>
      <c r="AP4" s="132">
        <v>0.34489999999999998</v>
      </c>
      <c r="AT4" s="145">
        <v>12</v>
      </c>
      <c r="AU4" s="1">
        <v>14</v>
      </c>
      <c r="AV4" s="1">
        <f>((AU4*AU4)*($AP$3+$AP$23))+(AU4*($AP$4+$AP$24))+($AP$5+$AP$25)</f>
        <v>36.582900000000002</v>
      </c>
      <c r="BE4" s="132" t="s">
        <v>9</v>
      </c>
      <c r="BF4" s="132">
        <v>0.3931</v>
      </c>
      <c r="BH4" s="146" t="s">
        <v>33</v>
      </c>
      <c r="BI4" s="1">
        <v>14</v>
      </c>
      <c r="BJ4" s="1">
        <f>((BI4*BI4)*($BF$3+$BB$23))+(BI4*($BF$4+$BB$24))+($BF$5+$BB$25)</f>
        <v>39.281199999999998</v>
      </c>
    </row>
    <row r="5" spans="2:62" x14ac:dyDescent="0.25">
      <c r="B5" s="1">
        <v>13</v>
      </c>
      <c r="C5" s="1">
        <f t="shared" ref="C5:C22" si="0">AVERAGE(E5,F5,D5)</f>
        <v>32.71994466666667</v>
      </c>
      <c r="D5" s="3">
        <v>32.545059000000002</v>
      </c>
      <c r="E5" s="3">
        <v>32.533002000000003</v>
      </c>
      <c r="F5" s="3">
        <v>33.081772999999998</v>
      </c>
      <c r="O5" s="132" t="s">
        <v>10</v>
      </c>
      <c r="P5" s="132">
        <v>12.548999999999999</v>
      </c>
      <c r="Q5" s="132" t="s">
        <v>16</v>
      </c>
      <c r="R5" s="1">
        <v>13</v>
      </c>
      <c r="S5" s="1">
        <f t="shared" ref="S5:S17" si="1">((R5*R5)*($P$3+$Q$408))+(R5*($P$4+$S$408))+($P$5+$U$408)</f>
        <v>34.543500000000002</v>
      </c>
      <c r="W5" s="143" t="s">
        <v>25</v>
      </c>
      <c r="X5" s="1">
        <v>13</v>
      </c>
      <c r="Y5" s="1">
        <f t="shared" ref="Y5:Y17" si="2">((X5*X5)*($P$3+$C$458))+(X5*($P$4+$C$459))+($P$5+$C$460)</f>
        <v>33.240700000000004</v>
      </c>
      <c r="AH5" s="132" t="s">
        <v>10</v>
      </c>
      <c r="AI5">
        <v>12.519</v>
      </c>
      <c r="AK5" s="144" t="s">
        <v>25</v>
      </c>
      <c r="AL5" s="1">
        <v>13</v>
      </c>
      <c r="AM5" s="1">
        <f t="shared" ref="AM5:AM17" si="3">((AL5*AL5)*($AI$3+$AC$24))+(AL5*($AI$4+$AE$24))+($AI$5+$AG$24)</f>
        <v>35.2181</v>
      </c>
      <c r="AO5" s="132" t="s">
        <v>10</v>
      </c>
      <c r="AP5" s="132">
        <v>12.548999999999999</v>
      </c>
      <c r="AT5" s="145">
        <v>12</v>
      </c>
      <c r="AU5" s="1">
        <v>13</v>
      </c>
      <c r="AV5" s="1">
        <f t="shared" ref="AV5:AV17" si="4">((AU5*AU5)*($AP$3+$AP$23))+(AU5*($AP$4+$AP$24))+($AP$5+$AP$25)</f>
        <v>33.685000000000002</v>
      </c>
      <c r="BE5" s="132" t="s">
        <v>10</v>
      </c>
      <c r="BF5" s="132">
        <v>12.974</v>
      </c>
      <c r="BH5" s="146" t="s">
        <v>33</v>
      </c>
      <c r="BI5" s="1">
        <v>13</v>
      </c>
      <c r="BJ5" s="1">
        <f t="shared" ref="BJ5:BJ17" si="5">((BI5*BI5)*($BF$3+$BB$23))+(BI5*($BF$4+$BB$24))+($BF$5+$BB$25)</f>
        <v>35.679599999999994</v>
      </c>
    </row>
    <row r="6" spans="2:62" x14ac:dyDescent="0.25">
      <c r="B6" s="1">
        <v>12</v>
      </c>
      <c r="C6" s="1">
        <f t="shared" si="0"/>
        <v>30.664769333333329</v>
      </c>
      <c r="D6" s="3">
        <v>30.429848</v>
      </c>
      <c r="E6" s="3">
        <v>30.474119999999999</v>
      </c>
      <c r="F6" s="3">
        <v>31.090340000000001</v>
      </c>
      <c r="O6" s="132"/>
      <c r="P6" s="132"/>
      <c r="Q6" s="132"/>
      <c r="R6" s="1">
        <v>12</v>
      </c>
      <c r="S6" s="1">
        <f t="shared" si="1"/>
        <v>31.2742</v>
      </c>
      <c r="W6" s="143" t="s">
        <v>25</v>
      </c>
      <c r="X6" s="1">
        <v>12</v>
      </c>
      <c r="Y6" s="1">
        <f t="shared" si="2"/>
        <v>30.456699999999998</v>
      </c>
      <c r="AK6" s="144" t="s">
        <v>25</v>
      </c>
      <c r="AL6" s="1">
        <v>12</v>
      </c>
      <c r="AM6" s="1">
        <f t="shared" si="3"/>
        <v>31.821399999999997</v>
      </c>
      <c r="AO6" s="132"/>
      <c r="AP6" s="132"/>
      <c r="AT6" s="145">
        <v>12</v>
      </c>
      <c r="AU6" s="1">
        <v>12</v>
      </c>
      <c r="AV6" s="1">
        <f t="shared" si="4"/>
        <v>30.974499999999999</v>
      </c>
      <c r="BE6" s="132"/>
      <c r="BF6" s="132"/>
      <c r="BH6" s="146" t="s">
        <v>33</v>
      </c>
      <c r="BI6" s="1">
        <v>12</v>
      </c>
      <c r="BJ6" s="1">
        <f t="shared" si="5"/>
        <v>32.349599999999995</v>
      </c>
    </row>
    <row r="7" spans="2:62" x14ac:dyDescent="0.25">
      <c r="B7" s="1">
        <v>11</v>
      </c>
      <c r="C7" s="1">
        <f t="shared" si="0"/>
        <v>27.832574000000005</v>
      </c>
      <c r="D7" s="3">
        <v>27.760114000000002</v>
      </c>
      <c r="E7" s="3">
        <v>27.528544</v>
      </c>
      <c r="F7" s="3">
        <v>28.209064000000001</v>
      </c>
      <c r="O7" s="132"/>
      <c r="P7" s="132"/>
      <c r="Q7" s="132"/>
      <c r="R7" s="1">
        <v>11</v>
      </c>
      <c r="S7" s="1">
        <f t="shared" si="1"/>
        <v>28.275500000000001</v>
      </c>
      <c r="W7" s="143" t="s">
        <v>25</v>
      </c>
      <c r="X7" s="1">
        <v>11</v>
      </c>
      <c r="Y7" s="1">
        <f t="shared" si="2"/>
        <v>27.872700000000002</v>
      </c>
      <c r="AK7" s="144" t="s">
        <v>25</v>
      </c>
      <c r="AL7" s="1">
        <v>11</v>
      </c>
      <c r="AM7" s="1">
        <f t="shared" si="3"/>
        <v>28.7075</v>
      </c>
      <c r="AO7" s="132"/>
      <c r="AP7" s="132"/>
      <c r="AT7" s="145">
        <v>12</v>
      </c>
      <c r="AU7" s="1">
        <v>11</v>
      </c>
      <c r="AV7" s="1">
        <f t="shared" si="4"/>
        <v>28.4514</v>
      </c>
      <c r="BE7" s="132"/>
      <c r="BF7" s="132"/>
      <c r="BH7" s="146" t="s">
        <v>33</v>
      </c>
      <c r="BI7" s="1">
        <v>11</v>
      </c>
      <c r="BJ7" s="1">
        <f t="shared" si="5"/>
        <v>29.291199999999996</v>
      </c>
    </row>
    <row r="8" spans="2:62" x14ac:dyDescent="0.25">
      <c r="B8" s="1">
        <v>10</v>
      </c>
      <c r="C8" s="1">
        <f t="shared" si="0"/>
        <v>24.506889666666666</v>
      </c>
      <c r="D8" s="3">
        <v>25.135873</v>
      </c>
      <c r="E8" s="3">
        <v>22.736865999999999</v>
      </c>
      <c r="F8" s="3">
        <v>25.647929999999999</v>
      </c>
      <c r="O8" s="132"/>
      <c r="P8" s="132"/>
      <c r="Q8" s="132"/>
      <c r="R8" s="1">
        <v>10</v>
      </c>
      <c r="S8" s="1">
        <f t="shared" si="1"/>
        <v>25.547400000000003</v>
      </c>
      <c r="W8" s="143" t="s">
        <v>25</v>
      </c>
      <c r="X8" s="1">
        <v>10</v>
      </c>
      <c r="Y8" s="1">
        <f t="shared" si="2"/>
        <v>25.488700000000001</v>
      </c>
      <c r="AK8" s="144" t="s">
        <v>25</v>
      </c>
      <c r="AL8" s="1">
        <v>10</v>
      </c>
      <c r="AM8" s="1">
        <f t="shared" si="3"/>
        <v>25.8764</v>
      </c>
      <c r="AO8" s="132"/>
      <c r="AP8" s="132"/>
      <c r="AT8" s="145">
        <v>12</v>
      </c>
      <c r="AU8" s="1">
        <v>10</v>
      </c>
      <c r="AV8" s="1">
        <f t="shared" si="4"/>
        <v>26.1157</v>
      </c>
      <c r="BE8" s="132"/>
      <c r="BF8" s="132"/>
      <c r="BH8" s="146" t="s">
        <v>33</v>
      </c>
      <c r="BI8" s="1">
        <v>10</v>
      </c>
      <c r="BJ8" s="1">
        <f t="shared" si="5"/>
        <v>26.504399999999997</v>
      </c>
    </row>
    <row r="9" spans="2:62" x14ac:dyDescent="0.25">
      <c r="B9" s="1">
        <v>9</v>
      </c>
      <c r="C9" s="1">
        <f t="shared" si="0"/>
        <v>22.818983333333335</v>
      </c>
      <c r="D9" s="3">
        <v>21.123497</v>
      </c>
      <c r="E9" s="3">
        <v>23.310369999999999</v>
      </c>
      <c r="F9" s="3">
        <v>24.023083</v>
      </c>
      <c r="O9" s="132"/>
      <c r="P9" s="132"/>
      <c r="Q9" s="132"/>
      <c r="R9" s="1">
        <v>9</v>
      </c>
      <c r="S9" s="1">
        <f t="shared" si="1"/>
        <v>23.0899</v>
      </c>
      <c r="W9" s="143" t="s">
        <v>25</v>
      </c>
      <c r="X9" s="1">
        <v>9</v>
      </c>
      <c r="Y9" s="1">
        <f t="shared" si="2"/>
        <v>23.304699999999997</v>
      </c>
      <c r="AK9" s="144" t="s">
        <v>25</v>
      </c>
      <c r="AL9" s="1">
        <v>9</v>
      </c>
      <c r="AM9" s="1">
        <f t="shared" si="3"/>
        <v>23.328099999999999</v>
      </c>
      <c r="AO9" s="132"/>
      <c r="AP9" s="132"/>
      <c r="AT9" s="145">
        <v>12</v>
      </c>
      <c r="AU9" s="1">
        <v>9</v>
      </c>
      <c r="AV9" s="1">
        <f t="shared" si="4"/>
        <v>23.967399999999998</v>
      </c>
      <c r="BE9" s="132"/>
      <c r="BF9" s="132"/>
      <c r="BH9" s="146" t="s">
        <v>33</v>
      </c>
      <c r="BI9" s="1">
        <v>9</v>
      </c>
      <c r="BJ9" s="1">
        <f t="shared" si="5"/>
        <v>23.9892</v>
      </c>
    </row>
    <row r="10" spans="2:62" x14ac:dyDescent="0.25">
      <c r="B10" s="1">
        <v>8</v>
      </c>
      <c r="C10" s="1">
        <f t="shared" si="0"/>
        <v>21.500626666666665</v>
      </c>
      <c r="D10" s="3">
        <v>22.219840999999999</v>
      </c>
      <c r="E10" s="3">
        <v>19.809021000000001</v>
      </c>
      <c r="F10" s="3">
        <v>22.473018</v>
      </c>
      <c r="O10" s="132"/>
      <c r="P10" s="132"/>
      <c r="Q10" s="132"/>
      <c r="R10" s="1">
        <v>8</v>
      </c>
      <c r="S10" s="1">
        <f t="shared" si="1"/>
        <v>20.902999999999999</v>
      </c>
      <c r="W10" s="143" t="s">
        <v>25</v>
      </c>
      <c r="X10" s="1">
        <v>8</v>
      </c>
      <c r="Y10" s="1">
        <f t="shared" si="2"/>
        <v>21.320700000000002</v>
      </c>
      <c r="AK10" s="144" t="s">
        <v>25</v>
      </c>
      <c r="AL10" s="1">
        <v>8</v>
      </c>
      <c r="AM10" s="1">
        <f t="shared" si="3"/>
        <v>21.0626</v>
      </c>
      <c r="AO10" s="132"/>
      <c r="AP10" s="132"/>
      <c r="AT10" s="145">
        <v>12</v>
      </c>
      <c r="AU10" s="1">
        <v>8</v>
      </c>
      <c r="AV10" s="1">
        <f t="shared" si="4"/>
        <v>22.006499999999999</v>
      </c>
      <c r="BE10" s="132"/>
      <c r="BF10" s="132"/>
      <c r="BH10" s="146" t="s">
        <v>33</v>
      </c>
      <c r="BI10" s="1">
        <v>8</v>
      </c>
      <c r="BJ10" s="1">
        <f t="shared" si="5"/>
        <v>21.7456</v>
      </c>
    </row>
    <row r="11" spans="2:62" x14ac:dyDescent="0.25">
      <c r="B11" s="1">
        <v>7</v>
      </c>
      <c r="C11" s="1">
        <f t="shared" si="0"/>
        <v>19.120347666666667</v>
      </c>
      <c r="D11" s="3">
        <v>18.418517999999999</v>
      </c>
      <c r="E11" s="3">
        <v>18.237295</v>
      </c>
      <c r="F11" s="3">
        <v>20.70523</v>
      </c>
      <c r="O11" s="132"/>
      <c r="P11" s="132"/>
      <c r="Q11" s="132"/>
      <c r="R11" s="1">
        <v>7</v>
      </c>
      <c r="S11" s="1">
        <f t="shared" si="1"/>
        <v>18.986699999999999</v>
      </c>
      <c r="W11" s="143" t="s">
        <v>25</v>
      </c>
      <c r="X11" s="1">
        <v>7</v>
      </c>
      <c r="Y11" s="1">
        <f t="shared" si="2"/>
        <v>19.5367</v>
      </c>
      <c r="AK11" s="144" t="s">
        <v>25</v>
      </c>
      <c r="AL11" s="1">
        <v>7</v>
      </c>
      <c r="AM11" s="1">
        <f t="shared" si="3"/>
        <v>19.079899999999999</v>
      </c>
      <c r="AO11" s="132"/>
      <c r="AP11" s="132"/>
      <c r="AT11" s="145">
        <v>12</v>
      </c>
      <c r="AU11" s="1">
        <v>7</v>
      </c>
      <c r="AV11" s="1">
        <f t="shared" si="4"/>
        <v>20.233000000000001</v>
      </c>
      <c r="BE11" s="132"/>
      <c r="BF11" s="132"/>
      <c r="BH11" s="146" t="s">
        <v>33</v>
      </c>
      <c r="BI11" s="1">
        <v>7</v>
      </c>
      <c r="BJ11" s="1">
        <f t="shared" si="5"/>
        <v>19.773599999999998</v>
      </c>
    </row>
    <row r="12" spans="2:62" x14ac:dyDescent="0.25">
      <c r="B12" s="1">
        <v>6</v>
      </c>
      <c r="C12" s="1">
        <f t="shared" si="0"/>
        <v>18.310329999999997</v>
      </c>
      <c r="D12" s="3">
        <v>18.834029999999998</v>
      </c>
      <c r="E12" s="3">
        <v>16.941196999999999</v>
      </c>
      <c r="F12" s="3">
        <v>19.155763</v>
      </c>
      <c r="O12" s="132"/>
      <c r="P12" s="132"/>
      <c r="Q12" s="132"/>
      <c r="R12" s="1">
        <v>6</v>
      </c>
      <c r="S12" s="1">
        <f t="shared" si="1"/>
        <v>17.341000000000001</v>
      </c>
      <c r="W12" s="143" t="s">
        <v>25</v>
      </c>
      <c r="X12" s="1">
        <v>6</v>
      </c>
      <c r="Y12" s="1">
        <f t="shared" si="2"/>
        <v>17.9527</v>
      </c>
      <c r="AK12" s="144" t="s">
        <v>25</v>
      </c>
      <c r="AL12" s="1">
        <v>6</v>
      </c>
      <c r="AM12" s="1">
        <f t="shared" si="3"/>
        <v>17.38</v>
      </c>
      <c r="AO12" s="132"/>
      <c r="AP12" s="132"/>
      <c r="AT12" s="145">
        <v>12</v>
      </c>
      <c r="AU12" s="1">
        <v>6</v>
      </c>
      <c r="AV12" s="1">
        <f t="shared" si="4"/>
        <v>18.646900000000002</v>
      </c>
      <c r="BE12" s="132"/>
      <c r="BF12" s="132"/>
      <c r="BH12" s="146" t="s">
        <v>33</v>
      </c>
      <c r="BI12" s="1">
        <v>6</v>
      </c>
      <c r="BJ12" s="1">
        <f t="shared" si="5"/>
        <v>18.0732</v>
      </c>
    </row>
    <row r="13" spans="2:62" x14ac:dyDescent="0.25">
      <c r="B13" s="1">
        <v>5</v>
      </c>
      <c r="C13" s="1">
        <f t="shared" si="0"/>
        <v>16.126998333333333</v>
      </c>
      <c r="D13" s="3">
        <v>15.377955999999999</v>
      </c>
      <c r="E13" s="3">
        <v>15.504797</v>
      </c>
      <c r="F13" s="3">
        <v>17.498242000000001</v>
      </c>
      <c r="O13" s="132" t="s">
        <v>8</v>
      </c>
      <c r="P13" s="132">
        <v>1.7299999999999999E-2</v>
      </c>
      <c r="Q13" s="132" t="s">
        <v>14</v>
      </c>
      <c r="R13" s="1">
        <v>5</v>
      </c>
      <c r="S13" s="1">
        <f t="shared" si="1"/>
        <v>15.965900000000001</v>
      </c>
      <c r="W13" s="143" t="s">
        <v>25</v>
      </c>
      <c r="X13" s="1">
        <v>5</v>
      </c>
      <c r="Y13" s="1">
        <f t="shared" si="2"/>
        <v>16.5687</v>
      </c>
      <c r="AH13" s="132" t="s">
        <v>8</v>
      </c>
      <c r="AI13">
        <v>1.7000000000000001E-2</v>
      </c>
      <c r="AK13" s="144" t="s">
        <v>25</v>
      </c>
      <c r="AL13" s="1">
        <v>5</v>
      </c>
      <c r="AM13" s="1">
        <f t="shared" si="3"/>
        <v>15.962899999999999</v>
      </c>
      <c r="AO13" s="132" t="s">
        <v>8</v>
      </c>
      <c r="AP13" s="132">
        <v>1.7299999999999999E-2</v>
      </c>
      <c r="AT13" s="145">
        <v>12</v>
      </c>
      <c r="AU13" s="1">
        <v>5</v>
      </c>
      <c r="AV13" s="1">
        <f t="shared" si="4"/>
        <v>17.248200000000001</v>
      </c>
      <c r="BE13" s="132" t="s">
        <v>8</v>
      </c>
      <c r="BF13" s="132">
        <v>1.7000000000000001E-2</v>
      </c>
      <c r="BH13" s="146" t="s">
        <v>33</v>
      </c>
      <c r="BI13" s="1">
        <v>5</v>
      </c>
      <c r="BJ13" s="1">
        <f t="shared" si="5"/>
        <v>16.644400000000001</v>
      </c>
    </row>
    <row r="14" spans="2:62" x14ac:dyDescent="0.25">
      <c r="B14" s="1">
        <v>4</v>
      </c>
      <c r="C14" s="1">
        <f t="shared" si="0"/>
        <v>15.549334333333334</v>
      </c>
      <c r="D14" s="3">
        <v>14.805418</v>
      </c>
      <c r="E14" s="3">
        <v>14.966485</v>
      </c>
      <c r="F14" s="3">
        <v>16.876100000000001</v>
      </c>
      <c r="O14" s="132" t="s">
        <v>9</v>
      </c>
      <c r="P14" s="132">
        <v>0.56169999999999998</v>
      </c>
      <c r="Q14" s="132" t="s">
        <v>17</v>
      </c>
      <c r="R14" s="1">
        <v>4</v>
      </c>
      <c r="S14" s="1">
        <f t="shared" si="1"/>
        <v>14.8614</v>
      </c>
      <c r="W14" s="143" t="s">
        <v>25</v>
      </c>
      <c r="X14" s="1">
        <v>4</v>
      </c>
      <c r="Y14" s="1">
        <f t="shared" si="2"/>
        <v>15.3847</v>
      </c>
      <c r="AH14" s="132" t="s">
        <v>9</v>
      </c>
      <c r="AI14">
        <v>0.55400000000000005</v>
      </c>
      <c r="AK14" s="144" t="s">
        <v>25</v>
      </c>
      <c r="AL14" s="1">
        <v>4</v>
      </c>
      <c r="AM14" s="1">
        <f t="shared" si="3"/>
        <v>14.828599999999998</v>
      </c>
      <c r="AO14" s="132" t="s">
        <v>9</v>
      </c>
      <c r="AP14" s="132">
        <v>0.56169999999999998</v>
      </c>
      <c r="AT14" s="145">
        <v>12</v>
      </c>
      <c r="AU14" s="1">
        <v>4</v>
      </c>
      <c r="AV14" s="1">
        <f t="shared" si="4"/>
        <v>16.036899999999999</v>
      </c>
      <c r="BE14" s="132" t="s">
        <v>9</v>
      </c>
      <c r="BF14" s="132">
        <v>0.57399999999999995</v>
      </c>
      <c r="BH14" s="146" t="s">
        <v>33</v>
      </c>
      <c r="BI14" s="1">
        <v>4</v>
      </c>
      <c r="BJ14" s="1">
        <f t="shared" si="5"/>
        <v>15.4872</v>
      </c>
    </row>
    <row r="15" spans="2:62" x14ac:dyDescent="0.25">
      <c r="B15" s="1">
        <v>3</v>
      </c>
      <c r="C15" s="1">
        <f t="shared" si="0"/>
        <v>14.347226999999998</v>
      </c>
      <c r="D15" s="3">
        <v>13.630316000000001</v>
      </c>
      <c r="E15" s="3">
        <v>13.817632</v>
      </c>
      <c r="F15" s="3">
        <v>15.593733</v>
      </c>
      <c r="O15" s="132" t="s">
        <v>10</v>
      </c>
      <c r="P15" s="132">
        <v>12.382999999999999</v>
      </c>
      <c r="Q15" s="132" t="s">
        <v>18</v>
      </c>
      <c r="R15" s="1">
        <v>3</v>
      </c>
      <c r="S15" s="1">
        <f t="shared" si="1"/>
        <v>14.0275</v>
      </c>
      <c r="W15" s="143" t="s">
        <v>25</v>
      </c>
      <c r="X15" s="1">
        <v>3</v>
      </c>
      <c r="Y15" s="1">
        <f t="shared" si="2"/>
        <v>14.400700000000001</v>
      </c>
      <c r="AH15" s="132" t="s">
        <v>10</v>
      </c>
      <c r="AI15">
        <v>12.369</v>
      </c>
      <c r="AK15" s="144" t="s">
        <v>25</v>
      </c>
      <c r="AL15" s="1">
        <v>3</v>
      </c>
      <c r="AM15" s="1">
        <f t="shared" si="3"/>
        <v>13.977099999999998</v>
      </c>
      <c r="AO15" s="132" t="s">
        <v>10</v>
      </c>
      <c r="AP15" s="132">
        <v>12.382999999999999</v>
      </c>
      <c r="AT15" s="145">
        <v>12</v>
      </c>
      <c r="AU15" s="1">
        <v>3</v>
      </c>
      <c r="AV15" s="1">
        <f t="shared" si="4"/>
        <v>15.013</v>
      </c>
      <c r="BE15" s="132" t="s">
        <v>10</v>
      </c>
      <c r="BF15" s="132">
        <v>12.869</v>
      </c>
      <c r="BH15" s="146" t="s">
        <v>33</v>
      </c>
      <c r="BI15" s="1">
        <v>3</v>
      </c>
      <c r="BJ15" s="1">
        <f t="shared" si="5"/>
        <v>14.601600000000001</v>
      </c>
    </row>
    <row r="16" spans="2:62" x14ac:dyDescent="0.25">
      <c r="B16" s="1">
        <v>2</v>
      </c>
      <c r="C16" s="1">
        <f t="shared" si="0"/>
        <v>13.717991333333332</v>
      </c>
      <c r="D16" s="3">
        <v>13.007384999999999</v>
      </c>
      <c r="E16" s="3">
        <v>13.260267000000001</v>
      </c>
      <c r="F16" s="3">
        <v>14.886322</v>
      </c>
      <c r="O16" s="132"/>
      <c r="P16" s="132"/>
      <c r="Q16" s="132"/>
      <c r="R16" s="1">
        <v>2</v>
      </c>
      <c r="S16" s="1">
        <f t="shared" si="1"/>
        <v>13.4642</v>
      </c>
      <c r="W16" s="143" t="s">
        <v>25</v>
      </c>
      <c r="X16" s="1">
        <v>2</v>
      </c>
      <c r="Y16" s="1">
        <f t="shared" si="2"/>
        <v>13.6167</v>
      </c>
      <c r="AK16" s="144" t="s">
        <v>25</v>
      </c>
      <c r="AL16" s="1">
        <v>2</v>
      </c>
      <c r="AM16" s="1">
        <f t="shared" si="3"/>
        <v>13.408399999999999</v>
      </c>
      <c r="AT16" s="145">
        <v>12</v>
      </c>
      <c r="AU16" s="1">
        <v>2</v>
      </c>
      <c r="AV16" s="1">
        <f t="shared" si="4"/>
        <v>14.176499999999999</v>
      </c>
      <c r="BH16" s="146" t="s">
        <v>33</v>
      </c>
      <c r="BI16" s="1">
        <v>2</v>
      </c>
      <c r="BJ16" s="1">
        <f t="shared" si="5"/>
        <v>13.9876</v>
      </c>
    </row>
    <row r="17" spans="2:62" x14ac:dyDescent="0.25">
      <c r="B17" s="1">
        <v>1</v>
      </c>
      <c r="C17" s="1">
        <f t="shared" si="0"/>
        <v>13.089413</v>
      </c>
      <c r="D17" s="3">
        <v>12.378629999999999</v>
      </c>
      <c r="E17" s="3">
        <v>12.664217000000001</v>
      </c>
      <c r="F17" s="3">
        <v>14.225391999999999</v>
      </c>
      <c r="O17" s="132"/>
      <c r="P17" s="132"/>
      <c r="Q17" s="132"/>
      <c r="R17" s="1">
        <v>1</v>
      </c>
      <c r="S17" s="1">
        <f t="shared" si="1"/>
        <v>13.1715</v>
      </c>
      <c r="W17" s="143" t="s">
        <v>25</v>
      </c>
      <c r="X17" s="1">
        <v>1</v>
      </c>
      <c r="Y17" s="1">
        <f t="shared" si="2"/>
        <v>13.0327</v>
      </c>
      <c r="AK17" s="144" t="s">
        <v>25</v>
      </c>
      <c r="AL17" s="1">
        <v>1</v>
      </c>
      <c r="AM17" s="1">
        <f t="shared" si="3"/>
        <v>13.122499999999999</v>
      </c>
      <c r="AT17" s="145">
        <v>12</v>
      </c>
      <c r="AU17" s="1">
        <v>1</v>
      </c>
      <c r="AV17" s="1">
        <f t="shared" si="4"/>
        <v>13.5274</v>
      </c>
      <c r="BH17" s="146" t="s">
        <v>33</v>
      </c>
      <c r="BI17" s="1">
        <v>1</v>
      </c>
      <c r="BJ17" s="1">
        <f t="shared" si="5"/>
        <v>13.645200000000001</v>
      </c>
    </row>
    <row r="18" spans="2:62" x14ac:dyDescent="0.25">
      <c r="B18" s="1">
        <v>0</v>
      </c>
      <c r="C18" s="1">
        <f t="shared" si="0"/>
        <v>12.476101333333332</v>
      </c>
      <c r="D18" s="3">
        <v>11.828027000000001</v>
      </c>
      <c r="E18" s="3">
        <v>12.093188</v>
      </c>
      <c r="F18" s="3">
        <v>13.507089000000001</v>
      </c>
      <c r="O18" s="132"/>
      <c r="P18" s="132"/>
      <c r="Q18" s="132"/>
      <c r="R18" s="1">
        <v>0</v>
      </c>
      <c r="S18" s="1">
        <f>((R18*R18)*($P$13+$Q$409))+(R18*($P$14+$S$409))+($P$15+$U$409)</f>
        <v>12.325199999999999</v>
      </c>
      <c r="W18" s="143" t="s">
        <v>25</v>
      </c>
      <c r="X18" s="1">
        <v>0</v>
      </c>
      <c r="Y18" s="1">
        <f>((X18*X18)*($P$13+$E$458))+(X18*($P$14+$E$459))+($P$15+$E$460)</f>
        <v>12.3687</v>
      </c>
      <c r="AK18" s="144" t="s">
        <v>25</v>
      </c>
      <c r="AL18" s="1">
        <v>0</v>
      </c>
      <c r="AM18" s="1">
        <f>((AL18*AL18)*($AI$13+$AC$25))+(AL18*($AI$14+$AE$25))+($AI$15+$AG$25)</f>
        <v>12.311199999999999</v>
      </c>
      <c r="AT18" s="145">
        <v>12</v>
      </c>
      <c r="AU18" s="1">
        <v>0</v>
      </c>
      <c r="AV18" s="1">
        <f>((AU18*AU18)*($AP$13+$AR$23))+(AU18*($AP$14+$AR$24))+($AP$15+$AR$25)</f>
        <v>12.869299999999999</v>
      </c>
      <c r="BH18" s="146" t="s">
        <v>33</v>
      </c>
      <c r="BI18" s="1">
        <v>0</v>
      </c>
      <c r="BJ18" s="1">
        <f>((BI18*BI18)*($BF$13+$BD$23))+(BI18*($BF$14+$BD$24))+($BF$15+$BD$25)</f>
        <v>12.811199999999999</v>
      </c>
    </row>
    <row r="19" spans="2:62" x14ac:dyDescent="0.25">
      <c r="B19" s="1">
        <v>-5</v>
      </c>
      <c r="C19" s="1">
        <f t="shared" si="0"/>
        <v>9.8058296666666678</v>
      </c>
      <c r="D19" s="3">
        <v>9.2536240000000003</v>
      </c>
      <c r="E19" s="3">
        <v>9.5411129999999993</v>
      </c>
      <c r="F19" s="3">
        <v>10.622752</v>
      </c>
      <c r="O19" s="132"/>
      <c r="P19" s="132"/>
      <c r="Q19" s="132"/>
      <c r="R19" s="1">
        <v>-5</v>
      </c>
      <c r="S19" s="1">
        <f t="shared" ref="S19:S22" si="6">((R19*R19)*($P$13+$Q$409))+(R19*($P$14+$S$409))+($P$15+$U$409)</f>
        <v>9.9426999999999985</v>
      </c>
      <c r="W19" s="143" t="s">
        <v>25</v>
      </c>
      <c r="X19" s="1">
        <v>-5</v>
      </c>
      <c r="Y19" s="1">
        <f t="shared" ref="Y19:Y22" si="7">((X19*X19)*($P$13+$E$458))+(X19*($P$14+$E$459))+($P$15+$E$460)</f>
        <v>10.0237</v>
      </c>
      <c r="AK19" s="144" t="s">
        <v>25</v>
      </c>
      <c r="AL19" s="1">
        <v>-5</v>
      </c>
      <c r="AM19" s="1">
        <f t="shared" ref="AM19:AM22" si="8">((AL19*AL19)*($AI$13+$AC$25))+(AL19*($AI$14+$AE$25))+($AI$15+$AG$25)</f>
        <v>9.9596999999999998</v>
      </c>
      <c r="AT19" s="145">
        <v>12</v>
      </c>
      <c r="AU19" s="1">
        <v>-5</v>
      </c>
      <c r="AV19" s="1">
        <f t="shared" ref="AV19:AV22" si="9">((AU19*AU19)*($AP$13+$AR$23))+(AU19*($AP$14+$AR$24))+($AP$15+$AR$25)</f>
        <v>10.424299999999999</v>
      </c>
      <c r="BH19" s="146" t="s">
        <v>33</v>
      </c>
      <c r="BI19" s="1">
        <v>-5</v>
      </c>
      <c r="BJ19" s="1">
        <f t="shared" ref="BJ19:BJ22" si="10">((BI19*BI19)*($BF$13+$BD$23))+(BI19*($BF$14+$BD$24))+($BF$15+$BD$25)</f>
        <v>10.3597</v>
      </c>
    </row>
    <row r="20" spans="2:62" x14ac:dyDescent="0.25">
      <c r="B20" s="1">
        <v>-10</v>
      </c>
      <c r="C20" s="1">
        <f t="shared" si="0"/>
        <v>8.5411316666666668</v>
      </c>
      <c r="D20" s="3">
        <v>8.0874799999999993</v>
      </c>
      <c r="E20" s="3">
        <v>8.3164379999999998</v>
      </c>
      <c r="F20" s="3">
        <v>9.2194769999999995</v>
      </c>
      <c r="O20" s="132"/>
      <c r="P20" s="132"/>
      <c r="Q20" s="132"/>
      <c r="R20" s="1">
        <v>-10</v>
      </c>
      <c r="S20" s="1">
        <f t="shared" si="6"/>
        <v>8.4351999999999983</v>
      </c>
      <c r="W20" s="143" t="s">
        <v>25</v>
      </c>
      <c r="X20" s="1">
        <v>-10</v>
      </c>
      <c r="Y20" s="1">
        <f t="shared" si="7"/>
        <v>8.5287000000000006</v>
      </c>
      <c r="AK20" s="144" t="s">
        <v>25</v>
      </c>
      <c r="AL20" s="1">
        <v>-10</v>
      </c>
      <c r="AM20" s="1">
        <f t="shared" si="8"/>
        <v>8.4681999999999995</v>
      </c>
      <c r="AT20" s="145">
        <v>12</v>
      </c>
      <c r="AU20" s="1">
        <v>-10</v>
      </c>
      <c r="AV20" s="1">
        <f t="shared" si="9"/>
        <v>8.8292999999999999</v>
      </c>
      <c r="BH20" s="146" t="s">
        <v>33</v>
      </c>
      <c r="BI20" s="1">
        <v>-10</v>
      </c>
      <c r="BJ20" s="1">
        <f t="shared" si="10"/>
        <v>8.7682000000000002</v>
      </c>
    </row>
    <row r="21" spans="2:62" x14ac:dyDescent="0.25">
      <c r="B21" s="1">
        <v>-15</v>
      </c>
      <c r="C21" s="1">
        <f t="shared" si="0"/>
        <v>7.9858169999999999</v>
      </c>
      <c r="D21" s="3">
        <v>7.5964590000000003</v>
      </c>
      <c r="E21" s="3">
        <v>7.7625500000000001</v>
      </c>
      <c r="F21" s="3">
        <v>8.5984420000000004</v>
      </c>
      <c r="O21" s="132"/>
      <c r="P21" s="132"/>
      <c r="Q21" s="132"/>
      <c r="R21" s="1">
        <v>-15</v>
      </c>
      <c r="S21" s="1">
        <f t="shared" si="6"/>
        <v>7.802699999999998</v>
      </c>
      <c r="W21" s="143" t="s">
        <v>25</v>
      </c>
      <c r="X21" s="1">
        <v>-15</v>
      </c>
      <c r="Y21" s="1">
        <f t="shared" si="7"/>
        <v>7.8837000000000002</v>
      </c>
      <c r="AK21" s="144" t="s">
        <v>25</v>
      </c>
      <c r="AL21" s="1">
        <v>-15</v>
      </c>
      <c r="AM21" s="1">
        <f t="shared" si="8"/>
        <v>7.8366999999999996</v>
      </c>
      <c r="AT21" s="145">
        <v>12</v>
      </c>
      <c r="AU21" s="1">
        <v>-15</v>
      </c>
      <c r="AV21" s="1">
        <f t="shared" si="9"/>
        <v>8.0842999999999989</v>
      </c>
      <c r="BH21" s="146" t="s">
        <v>33</v>
      </c>
      <c r="BI21" s="1">
        <v>-15</v>
      </c>
      <c r="BJ21" s="1">
        <f t="shared" si="10"/>
        <v>8.0366999999999997</v>
      </c>
    </row>
    <row r="22" spans="2:62" x14ac:dyDescent="0.25">
      <c r="B22" s="1">
        <v>-20</v>
      </c>
      <c r="C22" s="1">
        <f t="shared" si="0"/>
        <v>7.985803999999999</v>
      </c>
      <c r="D22" s="3">
        <v>7.5969189999999998</v>
      </c>
      <c r="E22" s="3">
        <v>7.7635069999999997</v>
      </c>
      <c r="F22" s="3">
        <v>8.5969859999999994</v>
      </c>
      <c r="O22" s="132"/>
      <c r="P22" s="132"/>
      <c r="Q22" s="132"/>
      <c r="R22" s="1">
        <v>-20</v>
      </c>
      <c r="S22" s="1">
        <f t="shared" si="6"/>
        <v>8.0451999999999977</v>
      </c>
      <c r="W22" s="143" t="s">
        <v>25</v>
      </c>
      <c r="X22" s="1">
        <v>-20</v>
      </c>
      <c r="Y22" s="1">
        <f t="shared" si="7"/>
        <v>8.0886999999999993</v>
      </c>
      <c r="AK22" s="144" t="s">
        <v>25</v>
      </c>
      <c r="AL22" s="1">
        <v>-20</v>
      </c>
      <c r="AM22" s="1">
        <f t="shared" si="8"/>
        <v>8.0651999999999973</v>
      </c>
      <c r="AT22" s="145">
        <v>12</v>
      </c>
      <c r="AU22" s="1">
        <v>-20</v>
      </c>
      <c r="AV22" s="1">
        <f t="shared" si="9"/>
        <v>8.1893000000000011</v>
      </c>
      <c r="BH22" s="146" t="s">
        <v>33</v>
      </c>
      <c r="BI22" s="1">
        <v>-20</v>
      </c>
      <c r="BJ22" s="1">
        <f t="shared" si="10"/>
        <v>8.1652000000000022</v>
      </c>
    </row>
    <row r="23" spans="2:62" ht="15.75" thickBot="1" x14ac:dyDescent="0.3">
      <c r="AO23" s="132" t="s">
        <v>8</v>
      </c>
      <c r="AP23" s="132">
        <f>0.0804-0.0785</f>
        <v>1.8999999999999989E-3</v>
      </c>
      <c r="AQ23" s="132" t="s">
        <v>8</v>
      </c>
      <c r="AR23" s="132">
        <f>0.0083-0.0086</f>
        <v>-2.9999999999999992E-4</v>
      </c>
      <c r="BA23" s="132" t="s">
        <v>8</v>
      </c>
      <c r="BB23" s="132">
        <v>4.3499999999999997E-2</v>
      </c>
      <c r="BC23" s="132" t="s">
        <v>8</v>
      </c>
      <c r="BD23" s="132">
        <v>2.0000000000000001E-4</v>
      </c>
    </row>
    <row r="24" spans="2:62" x14ac:dyDescent="0.25">
      <c r="AB24" s="140" t="s">
        <v>8</v>
      </c>
      <c r="AC24" s="135">
        <f>0.0846-0.0411</f>
        <v>4.3499999999999997E-2</v>
      </c>
      <c r="AD24" s="140" t="s">
        <v>9</v>
      </c>
      <c r="AE24" s="135">
        <f>-0.2332+-0.2249</f>
        <v>-0.45809999999999995</v>
      </c>
      <c r="AF24" s="140" t="s">
        <v>10</v>
      </c>
      <c r="AG24" s="136">
        <f>7.9756-7.3752</f>
        <v>0.6003999999999996</v>
      </c>
      <c r="AO24" s="132" t="s">
        <v>9</v>
      </c>
      <c r="AP24" s="132">
        <f>0.1836-0.1605</f>
        <v>2.3100000000000009E-2</v>
      </c>
      <c r="AQ24" s="132" t="s">
        <v>9</v>
      </c>
      <c r="AR24" s="132">
        <f>0.3237-0.3114</f>
        <v>1.2299999999999978E-2</v>
      </c>
      <c r="BA24" s="132" t="s">
        <v>9</v>
      </c>
      <c r="BB24" s="132">
        <v>-0.45810000000000001</v>
      </c>
      <c r="BC24" s="132" t="s">
        <v>9</v>
      </c>
      <c r="BD24" s="132">
        <v>2.3E-3</v>
      </c>
    </row>
    <row r="25" spans="2:62" ht="15.75" thickBot="1" x14ac:dyDescent="0.3">
      <c r="AB25" s="139" t="s">
        <v>8</v>
      </c>
      <c r="AC25" s="137">
        <f>0.0086-0.0084</f>
        <v>2.0000000000000052E-4</v>
      </c>
      <c r="AD25" s="139" t="s">
        <v>9</v>
      </c>
      <c r="AE25" s="137">
        <f>0.3017-0.2994</f>
        <v>2.3000000000000242E-3</v>
      </c>
      <c r="AF25" s="139" t="s">
        <v>10</v>
      </c>
      <c r="AG25" s="138">
        <f>7.2286-7.2864</f>
        <v>-5.7800000000000296E-2</v>
      </c>
      <c r="AO25" s="132" t="s">
        <v>10</v>
      </c>
      <c r="AP25" s="132">
        <f>8.6535-8.1368</f>
        <v>0.51670000000000016</v>
      </c>
      <c r="AQ25" s="132" t="s">
        <v>10</v>
      </c>
      <c r="AR25" s="132">
        <f>7.9349-7.4486</f>
        <v>0.48629999999999995</v>
      </c>
      <c r="BA25" s="132" t="s">
        <v>10</v>
      </c>
      <c r="BB25" s="132">
        <v>0.60040000000000004</v>
      </c>
      <c r="BC25" s="132" t="s">
        <v>10</v>
      </c>
      <c r="BD25" s="132">
        <v>-5.7799999999999997E-2</v>
      </c>
    </row>
    <row r="26" spans="2:62" x14ac:dyDescent="0.25">
      <c r="B26" s="25" t="s">
        <v>0</v>
      </c>
      <c r="C26" s="25">
        <v>2.1</v>
      </c>
      <c r="D26" s="25"/>
      <c r="E26" s="25"/>
      <c r="F26" s="25"/>
      <c r="O26" s="132"/>
      <c r="P26" s="132"/>
      <c r="Q26" s="132"/>
      <c r="R26" s="132" t="s">
        <v>0</v>
      </c>
      <c r="S26" s="132">
        <v>2.1</v>
      </c>
      <c r="W26" s="132"/>
      <c r="X26" s="132" t="s">
        <v>0</v>
      </c>
      <c r="Y26" s="132">
        <v>2.1</v>
      </c>
      <c r="AK26" s="132"/>
      <c r="AL26" s="132" t="s">
        <v>0</v>
      </c>
      <c r="AM26" s="132">
        <v>2.1</v>
      </c>
      <c r="AT26" s="132"/>
      <c r="AU26" s="132" t="s">
        <v>0</v>
      </c>
      <c r="AV26" s="132">
        <v>2.1</v>
      </c>
      <c r="BH26" s="132"/>
      <c r="BI26" s="132" t="s">
        <v>0</v>
      </c>
      <c r="BJ26" s="132">
        <v>2.1</v>
      </c>
    </row>
    <row r="27" spans="2:62" x14ac:dyDescent="0.25">
      <c r="B27" s="1" t="s">
        <v>4</v>
      </c>
      <c r="C27" s="1" t="s">
        <v>5</v>
      </c>
      <c r="D27" s="1">
        <v>1</v>
      </c>
      <c r="E27" s="1">
        <v>2</v>
      </c>
      <c r="F27" s="1">
        <v>3</v>
      </c>
      <c r="O27" s="132" t="s">
        <v>8</v>
      </c>
      <c r="P27" s="132">
        <v>7.1499999999999994E-2</v>
      </c>
      <c r="Q27" s="132" t="s">
        <v>13</v>
      </c>
      <c r="R27" s="1" t="s">
        <v>4</v>
      </c>
      <c r="S27" s="1" t="s">
        <v>5</v>
      </c>
      <c r="W27" s="143" t="s">
        <v>26</v>
      </c>
      <c r="X27" s="1" t="s">
        <v>4</v>
      </c>
      <c r="Y27" s="1" t="s">
        <v>5</v>
      </c>
      <c r="AH27" s="132" t="s">
        <v>8</v>
      </c>
      <c r="AI27">
        <v>7.7700000000000005E-2</v>
      </c>
      <c r="AK27" s="144" t="s">
        <v>29</v>
      </c>
      <c r="AL27" s="1" t="s">
        <v>4</v>
      </c>
      <c r="AM27" s="1" t="s">
        <v>5</v>
      </c>
      <c r="AO27" s="132" t="s">
        <v>8</v>
      </c>
      <c r="AP27" s="132">
        <v>7.1499999999999994E-2</v>
      </c>
      <c r="AT27" s="145" t="s">
        <v>30</v>
      </c>
      <c r="AU27" s="1" t="s">
        <v>4</v>
      </c>
      <c r="AV27" s="1" t="s">
        <v>5</v>
      </c>
      <c r="BE27" s="132" t="s">
        <v>8</v>
      </c>
      <c r="BF27" s="132">
        <v>7.1999999999999995E-2</v>
      </c>
      <c r="BH27" s="146" t="s">
        <v>32</v>
      </c>
      <c r="BI27" s="1" t="s">
        <v>4</v>
      </c>
      <c r="BJ27" s="1" t="s">
        <v>5</v>
      </c>
    </row>
    <row r="28" spans="2:62" x14ac:dyDescent="0.25">
      <c r="B28" s="1">
        <v>14</v>
      </c>
      <c r="C28" s="1">
        <f>AVERAGE(E28,F28,D28)</f>
        <v>30.459827666666666</v>
      </c>
      <c r="D28" s="3">
        <v>30.244745000000002</v>
      </c>
      <c r="E28" s="3">
        <v>30.131936</v>
      </c>
      <c r="F28" s="3">
        <v>31.002801999999999</v>
      </c>
      <c r="O28" s="132" t="s">
        <v>9</v>
      </c>
      <c r="P28" s="132">
        <v>0.3644</v>
      </c>
      <c r="Q28" s="132" t="s">
        <v>15</v>
      </c>
      <c r="R28" s="1">
        <v>14</v>
      </c>
      <c r="S28" s="1">
        <f>((R28*R28)*($P$27+$Q$408))+(R28*($P$28+$S$408))+($P$29+$U$408)</f>
        <v>33.449600000000004</v>
      </c>
      <c r="W28" s="143" t="s">
        <v>25</v>
      </c>
      <c r="X28" s="1">
        <v>14</v>
      </c>
      <c r="Y28" s="1">
        <f>((X28*X28)*($P$27+$C$458))+(X28*($P$28+$C$459))+($P$29+$C$460)</f>
        <v>31.590899999999998</v>
      </c>
      <c r="AH28" s="132" t="s">
        <v>9</v>
      </c>
      <c r="AI28">
        <v>0.33779999999999999</v>
      </c>
      <c r="AK28" s="144" t="s">
        <v>25</v>
      </c>
      <c r="AL28" s="1">
        <v>14</v>
      </c>
      <c r="AM28" s="1">
        <f>((AL28*AL28)*($AI$27+$AC$24))+(AL28*($AI$28+$AE$24))+($AI$29+$AG$24)</f>
        <v>34.267400000000002</v>
      </c>
      <c r="AO28" s="132" t="s">
        <v>9</v>
      </c>
      <c r="AP28" s="132">
        <v>0.3644</v>
      </c>
      <c r="AT28" s="145">
        <v>12</v>
      </c>
      <c r="AU28" s="1">
        <v>14</v>
      </c>
      <c r="AV28" s="1">
        <f>((AU28*AU28)*($AP$27+$AP$23))+(AU28*($AP$28+$AP$24))+($AP$29+$AP$25)</f>
        <v>31.949100000000001</v>
      </c>
      <c r="BE28" s="132" t="s">
        <v>9</v>
      </c>
      <c r="BF28" s="132">
        <v>0.41110000000000002</v>
      </c>
      <c r="BH28" s="146" t="s">
        <v>33</v>
      </c>
      <c r="BI28" s="1">
        <v>14</v>
      </c>
      <c r="BJ28" s="1">
        <f>((BI28*BI28)*($BF$27+$BB$23))+(BI28*($BF$28+$BB$24))+($BF$29+$BB$25)</f>
        <v>34.632399999999997</v>
      </c>
    </row>
    <row r="29" spans="2:62" x14ac:dyDescent="0.25">
      <c r="B29" s="1">
        <v>13</v>
      </c>
      <c r="C29" s="1">
        <f t="shared" ref="C29:C46" si="11">AVERAGE(E29,F29,D29)</f>
        <v>28.651600666666667</v>
      </c>
      <c r="D29" s="3">
        <v>28.306319999999999</v>
      </c>
      <c r="E29" s="3">
        <v>28.379915</v>
      </c>
      <c r="F29" s="3">
        <v>29.268567000000001</v>
      </c>
      <c r="O29" s="132" t="s">
        <v>10</v>
      </c>
      <c r="P29" s="132">
        <v>11.621</v>
      </c>
      <c r="Q29" s="132" t="s">
        <v>16</v>
      </c>
      <c r="R29" s="1">
        <v>13</v>
      </c>
      <c r="S29" s="1">
        <f t="shared" ref="S29:S41" si="12">((R29*R29)*($P$27+$Q$408))+(R29*($P$28+$S$408))+($P$29+$U$408)</f>
        <v>30.438299999999998</v>
      </c>
      <c r="W29" s="143" t="s">
        <v>25</v>
      </c>
      <c r="X29" s="1">
        <v>13</v>
      </c>
      <c r="Y29" s="1">
        <f t="shared" ref="Y29:Y41" si="13">((X29*X29)*($P$27+$C$458))+(X29*($P$28+$C$459))+($P$29+$C$460)</f>
        <v>29.1355</v>
      </c>
      <c r="AH29" s="132" t="s">
        <v>10</v>
      </c>
      <c r="AI29">
        <v>11.596</v>
      </c>
      <c r="AK29" s="144" t="s">
        <v>25</v>
      </c>
      <c r="AL29" s="1">
        <v>13</v>
      </c>
      <c r="AM29" s="1">
        <f t="shared" ref="AM29:AM41" si="14">((AL29*AL29)*($AI$27+$AC$24))+(AL29*($AI$28+$AE$24))+($AI$29+$AG$24)</f>
        <v>31.115300000000001</v>
      </c>
      <c r="AO29" s="132" t="s">
        <v>10</v>
      </c>
      <c r="AP29" s="132">
        <v>11.621</v>
      </c>
      <c r="AT29" s="145">
        <v>12</v>
      </c>
      <c r="AU29" s="1">
        <v>13</v>
      </c>
      <c r="AV29" s="1">
        <f t="shared" ref="AV29:AV41" si="15">((AU29*AU29)*($AP$27+$AP$23))+(AU29*($AP$28+$AP$24))+($AP$29+$AP$25)</f>
        <v>29.579799999999999</v>
      </c>
      <c r="BE29" s="132" t="s">
        <v>10</v>
      </c>
      <c r="BF29" s="132">
        <v>12.052</v>
      </c>
      <c r="BH29" s="146" t="s">
        <v>33</v>
      </c>
      <c r="BI29" s="1">
        <v>13</v>
      </c>
      <c r="BJ29" s="1">
        <f t="shared" ref="BJ29:BJ41" si="16">((BI29*BI29)*($BF$27+$BB$23))+(BI29*($BF$28+$BB$24))+($BF$29+$BB$25)</f>
        <v>31.560899999999997</v>
      </c>
    </row>
    <row r="30" spans="2:62" x14ac:dyDescent="0.25">
      <c r="B30" s="1">
        <v>12</v>
      </c>
      <c r="C30" s="1">
        <f t="shared" si="11"/>
        <v>26.702331333333333</v>
      </c>
      <c r="D30" s="3">
        <v>26.435421999999999</v>
      </c>
      <c r="E30" s="3">
        <v>26.571393</v>
      </c>
      <c r="F30" s="3">
        <v>27.100179000000001</v>
      </c>
      <c r="O30" s="132"/>
      <c r="P30" s="132"/>
      <c r="Q30" s="132"/>
      <c r="R30" s="1">
        <v>12</v>
      </c>
      <c r="S30" s="1">
        <f t="shared" si="12"/>
        <v>27.656999999999996</v>
      </c>
      <c r="W30" s="143" t="s">
        <v>25</v>
      </c>
      <c r="X30" s="1">
        <v>12</v>
      </c>
      <c r="Y30" s="1">
        <f t="shared" si="13"/>
        <v>26.839500000000001</v>
      </c>
      <c r="AH30" s="132"/>
      <c r="AK30" s="144" t="s">
        <v>25</v>
      </c>
      <c r="AL30" s="1">
        <v>12</v>
      </c>
      <c r="AM30" s="1">
        <f t="shared" si="14"/>
        <v>28.2056</v>
      </c>
      <c r="AO30" s="132"/>
      <c r="AP30" s="132"/>
      <c r="AT30" s="145">
        <v>12</v>
      </c>
      <c r="AU30" s="1">
        <v>12</v>
      </c>
      <c r="AV30" s="1">
        <f t="shared" si="15"/>
        <v>27.357300000000002</v>
      </c>
      <c r="BE30" s="132"/>
      <c r="BF30" s="132"/>
      <c r="BH30" s="146" t="s">
        <v>33</v>
      </c>
      <c r="BI30" s="1">
        <v>12</v>
      </c>
      <c r="BJ30" s="1">
        <f t="shared" si="16"/>
        <v>28.720399999999998</v>
      </c>
    </row>
    <row r="31" spans="2:62" x14ac:dyDescent="0.25">
      <c r="B31" s="1">
        <v>11</v>
      </c>
      <c r="C31" s="1">
        <f t="shared" si="11"/>
        <v>24.219609333333334</v>
      </c>
      <c r="D31" s="3">
        <v>24.098037000000001</v>
      </c>
      <c r="E31" s="3">
        <v>23.972653999999999</v>
      </c>
      <c r="F31" s="3">
        <v>24.588137</v>
      </c>
      <c r="O31" s="132"/>
      <c r="P31" s="132"/>
      <c r="Q31" s="132"/>
      <c r="R31" s="1">
        <v>11</v>
      </c>
      <c r="S31" s="1">
        <f t="shared" si="12"/>
        <v>25.105699999999999</v>
      </c>
      <c r="W31" s="143" t="s">
        <v>25</v>
      </c>
      <c r="X31" s="1">
        <v>11</v>
      </c>
      <c r="Y31" s="1">
        <f t="shared" si="13"/>
        <v>24.7029</v>
      </c>
      <c r="AH31" s="132"/>
      <c r="AK31" s="144" t="s">
        <v>25</v>
      </c>
      <c r="AL31" s="1">
        <v>11</v>
      </c>
      <c r="AM31" s="1">
        <f t="shared" si="14"/>
        <v>25.5383</v>
      </c>
      <c r="AO31" s="132"/>
      <c r="AP31" s="132"/>
      <c r="AT31" s="145">
        <v>12</v>
      </c>
      <c r="AU31" s="1">
        <v>11</v>
      </c>
      <c r="AV31" s="1">
        <f t="shared" si="15"/>
        <v>25.281599999999997</v>
      </c>
      <c r="BE31" s="132"/>
      <c r="BF31" s="132"/>
      <c r="BH31" s="146" t="s">
        <v>33</v>
      </c>
      <c r="BI31" s="1">
        <v>11</v>
      </c>
      <c r="BJ31" s="1">
        <f t="shared" si="16"/>
        <v>26.110900000000001</v>
      </c>
    </row>
    <row r="32" spans="2:62" x14ac:dyDescent="0.25">
      <c r="B32" s="1">
        <v>10</v>
      </c>
      <c r="C32" s="1">
        <f t="shared" si="11"/>
        <v>22.112529333333331</v>
      </c>
      <c r="D32" s="3">
        <v>22.169730000000001</v>
      </c>
      <c r="E32" s="3">
        <v>21.80621</v>
      </c>
      <c r="F32" s="3">
        <v>22.361647999999999</v>
      </c>
      <c r="O32" s="132"/>
      <c r="P32" s="132"/>
      <c r="Q32" s="132"/>
      <c r="R32" s="1">
        <v>10</v>
      </c>
      <c r="S32" s="1">
        <f t="shared" si="12"/>
        <v>22.784399999999998</v>
      </c>
      <c r="W32" s="143" t="s">
        <v>25</v>
      </c>
      <c r="X32" s="1">
        <v>10</v>
      </c>
      <c r="Y32" s="1">
        <f t="shared" si="13"/>
        <v>22.7257</v>
      </c>
      <c r="AH32" s="132"/>
      <c r="AK32" s="144" t="s">
        <v>25</v>
      </c>
      <c r="AL32" s="1">
        <v>10</v>
      </c>
      <c r="AM32" s="1">
        <f t="shared" si="14"/>
        <v>23.113400000000002</v>
      </c>
      <c r="AO32" s="132"/>
      <c r="AP32" s="132"/>
      <c r="AT32" s="145">
        <v>12</v>
      </c>
      <c r="AU32" s="1">
        <v>10</v>
      </c>
      <c r="AV32" s="1">
        <f t="shared" si="15"/>
        <v>23.352699999999999</v>
      </c>
      <c r="BE32" s="132"/>
      <c r="BF32" s="132"/>
      <c r="BH32" s="146" t="s">
        <v>33</v>
      </c>
      <c r="BI32" s="1">
        <v>10</v>
      </c>
      <c r="BJ32" s="1">
        <f t="shared" si="16"/>
        <v>23.732399999999998</v>
      </c>
    </row>
    <row r="33" spans="2:62" x14ac:dyDescent="0.25">
      <c r="B33" s="1">
        <v>9</v>
      </c>
      <c r="C33" s="1">
        <f t="shared" si="11"/>
        <v>20.594474000000002</v>
      </c>
      <c r="D33" s="3">
        <v>20.586759000000001</v>
      </c>
      <c r="E33" s="3">
        <v>20.280569</v>
      </c>
      <c r="F33" s="3">
        <v>20.916094000000001</v>
      </c>
      <c r="O33" s="132"/>
      <c r="P33" s="132"/>
      <c r="Q33" s="132"/>
      <c r="R33" s="1">
        <v>9</v>
      </c>
      <c r="S33" s="1">
        <f t="shared" si="12"/>
        <v>20.693100000000001</v>
      </c>
      <c r="W33" s="143" t="s">
        <v>25</v>
      </c>
      <c r="X33" s="1">
        <v>9</v>
      </c>
      <c r="Y33" s="1">
        <f t="shared" si="13"/>
        <v>20.907899999999998</v>
      </c>
      <c r="AH33" s="132"/>
      <c r="AK33" s="144" t="s">
        <v>25</v>
      </c>
      <c r="AL33" s="1">
        <v>9</v>
      </c>
      <c r="AM33" s="1">
        <f t="shared" si="14"/>
        <v>20.930900000000001</v>
      </c>
      <c r="AO33" s="132"/>
      <c r="AP33" s="132"/>
      <c r="AT33" s="145">
        <v>12</v>
      </c>
      <c r="AU33" s="1">
        <v>9</v>
      </c>
      <c r="AV33" s="1">
        <f t="shared" si="15"/>
        <v>21.570599999999999</v>
      </c>
      <c r="BE33" s="132"/>
      <c r="BF33" s="132"/>
      <c r="BH33" s="146" t="s">
        <v>33</v>
      </c>
      <c r="BI33" s="1">
        <v>9</v>
      </c>
      <c r="BJ33" s="1">
        <f t="shared" si="16"/>
        <v>21.584899999999998</v>
      </c>
    </row>
    <row r="34" spans="2:62" x14ac:dyDescent="0.25">
      <c r="B34" s="1">
        <v>8</v>
      </c>
      <c r="C34" s="1">
        <f t="shared" si="11"/>
        <v>19.279330666666667</v>
      </c>
      <c r="D34" s="3">
        <v>19.266030000000001</v>
      </c>
      <c r="E34" s="3">
        <v>18.997318</v>
      </c>
      <c r="F34" s="3">
        <v>19.574643999999999</v>
      </c>
      <c r="O34" s="132"/>
      <c r="P34" s="132"/>
      <c r="Q34" s="132"/>
      <c r="R34" s="1">
        <v>8</v>
      </c>
      <c r="S34" s="1">
        <f t="shared" si="12"/>
        <v>18.831800000000001</v>
      </c>
      <c r="W34" s="143" t="s">
        <v>25</v>
      </c>
      <c r="X34" s="1">
        <v>8</v>
      </c>
      <c r="Y34" s="1">
        <f t="shared" si="13"/>
        <v>19.249500000000001</v>
      </c>
      <c r="AH34" s="132"/>
      <c r="AK34" s="144" t="s">
        <v>25</v>
      </c>
      <c r="AL34" s="1">
        <v>8</v>
      </c>
      <c r="AM34" s="1">
        <f t="shared" si="14"/>
        <v>18.9908</v>
      </c>
      <c r="AO34" s="132"/>
      <c r="AP34" s="132"/>
      <c r="AT34" s="145">
        <v>12</v>
      </c>
      <c r="AU34" s="1">
        <v>8</v>
      </c>
      <c r="AV34" s="1">
        <f t="shared" si="15"/>
        <v>19.935299999999998</v>
      </c>
      <c r="BE34" s="132"/>
      <c r="BF34" s="132"/>
      <c r="BH34" s="146" t="s">
        <v>33</v>
      </c>
      <c r="BI34" s="1">
        <v>8</v>
      </c>
      <c r="BJ34" s="1">
        <f t="shared" si="16"/>
        <v>19.668399999999998</v>
      </c>
    </row>
    <row r="35" spans="2:62" x14ac:dyDescent="0.25">
      <c r="B35" s="1">
        <v>7</v>
      </c>
      <c r="C35" s="1">
        <f t="shared" si="11"/>
        <v>17.733447999999999</v>
      </c>
      <c r="D35" s="3">
        <v>17.675602999999999</v>
      </c>
      <c r="E35" s="3">
        <v>17.511327000000001</v>
      </c>
      <c r="F35" s="3">
        <v>18.013414000000001</v>
      </c>
      <c r="O35" s="132"/>
      <c r="P35" s="132"/>
      <c r="Q35" s="132"/>
      <c r="R35" s="1">
        <v>7</v>
      </c>
      <c r="S35" s="1">
        <f t="shared" si="12"/>
        <v>17.200499999999998</v>
      </c>
      <c r="W35" s="143" t="s">
        <v>25</v>
      </c>
      <c r="X35" s="1">
        <v>7</v>
      </c>
      <c r="Y35" s="1">
        <f t="shared" si="13"/>
        <v>17.750500000000002</v>
      </c>
      <c r="AH35" s="132"/>
      <c r="AK35" s="144" t="s">
        <v>25</v>
      </c>
      <c r="AL35" s="1">
        <v>7</v>
      </c>
      <c r="AM35" s="1">
        <f t="shared" si="14"/>
        <v>17.293100000000003</v>
      </c>
      <c r="AO35" s="132"/>
      <c r="AP35" s="132"/>
      <c r="AT35" s="145">
        <v>12</v>
      </c>
      <c r="AU35" s="1">
        <v>7</v>
      </c>
      <c r="AV35" s="1">
        <f t="shared" si="15"/>
        <v>18.4468</v>
      </c>
      <c r="BE35" s="132"/>
      <c r="BF35" s="132"/>
      <c r="BH35" s="146" t="s">
        <v>33</v>
      </c>
      <c r="BI35" s="1">
        <v>7</v>
      </c>
      <c r="BJ35" s="1">
        <f t="shared" si="16"/>
        <v>17.982900000000001</v>
      </c>
    </row>
    <row r="36" spans="2:62" x14ac:dyDescent="0.25">
      <c r="B36" s="1">
        <v>6</v>
      </c>
      <c r="C36" s="1">
        <f t="shared" si="11"/>
        <v>16.405573333333333</v>
      </c>
      <c r="D36" s="3">
        <v>16.326906999999999</v>
      </c>
      <c r="E36" s="3">
        <v>16.242341</v>
      </c>
      <c r="F36" s="3">
        <v>16.647472</v>
      </c>
      <c r="O36" s="132"/>
      <c r="P36" s="132"/>
      <c r="Q36" s="132"/>
      <c r="R36" s="1">
        <v>6</v>
      </c>
      <c r="S36" s="1">
        <f t="shared" si="12"/>
        <v>15.799199999999999</v>
      </c>
      <c r="W36" s="143" t="s">
        <v>25</v>
      </c>
      <c r="X36" s="1">
        <v>6</v>
      </c>
      <c r="Y36" s="1">
        <f t="shared" si="13"/>
        <v>16.410900000000002</v>
      </c>
      <c r="AH36" s="132"/>
      <c r="AK36" s="144" t="s">
        <v>25</v>
      </c>
      <c r="AL36" s="1">
        <v>6</v>
      </c>
      <c r="AM36" s="1">
        <f t="shared" si="14"/>
        <v>15.837800000000001</v>
      </c>
      <c r="AO36" s="132"/>
      <c r="AP36" s="132"/>
      <c r="AT36" s="145">
        <v>12</v>
      </c>
      <c r="AU36" s="1">
        <v>6</v>
      </c>
      <c r="AV36" s="1">
        <f t="shared" si="15"/>
        <v>17.1051</v>
      </c>
      <c r="BE36" s="132"/>
      <c r="BF36" s="132"/>
      <c r="BH36" s="146" t="s">
        <v>33</v>
      </c>
      <c r="BI36" s="1">
        <v>6</v>
      </c>
      <c r="BJ36" s="1">
        <f t="shared" si="16"/>
        <v>16.528399999999998</v>
      </c>
    </row>
    <row r="37" spans="2:62" x14ac:dyDescent="0.25">
      <c r="B37" s="1">
        <v>5</v>
      </c>
      <c r="C37" s="1">
        <f t="shared" si="11"/>
        <v>14.936234999999998</v>
      </c>
      <c r="D37" s="3">
        <v>14.761148</v>
      </c>
      <c r="E37" s="3">
        <v>14.862954</v>
      </c>
      <c r="F37" s="3">
        <v>15.184602999999999</v>
      </c>
      <c r="O37" s="132" t="s">
        <v>8</v>
      </c>
      <c r="P37" s="132">
        <v>1.6E-2</v>
      </c>
      <c r="Q37" s="132" t="s">
        <v>14</v>
      </c>
      <c r="R37" s="1">
        <v>5</v>
      </c>
      <c r="S37" s="1">
        <f t="shared" si="12"/>
        <v>14.6279</v>
      </c>
      <c r="W37" s="143" t="s">
        <v>25</v>
      </c>
      <c r="X37" s="1">
        <v>5</v>
      </c>
      <c r="Y37" s="1">
        <f t="shared" si="13"/>
        <v>15.230700000000001</v>
      </c>
      <c r="AH37" s="132" t="s">
        <v>8</v>
      </c>
      <c r="AI37">
        <v>1.5699999999999999E-2</v>
      </c>
      <c r="AK37" s="144" t="s">
        <v>25</v>
      </c>
      <c r="AL37" s="1">
        <v>5</v>
      </c>
      <c r="AM37" s="1">
        <f t="shared" si="14"/>
        <v>14.6249</v>
      </c>
      <c r="AO37" s="132" t="s">
        <v>8</v>
      </c>
      <c r="AP37" s="132">
        <v>1.6E-2</v>
      </c>
      <c r="AT37" s="145">
        <v>12</v>
      </c>
      <c r="AU37" s="1">
        <v>5</v>
      </c>
      <c r="AV37" s="1">
        <f t="shared" si="15"/>
        <v>15.9102</v>
      </c>
      <c r="BE37" s="132" t="s">
        <v>8</v>
      </c>
      <c r="BF37" s="132">
        <v>1.5699999999999999E-2</v>
      </c>
      <c r="BH37" s="146" t="s">
        <v>33</v>
      </c>
      <c r="BI37" s="1">
        <v>5</v>
      </c>
      <c r="BJ37" s="1">
        <f t="shared" si="16"/>
        <v>15.3049</v>
      </c>
    </row>
    <row r="38" spans="2:62" x14ac:dyDescent="0.25">
      <c r="B38" s="1">
        <v>4</v>
      </c>
      <c r="C38" s="1">
        <f t="shared" si="11"/>
        <v>14.411787666666667</v>
      </c>
      <c r="D38" s="3">
        <v>14.223445999999999</v>
      </c>
      <c r="E38" s="3">
        <v>14.36763</v>
      </c>
      <c r="F38" s="3">
        <v>14.644287</v>
      </c>
      <c r="O38" s="132" t="s">
        <v>9</v>
      </c>
      <c r="P38" s="132">
        <v>0.51949999999999996</v>
      </c>
      <c r="Q38" s="132" t="s">
        <v>17</v>
      </c>
      <c r="R38" s="1">
        <v>4</v>
      </c>
      <c r="S38" s="1">
        <f t="shared" si="12"/>
        <v>13.686599999999999</v>
      </c>
      <c r="W38" s="143" t="s">
        <v>25</v>
      </c>
      <c r="X38" s="1">
        <v>4</v>
      </c>
      <c r="Y38" s="1">
        <f t="shared" si="13"/>
        <v>14.209900000000001</v>
      </c>
      <c r="AH38" s="132" t="s">
        <v>9</v>
      </c>
      <c r="AI38">
        <v>0.51180000000000003</v>
      </c>
      <c r="AK38" s="144" t="s">
        <v>25</v>
      </c>
      <c r="AL38" s="1">
        <v>4</v>
      </c>
      <c r="AM38" s="1">
        <f t="shared" si="14"/>
        <v>13.654400000000001</v>
      </c>
      <c r="AO38" s="132" t="s">
        <v>9</v>
      </c>
      <c r="AP38" s="132">
        <v>0.51949999999999996</v>
      </c>
      <c r="AT38" s="145">
        <v>12</v>
      </c>
      <c r="AU38" s="1">
        <v>4</v>
      </c>
      <c r="AV38" s="1">
        <f t="shared" si="15"/>
        <v>14.862100000000002</v>
      </c>
      <c r="BE38" s="132" t="s">
        <v>9</v>
      </c>
      <c r="BF38" s="132">
        <v>0.53180000000000005</v>
      </c>
      <c r="BH38" s="146" t="s">
        <v>33</v>
      </c>
      <c r="BI38" s="1">
        <v>4</v>
      </c>
      <c r="BJ38" s="1">
        <f t="shared" si="16"/>
        <v>14.3124</v>
      </c>
    </row>
    <row r="39" spans="2:62" x14ac:dyDescent="0.25">
      <c r="B39" s="1">
        <v>3</v>
      </c>
      <c r="C39" s="1">
        <f t="shared" si="11"/>
        <v>13.288473666666667</v>
      </c>
      <c r="D39" s="3">
        <v>13.082373</v>
      </c>
      <c r="E39" s="3">
        <v>13.270028999999999</v>
      </c>
      <c r="F39" s="3">
        <v>13.513019</v>
      </c>
      <c r="O39" s="132" t="s">
        <v>10</v>
      </c>
      <c r="P39" s="132">
        <v>11.467000000000001</v>
      </c>
      <c r="Q39" s="132" t="s">
        <v>18</v>
      </c>
      <c r="R39" s="1">
        <v>3</v>
      </c>
      <c r="S39" s="1">
        <f t="shared" si="12"/>
        <v>12.975299999999999</v>
      </c>
      <c r="W39" s="143" t="s">
        <v>25</v>
      </c>
      <c r="X39" s="1">
        <v>3</v>
      </c>
      <c r="Y39" s="1">
        <f t="shared" si="13"/>
        <v>13.348500000000001</v>
      </c>
      <c r="AH39" s="132" t="s">
        <v>10</v>
      </c>
      <c r="AI39">
        <v>11.452999999999999</v>
      </c>
      <c r="AK39" s="144" t="s">
        <v>25</v>
      </c>
      <c r="AL39" s="1">
        <v>3</v>
      </c>
      <c r="AM39" s="1">
        <f t="shared" si="14"/>
        <v>12.926300000000001</v>
      </c>
      <c r="AO39" s="132" t="s">
        <v>10</v>
      </c>
      <c r="AP39" s="132">
        <v>11.467000000000001</v>
      </c>
      <c r="AT39" s="145">
        <v>12</v>
      </c>
      <c r="AU39" s="1">
        <v>3</v>
      </c>
      <c r="AV39" s="1">
        <f t="shared" si="15"/>
        <v>13.960800000000001</v>
      </c>
      <c r="BE39" s="132" t="s">
        <v>10</v>
      </c>
      <c r="BF39" s="132">
        <v>11.952999999999999</v>
      </c>
      <c r="BH39" s="146" t="s">
        <v>33</v>
      </c>
      <c r="BI39" s="1">
        <v>3</v>
      </c>
      <c r="BJ39" s="1">
        <f t="shared" si="16"/>
        <v>13.5509</v>
      </c>
    </row>
    <row r="40" spans="2:62" x14ac:dyDescent="0.25">
      <c r="B40" s="1">
        <v>2</v>
      </c>
      <c r="C40" s="1">
        <f t="shared" si="11"/>
        <v>12.719717666666668</v>
      </c>
      <c r="D40" s="3">
        <v>12.489964000000001</v>
      </c>
      <c r="E40" s="3">
        <v>12.738759999999999</v>
      </c>
      <c r="F40" s="3">
        <v>12.930429</v>
      </c>
      <c r="O40" s="132"/>
      <c r="P40" s="132"/>
      <c r="Q40" s="132"/>
      <c r="R40" s="1">
        <v>2</v>
      </c>
      <c r="S40" s="1">
        <f t="shared" si="12"/>
        <v>12.494</v>
      </c>
      <c r="W40" s="143" t="s">
        <v>25</v>
      </c>
      <c r="X40" s="1">
        <v>2</v>
      </c>
      <c r="Y40" s="1">
        <f t="shared" si="13"/>
        <v>12.646500000000001</v>
      </c>
      <c r="AK40" s="144" t="s">
        <v>25</v>
      </c>
      <c r="AL40" s="1">
        <v>2</v>
      </c>
      <c r="AM40" s="1">
        <f t="shared" si="14"/>
        <v>12.4406</v>
      </c>
      <c r="AT40" s="145">
        <v>12</v>
      </c>
      <c r="AU40" s="1">
        <v>2</v>
      </c>
      <c r="AV40" s="1">
        <f t="shared" si="15"/>
        <v>13.206300000000001</v>
      </c>
      <c r="BH40" s="146" t="s">
        <v>33</v>
      </c>
      <c r="BI40" s="1">
        <v>2</v>
      </c>
      <c r="BJ40" s="1">
        <f t="shared" si="16"/>
        <v>13.0204</v>
      </c>
    </row>
    <row r="41" spans="2:62" x14ac:dyDescent="0.25">
      <c r="B41" s="1">
        <v>1</v>
      </c>
      <c r="C41" s="1">
        <f t="shared" si="11"/>
        <v>12.122881</v>
      </c>
      <c r="D41" s="3">
        <v>11.885737000000001</v>
      </c>
      <c r="E41" s="3">
        <v>12.159694</v>
      </c>
      <c r="F41" s="3">
        <v>12.323212</v>
      </c>
      <c r="O41" s="132"/>
      <c r="P41" s="132"/>
      <c r="Q41" s="132"/>
      <c r="R41" s="1">
        <v>1</v>
      </c>
      <c r="S41" s="1">
        <f t="shared" si="12"/>
        <v>12.242699999999999</v>
      </c>
      <c r="W41" s="143" t="s">
        <v>25</v>
      </c>
      <c r="X41" s="1">
        <v>1</v>
      </c>
      <c r="Y41" s="1">
        <f t="shared" si="13"/>
        <v>12.103900000000001</v>
      </c>
      <c r="AK41" s="144" t="s">
        <v>25</v>
      </c>
      <c r="AL41" s="1">
        <v>1</v>
      </c>
      <c r="AM41" s="1">
        <f t="shared" si="14"/>
        <v>12.1973</v>
      </c>
      <c r="AT41" s="145">
        <v>12</v>
      </c>
      <c r="AU41" s="1">
        <v>1</v>
      </c>
      <c r="AV41" s="1">
        <f t="shared" si="15"/>
        <v>12.598600000000001</v>
      </c>
      <c r="BH41" s="146" t="s">
        <v>33</v>
      </c>
      <c r="BI41" s="1">
        <v>1</v>
      </c>
      <c r="BJ41" s="1">
        <f t="shared" si="16"/>
        <v>12.7209</v>
      </c>
    </row>
    <row r="42" spans="2:62" x14ac:dyDescent="0.25">
      <c r="B42" s="1">
        <v>0</v>
      </c>
      <c r="C42" s="1">
        <f t="shared" si="11"/>
        <v>11.551936</v>
      </c>
      <c r="D42" s="3">
        <v>11.342053999999999</v>
      </c>
      <c r="E42" s="3">
        <v>11.599688</v>
      </c>
      <c r="F42" s="3">
        <v>11.714066000000001</v>
      </c>
      <c r="O42" s="132"/>
      <c r="P42" s="132"/>
      <c r="Q42" s="132"/>
      <c r="R42" s="1">
        <v>0</v>
      </c>
      <c r="S42" s="1">
        <f>((R42*R42)*($P$37+$Q$409))+(R42*($P$38+$S$409))+($P$39+$U$409)</f>
        <v>11.4092</v>
      </c>
      <c r="W42" s="143" t="s">
        <v>25</v>
      </c>
      <c r="X42" s="1">
        <v>0</v>
      </c>
      <c r="Y42" s="1">
        <f>((X42*X42)*($P$37+$E$458))+(X42*($P$38+$E$459))+($P$39+$E$460)</f>
        <v>11.4527</v>
      </c>
      <c r="AK42" s="144" t="s">
        <v>25</v>
      </c>
      <c r="AL42" s="1">
        <v>0</v>
      </c>
      <c r="AM42" s="1">
        <f>((AL42*AL42)*($AI$37+$AC$25))+(AL42*($AI$38+$AE$25))+($AI$39+$AG$25)</f>
        <v>11.395199999999999</v>
      </c>
      <c r="AT42" s="145">
        <v>12</v>
      </c>
      <c r="AU42" s="1">
        <v>0</v>
      </c>
      <c r="AV42" s="1">
        <f>((AU42*AU42)*($AP$37+$AR$23))+(AU42*($AP$38+$AR$24))+($AP$39+$AR$25)</f>
        <v>11.9533</v>
      </c>
      <c r="BH42" s="146" t="s">
        <v>33</v>
      </c>
      <c r="BI42" s="1">
        <v>0</v>
      </c>
      <c r="BJ42" s="1">
        <f>((BI42*BI42)*($BF$37+$BD$23))+(BI42*($BF$38+$BD$24))+($BF$39+$BD$25)</f>
        <v>11.895199999999999</v>
      </c>
    </row>
    <row r="43" spans="2:62" x14ac:dyDescent="0.25">
      <c r="B43" s="1">
        <v>-5</v>
      </c>
      <c r="C43" s="1">
        <f t="shared" si="11"/>
        <v>9.0830956666666669</v>
      </c>
      <c r="D43" s="3">
        <v>8.8819759999999999</v>
      </c>
      <c r="E43" s="3">
        <v>9.1547889999999992</v>
      </c>
      <c r="F43" s="3">
        <v>9.2125219999999999</v>
      </c>
      <c r="O43" s="132"/>
      <c r="P43" s="132"/>
      <c r="Q43" s="132"/>
      <c r="R43" s="1">
        <v>-5</v>
      </c>
      <c r="S43" s="1">
        <f t="shared" ref="S43:S46" si="17">((R43*R43)*($P$37+$Q$409))+(R43*($P$38+$S$409))+($P$39+$U$409)</f>
        <v>9.2051999999999996</v>
      </c>
      <c r="W43" s="143" t="s">
        <v>25</v>
      </c>
      <c r="X43" s="1">
        <v>-5</v>
      </c>
      <c r="Y43" s="1">
        <f t="shared" ref="Y43:Y46" si="18">((X43*X43)*($P$37+$E$458))+(X43*($P$38+$E$459))+($P$39+$E$460)</f>
        <v>9.2862000000000009</v>
      </c>
      <c r="AK43" s="144" t="s">
        <v>25</v>
      </c>
      <c r="AL43" s="1">
        <v>-5</v>
      </c>
      <c r="AM43" s="1">
        <f t="shared" ref="AM43:AM46" si="19">((AL43*AL43)*($AI$37+$AC$25))+(AL43*($AI$38+$AE$25))+($AI$39+$AG$25)</f>
        <v>9.2221999999999991</v>
      </c>
      <c r="AT43" s="145">
        <v>12</v>
      </c>
      <c r="AU43" s="1">
        <v>-5</v>
      </c>
      <c r="AV43" s="1">
        <f t="shared" ref="AV43:AV46" si="20">((AU43*AU43)*($AP$37+$AR$23))+(AU43*($AP$38+$AR$24))+($AP$39+$AR$25)</f>
        <v>9.6868000000000016</v>
      </c>
      <c r="BH43" s="146" t="s">
        <v>33</v>
      </c>
      <c r="BI43" s="1">
        <v>-5</v>
      </c>
      <c r="BJ43" s="1">
        <f t="shared" ref="BJ43:BJ46" si="21">((BI43*BI43)*($BF$37+$BD$23))+(BI43*($BF$38+$BD$24))+($BF$39+$BD$25)</f>
        <v>9.6221999999999994</v>
      </c>
    </row>
    <row r="44" spans="2:62" x14ac:dyDescent="0.25">
      <c r="B44" s="1">
        <v>-10</v>
      </c>
      <c r="C44" s="1">
        <f t="shared" si="11"/>
        <v>7.9102059999999996</v>
      </c>
      <c r="D44" s="3">
        <v>7.7566329999999999</v>
      </c>
      <c r="E44" s="3">
        <v>7.9743170000000001</v>
      </c>
      <c r="F44" s="3">
        <v>7.9996679999999998</v>
      </c>
      <c r="O44" s="132"/>
      <c r="P44" s="132"/>
      <c r="Q44" s="132"/>
      <c r="R44" s="1">
        <v>-10</v>
      </c>
      <c r="S44" s="1">
        <f t="shared" si="17"/>
        <v>7.8112000000000004</v>
      </c>
      <c r="W44" s="143" t="s">
        <v>25</v>
      </c>
      <c r="X44" s="1">
        <v>-10</v>
      </c>
      <c r="Y44" s="1">
        <f t="shared" si="18"/>
        <v>7.9047000000000001</v>
      </c>
      <c r="AK44" s="144" t="s">
        <v>25</v>
      </c>
      <c r="AL44" s="1">
        <v>-10</v>
      </c>
      <c r="AM44" s="1">
        <f t="shared" si="19"/>
        <v>7.844199999999999</v>
      </c>
      <c r="AT44" s="145">
        <v>12</v>
      </c>
      <c r="AU44" s="1">
        <v>-10</v>
      </c>
      <c r="AV44" s="1">
        <f t="shared" si="20"/>
        <v>8.2053000000000011</v>
      </c>
      <c r="BH44" s="146" t="s">
        <v>33</v>
      </c>
      <c r="BI44" s="1">
        <v>-10</v>
      </c>
      <c r="BJ44" s="1">
        <f t="shared" si="21"/>
        <v>8.1441999999999979</v>
      </c>
    </row>
    <row r="45" spans="2:62" x14ac:dyDescent="0.25">
      <c r="B45" s="1">
        <v>-15</v>
      </c>
      <c r="C45" s="1">
        <f t="shared" si="11"/>
        <v>7.3919136666666674</v>
      </c>
      <c r="D45" s="3">
        <v>7.2769510000000004</v>
      </c>
      <c r="E45" s="3">
        <v>7.4507820000000002</v>
      </c>
      <c r="F45" s="3">
        <v>7.4480079999999997</v>
      </c>
      <c r="O45" s="132"/>
      <c r="P45" s="132"/>
      <c r="Q45" s="132"/>
      <c r="R45" s="1">
        <v>-15</v>
      </c>
      <c r="S45" s="1">
        <f t="shared" si="17"/>
        <v>7.2271999999999998</v>
      </c>
      <c r="W45" s="143" t="s">
        <v>25</v>
      </c>
      <c r="X45" s="1">
        <v>-15</v>
      </c>
      <c r="Y45" s="1">
        <f t="shared" si="18"/>
        <v>7.3081999999999994</v>
      </c>
      <c r="AK45" s="144" t="s">
        <v>25</v>
      </c>
      <c r="AL45" s="1">
        <v>-15</v>
      </c>
      <c r="AM45" s="1">
        <f t="shared" si="19"/>
        <v>7.2611999999999988</v>
      </c>
      <c r="AT45" s="145">
        <v>12</v>
      </c>
      <c r="AU45" s="1">
        <v>-15</v>
      </c>
      <c r="AV45" s="1">
        <f t="shared" si="20"/>
        <v>7.5088000000000008</v>
      </c>
      <c r="BH45" s="146" t="s">
        <v>33</v>
      </c>
      <c r="BI45" s="1">
        <v>-15</v>
      </c>
      <c r="BJ45" s="1">
        <f t="shared" si="21"/>
        <v>7.4611999999999981</v>
      </c>
    </row>
    <row r="46" spans="2:62" x14ac:dyDescent="0.25">
      <c r="B46" s="1">
        <v>-20</v>
      </c>
      <c r="C46" s="1">
        <f t="shared" si="11"/>
        <v>7.3876816666666665</v>
      </c>
      <c r="D46" s="3">
        <v>7.28925</v>
      </c>
      <c r="E46" s="3">
        <v>7.4277519999999999</v>
      </c>
      <c r="F46" s="3">
        <v>7.4460430000000004</v>
      </c>
      <c r="O46" s="132"/>
      <c r="P46" s="132"/>
      <c r="Q46" s="132"/>
      <c r="R46" s="1">
        <v>-20</v>
      </c>
      <c r="S46" s="1">
        <f t="shared" si="17"/>
        <v>7.4531999999999998</v>
      </c>
      <c r="W46" s="143" t="s">
        <v>25</v>
      </c>
      <c r="X46" s="1">
        <v>-20</v>
      </c>
      <c r="Y46" s="1">
        <f t="shared" si="18"/>
        <v>7.4966999999999988</v>
      </c>
      <c r="AK46" s="144" t="s">
        <v>25</v>
      </c>
      <c r="AL46" s="1">
        <v>-20</v>
      </c>
      <c r="AM46" s="1">
        <f t="shared" si="19"/>
        <v>7.4731999999999985</v>
      </c>
      <c r="AT46" s="145">
        <v>12</v>
      </c>
      <c r="AU46" s="1">
        <v>-20</v>
      </c>
      <c r="AV46" s="1">
        <f t="shared" si="20"/>
        <v>7.5973000000000006</v>
      </c>
      <c r="BH46" s="146" t="s">
        <v>33</v>
      </c>
      <c r="BI46" s="1">
        <v>-20</v>
      </c>
      <c r="BJ46" s="1">
        <f t="shared" si="21"/>
        <v>7.5731999999999982</v>
      </c>
    </row>
    <row r="50" spans="2:62" x14ac:dyDescent="0.25">
      <c r="B50" s="26" t="s">
        <v>0</v>
      </c>
      <c r="C50" s="26">
        <v>2.2000000000000002</v>
      </c>
      <c r="D50" s="26"/>
      <c r="E50" s="26"/>
      <c r="F50" s="26"/>
      <c r="O50" s="132"/>
      <c r="P50" s="132"/>
      <c r="Q50" s="132"/>
      <c r="R50" s="132" t="s">
        <v>0</v>
      </c>
      <c r="S50" s="132">
        <v>2.2000000000000002</v>
      </c>
      <c r="W50" s="132"/>
      <c r="X50" s="132" t="s">
        <v>0</v>
      </c>
      <c r="Y50" s="132">
        <v>2.2000000000000002</v>
      </c>
      <c r="AK50" s="132"/>
      <c r="AL50" s="132" t="s">
        <v>0</v>
      </c>
      <c r="AM50" s="132">
        <v>2.2000000000000002</v>
      </c>
      <c r="AT50" s="132"/>
      <c r="AU50" s="132" t="s">
        <v>0</v>
      </c>
      <c r="AV50" s="132">
        <v>2.2000000000000002</v>
      </c>
      <c r="BH50" s="132"/>
      <c r="BI50" s="132" t="s">
        <v>0</v>
      </c>
      <c r="BJ50" s="132">
        <v>2.2000000000000002</v>
      </c>
    </row>
    <row r="51" spans="2:62" x14ac:dyDescent="0.25">
      <c r="B51" s="1" t="s">
        <v>4</v>
      </c>
      <c r="C51" s="1" t="s">
        <v>5</v>
      </c>
      <c r="D51" s="1">
        <v>1</v>
      </c>
      <c r="E51" s="1">
        <v>2</v>
      </c>
      <c r="F51" s="1">
        <v>3</v>
      </c>
      <c r="O51" s="132" t="s">
        <v>8</v>
      </c>
      <c r="P51" s="132">
        <v>6.7900000000000002E-2</v>
      </c>
      <c r="Q51" s="132" t="s">
        <v>13</v>
      </c>
      <c r="R51" s="1" t="s">
        <v>4</v>
      </c>
      <c r="S51" s="1" t="s">
        <v>5</v>
      </c>
      <c r="W51" s="143" t="s">
        <v>26</v>
      </c>
      <c r="X51" s="1" t="s">
        <v>4</v>
      </c>
      <c r="Y51" s="1" t="s">
        <v>5</v>
      </c>
      <c r="AH51" s="132" t="s">
        <v>8</v>
      </c>
      <c r="AI51">
        <v>7.4200000000000002E-2</v>
      </c>
      <c r="AK51" s="144" t="s">
        <v>29</v>
      </c>
      <c r="AL51" s="1" t="s">
        <v>4</v>
      </c>
      <c r="AM51" s="1" t="s">
        <v>5</v>
      </c>
      <c r="AO51" s="132" t="s">
        <v>8</v>
      </c>
      <c r="AP51" s="132">
        <v>6.7900000000000002E-2</v>
      </c>
      <c r="AT51" s="145" t="s">
        <v>30</v>
      </c>
      <c r="AU51" s="1" t="s">
        <v>4</v>
      </c>
      <c r="AV51" s="1" t="s">
        <v>5</v>
      </c>
      <c r="BE51" s="132" t="s">
        <v>8</v>
      </c>
      <c r="BF51" s="132">
        <v>6.8500000000000005E-2</v>
      </c>
      <c r="BH51" s="146" t="s">
        <v>32</v>
      </c>
      <c r="BI51" s="1" t="s">
        <v>4</v>
      </c>
      <c r="BJ51" s="1" t="s">
        <v>5</v>
      </c>
    </row>
    <row r="52" spans="2:62" x14ac:dyDescent="0.25">
      <c r="B52" s="1">
        <v>14</v>
      </c>
      <c r="C52" s="1">
        <f>AVERAGE(E52,F52,D52)</f>
        <v>29.185171333333333</v>
      </c>
      <c r="D52" s="3">
        <v>28.97326</v>
      </c>
      <c r="E52" s="3">
        <v>28.867857000000001</v>
      </c>
      <c r="F52" s="3">
        <v>29.714397000000002</v>
      </c>
      <c r="O52" s="132" t="s">
        <v>9</v>
      </c>
      <c r="P52" s="132">
        <v>0.35420000000000001</v>
      </c>
      <c r="Q52" s="132" t="s">
        <v>15</v>
      </c>
      <c r="R52" s="1">
        <v>14</v>
      </c>
      <c r="S52" s="1">
        <f>((R52*R52)*($P$51+$Q$408))+(R52*($P$52+$S$408))+($P$53+$U$408)</f>
        <v>32.1252</v>
      </c>
      <c r="W52" s="143" t="s">
        <v>25</v>
      </c>
      <c r="X52" s="1">
        <v>14</v>
      </c>
      <c r="Y52" s="1">
        <f>((X52*X52)*($P$51+$C$458))+(X52*($P$52+$C$459))+($P$53+$C$460)</f>
        <v>30.266500000000001</v>
      </c>
      <c r="AH52" s="132" t="s">
        <v>9</v>
      </c>
      <c r="AI52">
        <v>0.32669999999999999</v>
      </c>
      <c r="AK52" s="144" t="s">
        <v>25</v>
      </c>
      <c r="AL52" s="1">
        <v>14</v>
      </c>
      <c r="AM52" s="1">
        <f>((AL52*AL52)*($AI$51+$AC$24))+(AL52*($AI$52+$AE$24))+($AI$53+$AG$24)</f>
        <v>32.952999999999996</v>
      </c>
      <c r="AO52" s="132" t="s">
        <v>9</v>
      </c>
      <c r="AP52" s="132">
        <v>0.35420000000000001</v>
      </c>
      <c r="AT52" s="145">
        <v>12</v>
      </c>
      <c r="AU52" s="1">
        <v>14</v>
      </c>
      <c r="AV52" s="1">
        <f>((AU52*AU52)*($AP$51+$AP$23))+(AU52*($AP$52+$AP$24))+($AP$53+$AP$25)</f>
        <v>30.624700000000001</v>
      </c>
      <c r="BE52" s="132" t="s">
        <v>9</v>
      </c>
      <c r="BF52" s="132">
        <v>0.4</v>
      </c>
      <c r="BH52" s="146" t="s">
        <v>33</v>
      </c>
      <c r="BI52" s="1">
        <v>14</v>
      </c>
      <c r="BJ52" s="1">
        <f>((BI52*BI52)*($BF$51+$BB$23))+(BI52*($BF$52+$BB$24))+($BF$53+$BB$25)</f>
        <v>33.317999999999998</v>
      </c>
    </row>
    <row r="53" spans="2:62" x14ac:dyDescent="0.25">
      <c r="B53" s="1">
        <v>13</v>
      </c>
      <c r="C53" s="1">
        <f t="shared" ref="C53:C70" si="22">AVERAGE(E53,F53,D53)</f>
        <v>27.328849666666667</v>
      </c>
      <c r="D53" s="3">
        <v>27.173555</v>
      </c>
      <c r="E53" s="3">
        <v>27.186848999999999</v>
      </c>
      <c r="F53" s="3">
        <v>27.626145000000001</v>
      </c>
      <c r="O53" s="132" t="s">
        <v>10</v>
      </c>
      <c r="P53" s="132">
        <v>11.145</v>
      </c>
      <c r="Q53" s="132" t="s">
        <v>16</v>
      </c>
      <c r="R53" s="1">
        <v>13</v>
      </c>
      <c r="S53" s="1">
        <f t="shared" ref="S53:S65" si="23">((R53*R53)*($P$51+$Q$408))+(R53*($P$52+$S$408))+($P$53+$U$408)</f>
        <v>29.221299999999999</v>
      </c>
      <c r="W53" s="143" t="s">
        <v>25</v>
      </c>
      <c r="X53" s="1">
        <v>13</v>
      </c>
      <c r="Y53" s="1">
        <f t="shared" ref="Y53:Y65" si="24">((X53*X53)*($P$51+$C$458))+(X53*($P$52+$C$459))+($P$53+$C$460)</f>
        <v>27.918500000000002</v>
      </c>
      <c r="AH53" s="132" t="s">
        <v>10</v>
      </c>
      <c r="AI53">
        <v>11.122999999999999</v>
      </c>
      <c r="AK53" s="144" t="s">
        <v>25</v>
      </c>
      <c r="AL53" s="1">
        <v>13</v>
      </c>
      <c r="AM53" s="1">
        <f t="shared" ref="AM53:AM65" si="25">((AL53*AL53)*($AI$51+$AC$24))+(AL53*($AI$52+$AE$24))+($AI$53+$AG$24)</f>
        <v>29.906500000000001</v>
      </c>
      <c r="AO53" s="132" t="s">
        <v>10</v>
      </c>
      <c r="AP53" s="132">
        <v>11.145</v>
      </c>
      <c r="AT53" s="145">
        <v>12</v>
      </c>
      <c r="AU53" s="1">
        <v>13</v>
      </c>
      <c r="AV53" s="1">
        <f t="shared" ref="AV53:AV65" si="26">((AU53*AU53)*($AP$51+$AP$23))+(AU53*($AP$52+$AP$24))+($AP$53+$AP$25)</f>
        <v>28.3628</v>
      </c>
      <c r="BE53" s="132" t="s">
        <v>10</v>
      </c>
      <c r="BF53" s="132">
        <v>11.579000000000001</v>
      </c>
      <c r="BH53" s="146" t="s">
        <v>33</v>
      </c>
      <c r="BI53" s="1">
        <v>13</v>
      </c>
      <c r="BJ53" s="1">
        <f t="shared" ref="BJ53:BJ65" si="27">((BI53*BI53)*($BF$51+$BB$23))+(BI53*($BF$52+$BB$24))+($BF$53+$BB$25)</f>
        <v>30.352100000000004</v>
      </c>
    </row>
    <row r="54" spans="2:62" x14ac:dyDescent="0.25">
      <c r="B54" s="1">
        <v>12</v>
      </c>
      <c r="C54" s="1">
        <f t="shared" si="22"/>
        <v>25.578404333333335</v>
      </c>
      <c r="D54" s="3">
        <v>25.340463</v>
      </c>
      <c r="E54" s="3">
        <v>25.458334000000001</v>
      </c>
      <c r="F54" s="3">
        <v>25.936416000000001</v>
      </c>
      <c r="O54" s="132"/>
      <c r="P54" s="132"/>
      <c r="Q54" s="132"/>
      <c r="R54" s="1">
        <v>12</v>
      </c>
      <c r="S54" s="1">
        <f t="shared" si="23"/>
        <v>26.540199999999999</v>
      </c>
      <c r="W54" s="143" t="s">
        <v>25</v>
      </c>
      <c r="X54" s="1">
        <v>12</v>
      </c>
      <c r="Y54" s="1">
        <f t="shared" si="24"/>
        <v>25.722700000000003</v>
      </c>
      <c r="AH54" s="132"/>
      <c r="AK54" s="144" t="s">
        <v>25</v>
      </c>
      <c r="AL54" s="1">
        <v>12</v>
      </c>
      <c r="AM54" s="1">
        <f t="shared" si="25"/>
        <v>27.095399999999998</v>
      </c>
      <c r="AO54" s="132"/>
      <c r="AP54" s="132"/>
      <c r="AT54" s="145">
        <v>12</v>
      </c>
      <c r="AU54" s="1">
        <v>12</v>
      </c>
      <c r="AV54" s="1">
        <f t="shared" si="26"/>
        <v>26.240500000000001</v>
      </c>
      <c r="BE54" s="132"/>
      <c r="BF54" s="132"/>
      <c r="BH54" s="146" t="s">
        <v>33</v>
      </c>
      <c r="BI54" s="1">
        <v>12</v>
      </c>
      <c r="BJ54" s="1">
        <f t="shared" si="27"/>
        <v>27.610199999999999</v>
      </c>
    </row>
    <row r="55" spans="2:62" x14ac:dyDescent="0.25">
      <c r="B55" s="1">
        <v>11</v>
      </c>
      <c r="C55" s="1">
        <f t="shared" si="22"/>
        <v>23.202244333333336</v>
      </c>
      <c r="D55" s="3">
        <v>23.105124</v>
      </c>
      <c r="E55" s="3">
        <v>22.973146</v>
      </c>
      <c r="F55" s="3">
        <v>23.528462999999999</v>
      </c>
      <c r="O55" s="132"/>
      <c r="P55" s="132"/>
      <c r="Q55" s="132"/>
      <c r="R55" s="1">
        <v>11</v>
      </c>
      <c r="S55" s="1">
        <f t="shared" si="23"/>
        <v>24.081900000000001</v>
      </c>
      <c r="W55" s="143" t="s">
        <v>25</v>
      </c>
      <c r="X55" s="1">
        <v>11</v>
      </c>
      <c r="Y55" s="1">
        <f t="shared" si="24"/>
        <v>23.679099999999998</v>
      </c>
      <c r="AH55" s="132"/>
      <c r="AK55" s="144" t="s">
        <v>25</v>
      </c>
      <c r="AL55" s="1">
        <v>11</v>
      </c>
      <c r="AM55" s="1">
        <f t="shared" si="25"/>
        <v>24.5197</v>
      </c>
      <c r="AO55" s="132"/>
      <c r="AP55" s="132"/>
      <c r="AT55" s="145">
        <v>12</v>
      </c>
      <c r="AU55" s="1">
        <v>11</v>
      </c>
      <c r="AV55" s="1">
        <f t="shared" si="26"/>
        <v>24.2578</v>
      </c>
      <c r="BE55" s="132"/>
      <c r="BF55" s="132"/>
      <c r="BH55" s="146" t="s">
        <v>33</v>
      </c>
      <c r="BI55" s="1">
        <v>11</v>
      </c>
      <c r="BJ55" s="1">
        <f t="shared" si="27"/>
        <v>25.092300000000002</v>
      </c>
    </row>
    <row r="56" spans="2:62" x14ac:dyDescent="0.25">
      <c r="B56" s="1">
        <v>10</v>
      </c>
      <c r="C56" s="1">
        <f t="shared" si="22"/>
        <v>21.188711999999999</v>
      </c>
      <c r="D56" s="3">
        <v>21.260676</v>
      </c>
      <c r="E56" s="3">
        <v>20.893333999999999</v>
      </c>
      <c r="F56" s="3">
        <v>21.412126000000001</v>
      </c>
      <c r="O56" s="132"/>
      <c r="P56" s="132"/>
      <c r="Q56" s="132"/>
      <c r="R56" s="1">
        <v>10</v>
      </c>
      <c r="S56" s="1">
        <f t="shared" si="23"/>
        <v>21.846400000000003</v>
      </c>
      <c r="W56" s="143" t="s">
        <v>25</v>
      </c>
      <c r="X56" s="1">
        <v>10</v>
      </c>
      <c r="Y56" s="1">
        <f t="shared" si="24"/>
        <v>21.787700000000001</v>
      </c>
      <c r="AH56" s="132"/>
      <c r="AK56" s="144" t="s">
        <v>25</v>
      </c>
      <c r="AL56" s="1">
        <v>10</v>
      </c>
      <c r="AM56" s="1">
        <f t="shared" si="25"/>
        <v>22.179399999999998</v>
      </c>
      <c r="AO56" s="132"/>
      <c r="AP56" s="132"/>
      <c r="AT56" s="145">
        <v>12</v>
      </c>
      <c r="AU56" s="1">
        <v>10</v>
      </c>
      <c r="AV56" s="1">
        <f t="shared" si="26"/>
        <v>22.4147</v>
      </c>
      <c r="BE56" s="132"/>
      <c r="BF56" s="132"/>
      <c r="BH56" s="146" t="s">
        <v>33</v>
      </c>
      <c r="BI56" s="1">
        <v>10</v>
      </c>
      <c r="BJ56" s="1">
        <f t="shared" si="27"/>
        <v>22.798400000000001</v>
      </c>
    </row>
    <row r="57" spans="2:62" x14ac:dyDescent="0.25">
      <c r="B57" s="1">
        <v>9</v>
      </c>
      <c r="C57" s="1">
        <f t="shared" si="22"/>
        <v>19.753423333333334</v>
      </c>
      <c r="D57" s="3">
        <v>19.755918000000001</v>
      </c>
      <c r="E57" s="3">
        <v>19.456413000000001</v>
      </c>
      <c r="F57" s="3">
        <v>20.047939</v>
      </c>
      <c r="O57" s="132"/>
      <c r="P57" s="132"/>
      <c r="Q57" s="132"/>
      <c r="R57" s="1">
        <v>9</v>
      </c>
      <c r="S57" s="1">
        <f t="shared" si="23"/>
        <v>19.8337</v>
      </c>
      <c r="W57" s="143" t="s">
        <v>25</v>
      </c>
      <c r="X57" s="1">
        <v>9</v>
      </c>
      <c r="Y57" s="1">
        <f t="shared" si="24"/>
        <v>20.048500000000001</v>
      </c>
      <c r="AH57" s="132"/>
      <c r="AK57" s="144" t="s">
        <v>25</v>
      </c>
      <c r="AL57" s="1">
        <v>9</v>
      </c>
      <c r="AM57" s="1">
        <f t="shared" si="25"/>
        <v>20.0745</v>
      </c>
      <c r="AO57" s="132"/>
      <c r="AP57" s="132"/>
      <c r="AT57" s="145">
        <v>12</v>
      </c>
      <c r="AU57" s="1">
        <v>9</v>
      </c>
      <c r="AV57" s="1">
        <f t="shared" si="26"/>
        <v>20.711199999999998</v>
      </c>
      <c r="BE57" s="132"/>
      <c r="BF57" s="132"/>
      <c r="BH57" s="146" t="s">
        <v>33</v>
      </c>
      <c r="BI57" s="1">
        <v>9</v>
      </c>
      <c r="BJ57" s="1">
        <f t="shared" si="27"/>
        <v>20.728500000000004</v>
      </c>
    </row>
    <row r="58" spans="2:62" x14ac:dyDescent="0.25">
      <c r="B58" s="1">
        <v>8</v>
      </c>
      <c r="C58" s="1">
        <f t="shared" si="22"/>
        <v>18.477855333333334</v>
      </c>
      <c r="D58" s="3">
        <v>18.47683</v>
      </c>
      <c r="E58" s="3">
        <v>18.211683000000001</v>
      </c>
      <c r="F58" s="3">
        <v>18.745052999999999</v>
      </c>
      <c r="O58" s="132"/>
      <c r="P58" s="132"/>
      <c r="Q58" s="132"/>
      <c r="R58" s="1">
        <v>8</v>
      </c>
      <c r="S58" s="1">
        <f t="shared" si="23"/>
        <v>18.043800000000001</v>
      </c>
      <c r="W58" s="143" t="s">
        <v>25</v>
      </c>
      <c r="X58" s="1">
        <v>8</v>
      </c>
      <c r="Y58" s="1">
        <f t="shared" si="24"/>
        <v>18.461500000000001</v>
      </c>
      <c r="AH58" s="132"/>
      <c r="AK58" s="144" t="s">
        <v>25</v>
      </c>
      <c r="AL58" s="1">
        <v>8</v>
      </c>
      <c r="AM58" s="1">
        <f t="shared" si="25"/>
        <v>18.204999999999998</v>
      </c>
      <c r="AO58" s="132"/>
      <c r="AP58" s="132"/>
      <c r="AT58" s="145">
        <v>12</v>
      </c>
      <c r="AU58" s="1">
        <v>8</v>
      </c>
      <c r="AV58" s="1">
        <f t="shared" si="26"/>
        <v>19.147300000000001</v>
      </c>
      <c r="BE58" s="132"/>
      <c r="BF58" s="132"/>
      <c r="BH58" s="146" t="s">
        <v>33</v>
      </c>
      <c r="BI58" s="1">
        <v>8</v>
      </c>
      <c r="BJ58" s="1">
        <f t="shared" si="27"/>
        <v>18.882600000000004</v>
      </c>
    </row>
    <row r="59" spans="2:62" x14ac:dyDescent="0.25">
      <c r="B59" s="1">
        <v>7</v>
      </c>
      <c r="C59" s="1">
        <f t="shared" si="22"/>
        <v>16.995684999999998</v>
      </c>
      <c r="D59" s="3">
        <v>16.957153999999999</v>
      </c>
      <c r="E59" s="3">
        <v>16.773472000000002</v>
      </c>
      <c r="F59" s="3">
        <v>17.256429000000001</v>
      </c>
      <c r="O59" s="132"/>
      <c r="P59" s="132"/>
      <c r="Q59" s="132"/>
      <c r="R59" s="1">
        <v>7</v>
      </c>
      <c r="S59" s="1">
        <f t="shared" si="23"/>
        <v>16.476700000000001</v>
      </c>
      <c r="W59" s="143" t="s">
        <v>25</v>
      </c>
      <c r="X59" s="1">
        <v>7</v>
      </c>
      <c r="Y59" s="1">
        <f t="shared" si="24"/>
        <v>17.026699999999998</v>
      </c>
      <c r="AH59" s="132"/>
      <c r="AK59" s="144" t="s">
        <v>25</v>
      </c>
      <c r="AL59" s="1">
        <v>7</v>
      </c>
      <c r="AM59" s="1">
        <f t="shared" si="25"/>
        <v>16.570899999999998</v>
      </c>
      <c r="AO59" s="132"/>
      <c r="AP59" s="132"/>
      <c r="AT59" s="145">
        <v>12</v>
      </c>
      <c r="AU59" s="1">
        <v>7</v>
      </c>
      <c r="AV59" s="1">
        <f t="shared" si="26"/>
        <v>17.722999999999999</v>
      </c>
      <c r="BE59" s="132"/>
      <c r="BF59" s="132"/>
      <c r="BH59" s="146" t="s">
        <v>33</v>
      </c>
      <c r="BI59" s="1">
        <v>7</v>
      </c>
      <c r="BJ59" s="1">
        <f t="shared" si="27"/>
        <v>17.2607</v>
      </c>
    </row>
    <row r="60" spans="2:62" x14ac:dyDescent="0.25">
      <c r="B60" s="1">
        <v>6</v>
      </c>
      <c r="C60" s="1">
        <f t="shared" si="22"/>
        <v>15.730502999999999</v>
      </c>
      <c r="D60" s="3">
        <v>15.652725</v>
      </c>
      <c r="E60" s="3">
        <v>15.578917000000001</v>
      </c>
      <c r="F60" s="3">
        <v>15.959866999999999</v>
      </c>
      <c r="O60" s="132"/>
      <c r="P60" s="132"/>
      <c r="Q60" s="132"/>
      <c r="R60" s="1">
        <v>6</v>
      </c>
      <c r="S60" s="1">
        <f t="shared" si="23"/>
        <v>15.132400000000001</v>
      </c>
      <c r="W60" s="143" t="s">
        <v>25</v>
      </c>
      <c r="X60" s="1">
        <v>6</v>
      </c>
      <c r="Y60" s="1">
        <f t="shared" si="24"/>
        <v>15.7441</v>
      </c>
      <c r="AH60" s="132"/>
      <c r="AK60" s="144" t="s">
        <v>25</v>
      </c>
      <c r="AL60" s="1">
        <v>6</v>
      </c>
      <c r="AM60" s="1">
        <f t="shared" si="25"/>
        <v>15.172199999999998</v>
      </c>
      <c r="AO60" s="132"/>
      <c r="AP60" s="132"/>
      <c r="AT60" s="145">
        <v>12</v>
      </c>
      <c r="AU60" s="1">
        <v>6</v>
      </c>
      <c r="AV60" s="1">
        <f t="shared" si="26"/>
        <v>16.438299999999998</v>
      </c>
      <c r="BE60" s="132"/>
      <c r="BF60" s="132"/>
      <c r="BH60" s="146" t="s">
        <v>33</v>
      </c>
      <c r="BI60" s="1">
        <v>6</v>
      </c>
      <c r="BJ60" s="1">
        <f t="shared" si="27"/>
        <v>15.862800000000002</v>
      </c>
    </row>
    <row r="61" spans="2:62" x14ac:dyDescent="0.25">
      <c r="B61" s="1">
        <v>5</v>
      </c>
      <c r="C61" s="1">
        <f t="shared" si="22"/>
        <v>14.332335</v>
      </c>
      <c r="D61" s="3">
        <v>14.164778999999999</v>
      </c>
      <c r="E61" s="3">
        <v>14.266556</v>
      </c>
      <c r="F61" s="3">
        <v>14.565670000000001</v>
      </c>
      <c r="O61" s="132" t="s">
        <v>8</v>
      </c>
      <c r="P61" s="132">
        <v>1.5299999999999999E-2</v>
      </c>
      <c r="Q61" s="132" t="s">
        <v>14</v>
      </c>
      <c r="R61" s="1">
        <v>5</v>
      </c>
      <c r="S61" s="1">
        <f t="shared" si="23"/>
        <v>14.010899999999999</v>
      </c>
      <c r="W61" s="143" t="s">
        <v>25</v>
      </c>
      <c r="X61" s="1">
        <v>5</v>
      </c>
      <c r="Y61" s="1">
        <f t="shared" si="24"/>
        <v>14.6137</v>
      </c>
      <c r="AH61" s="132" t="s">
        <v>8</v>
      </c>
      <c r="AI61">
        <v>1.4999999999999999E-2</v>
      </c>
      <c r="AK61" s="144" t="s">
        <v>25</v>
      </c>
      <c r="AL61" s="1">
        <v>5</v>
      </c>
      <c r="AM61" s="1">
        <f t="shared" si="25"/>
        <v>14.008899999999997</v>
      </c>
      <c r="AO61" s="132" t="s">
        <v>8</v>
      </c>
      <c r="AP61" s="132">
        <v>1.5299999999999999E-2</v>
      </c>
      <c r="AT61" s="145">
        <v>12</v>
      </c>
      <c r="AU61" s="1">
        <v>5</v>
      </c>
      <c r="AV61" s="1">
        <f t="shared" si="26"/>
        <v>15.293199999999999</v>
      </c>
      <c r="BE61" s="132" t="s">
        <v>8</v>
      </c>
      <c r="BF61" s="132">
        <v>1.4999999999999999E-2</v>
      </c>
      <c r="BH61" s="146" t="s">
        <v>33</v>
      </c>
      <c r="BI61" s="1">
        <v>5</v>
      </c>
      <c r="BJ61" s="1">
        <f t="shared" si="27"/>
        <v>14.688900000000002</v>
      </c>
    </row>
    <row r="62" spans="2:62" x14ac:dyDescent="0.25">
      <c r="B62" s="1">
        <v>4</v>
      </c>
      <c r="C62" s="1">
        <f t="shared" si="22"/>
        <v>13.829423333333333</v>
      </c>
      <c r="D62" s="3">
        <v>13.647270000000001</v>
      </c>
      <c r="E62" s="3">
        <v>13.781612000000001</v>
      </c>
      <c r="F62" s="3">
        <v>14.059388</v>
      </c>
      <c r="O62" s="132" t="s">
        <v>9</v>
      </c>
      <c r="P62" s="132">
        <v>0.4985</v>
      </c>
      <c r="Q62" s="132" t="s">
        <v>17</v>
      </c>
      <c r="R62" s="1">
        <v>4</v>
      </c>
      <c r="S62" s="1">
        <f t="shared" si="23"/>
        <v>13.1122</v>
      </c>
      <c r="W62" s="143" t="s">
        <v>25</v>
      </c>
      <c r="X62" s="1">
        <v>4</v>
      </c>
      <c r="Y62" s="1">
        <f t="shared" si="24"/>
        <v>13.6355</v>
      </c>
      <c r="AH62" s="132" t="s">
        <v>9</v>
      </c>
      <c r="AI62">
        <v>0.49080000000000001</v>
      </c>
      <c r="AK62" s="144" t="s">
        <v>25</v>
      </c>
      <c r="AL62" s="1">
        <v>4</v>
      </c>
      <c r="AM62" s="1">
        <f t="shared" si="25"/>
        <v>13.080999999999998</v>
      </c>
      <c r="AO62" s="132" t="s">
        <v>9</v>
      </c>
      <c r="AP62" s="132">
        <v>0.4985</v>
      </c>
      <c r="AT62" s="145">
        <v>12</v>
      </c>
      <c r="AU62" s="1">
        <v>4</v>
      </c>
      <c r="AV62" s="1">
        <f t="shared" si="26"/>
        <v>14.287700000000001</v>
      </c>
      <c r="BE62" s="132" t="s">
        <v>9</v>
      </c>
      <c r="BF62" s="132">
        <v>0.51080000000000003</v>
      </c>
      <c r="BH62" s="146" t="s">
        <v>33</v>
      </c>
      <c r="BI62" s="1">
        <v>4</v>
      </c>
      <c r="BJ62" s="1">
        <f t="shared" si="27"/>
        <v>13.739000000000001</v>
      </c>
    </row>
    <row r="63" spans="2:62" x14ac:dyDescent="0.25">
      <c r="B63" s="1">
        <v>3</v>
      </c>
      <c r="C63" s="1">
        <f t="shared" si="22"/>
        <v>12.753546666666665</v>
      </c>
      <c r="D63" s="3">
        <v>12.556079</v>
      </c>
      <c r="E63" s="3">
        <v>12.727162999999999</v>
      </c>
      <c r="F63" s="3">
        <v>12.977398000000001</v>
      </c>
      <c r="O63" s="132" t="s">
        <v>10</v>
      </c>
      <c r="P63" s="132">
        <v>10.997999999999999</v>
      </c>
      <c r="Q63" s="132" t="s">
        <v>18</v>
      </c>
      <c r="R63" s="1">
        <v>3</v>
      </c>
      <c r="S63" s="1">
        <f t="shared" si="23"/>
        <v>12.436299999999999</v>
      </c>
      <c r="W63" s="143" t="s">
        <v>25</v>
      </c>
      <c r="X63" s="1">
        <v>3</v>
      </c>
      <c r="Y63" s="1">
        <f t="shared" si="24"/>
        <v>12.8095</v>
      </c>
      <c r="AH63" s="132" t="s">
        <v>10</v>
      </c>
      <c r="AI63">
        <v>10.984</v>
      </c>
      <c r="AK63" s="144" t="s">
        <v>25</v>
      </c>
      <c r="AL63" s="1">
        <v>3</v>
      </c>
      <c r="AM63" s="1">
        <f t="shared" si="25"/>
        <v>12.388499999999999</v>
      </c>
      <c r="AO63" s="132" t="s">
        <v>10</v>
      </c>
      <c r="AP63" s="132">
        <v>10.997999999999999</v>
      </c>
      <c r="AT63" s="145">
        <v>12</v>
      </c>
      <c r="AU63" s="1">
        <v>3</v>
      </c>
      <c r="AV63" s="1">
        <f t="shared" si="26"/>
        <v>13.421799999999999</v>
      </c>
      <c r="BE63" s="132" t="s">
        <v>10</v>
      </c>
      <c r="BF63" s="132">
        <v>11.484</v>
      </c>
      <c r="BH63" s="146" t="s">
        <v>33</v>
      </c>
      <c r="BI63" s="1">
        <v>3</v>
      </c>
      <c r="BJ63" s="1">
        <f t="shared" si="27"/>
        <v>13.013100000000001</v>
      </c>
    </row>
    <row r="64" spans="2:62" x14ac:dyDescent="0.25">
      <c r="B64" s="1">
        <v>2</v>
      </c>
      <c r="C64" s="1">
        <f t="shared" si="22"/>
        <v>12.196350666666666</v>
      </c>
      <c r="D64" s="3">
        <v>11.986532</v>
      </c>
      <c r="E64" s="3">
        <v>12.199586999999999</v>
      </c>
      <c r="F64" s="3">
        <v>12.402933000000001</v>
      </c>
      <c r="O64" s="132"/>
      <c r="P64" s="132"/>
      <c r="Q64" s="132"/>
      <c r="R64" s="1">
        <v>2</v>
      </c>
      <c r="S64" s="1">
        <f t="shared" si="23"/>
        <v>11.9832</v>
      </c>
      <c r="W64" s="143" t="s">
        <v>25</v>
      </c>
      <c r="X64" s="1">
        <v>2</v>
      </c>
      <c r="Y64" s="1">
        <f t="shared" si="24"/>
        <v>12.1357</v>
      </c>
      <c r="AK64" s="144" t="s">
        <v>25</v>
      </c>
      <c r="AL64" s="1">
        <v>2</v>
      </c>
      <c r="AM64" s="1">
        <f t="shared" si="25"/>
        <v>11.931399999999998</v>
      </c>
      <c r="AT64" s="145">
        <v>12</v>
      </c>
      <c r="AU64" s="1">
        <v>2</v>
      </c>
      <c r="AV64" s="1">
        <f t="shared" si="26"/>
        <v>12.695499999999999</v>
      </c>
      <c r="BH64" s="146" t="s">
        <v>33</v>
      </c>
      <c r="BI64" s="1">
        <v>2</v>
      </c>
      <c r="BJ64" s="1">
        <f t="shared" si="27"/>
        <v>12.511200000000001</v>
      </c>
    </row>
    <row r="65" spans="2:62" x14ac:dyDescent="0.25">
      <c r="B65" s="1">
        <v>1</v>
      </c>
      <c r="C65" s="1">
        <f t="shared" si="22"/>
        <v>11.632294</v>
      </c>
      <c r="D65" s="3">
        <v>11.409795000000001</v>
      </c>
      <c r="E65" s="3">
        <v>11.650808</v>
      </c>
      <c r="F65" s="3">
        <v>11.836278999999999</v>
      </c>
      <c r="O65" s="132"/>
      <c r="P65" s="132"/>
      <c r="Q65" s="132"/>
      <c r="R65" s="1">
        <v>1</v>
      </c>
      <c r="S65" s="1">
        <f t="shared" si="23"/>
        <v>11.7529</v>
      </c>
      <c r="W65" s="143" t="s">
        <v>25</v>
      </c>
      <c r="X65" s="1">
        <v>1</v>
      </c>
      <c r="Y65" s="1">
        <f t="shared" si="24"/>
        <v>11.614100000000001</v>
      </c>
      <c r="AK65" s="144" t="s">
        <v>25</v>
      </c>
      <c r="AL65" s="1">
        <v>1</v>
      </c>
      <c r="AM65" s="1">
        <f t="shared" si="25"/>
        <v>11.709699999999998</v>
      </c>
      <c r="AT65" s="145">
        <v>12</v>
      </c>
      <c r="AU65" s="1">
        <v>1</v>
      </c>
      <c r="AV65" s="1">
        <f t="shared" si="26"/>
        <v>12.1088</v>
      </c>
      <c r="BH65" s="146" t="s">
        <v>33</v>
      </c>
      <c r="BI65" s="1">
        <v>1</v>
      </c>
      <c r="BJ65" s="1">
        <f t="shared" si="27"/>
        <v>12.233300000000002</v>
      </c>
    </row>
    <row r="66" spans="2:62" x14ac:dyDescent="0.25">
      <c r="B66" s="1">
        <v>0</v>
      </c>
      <c r="C66" s="1">
        <f t="shared" si="22"/>
        <v>11.080706333333334</v>
      </c>
      <c r="D66" s="3">
        <v>10.885221</v>
      </c>
      <c r="E66" s="3">
        <v>11.109594</v>
      </c>
      <c r="F66" s="3">
        <v>11.247304</v>
      </c>
      <c r="O66" s="132"/>
      <c r="P66" s="132"/>
      <c r="Q66" s="132"/>
      <c r="R66" s="1">
        <v>0</v>
      </c>
      <c r="S66" s="1">
        <f>((R66*R66)*($P$61+$Q$409))+(R66*($P$62+$S$409))+($P$63+$U$409)</f>
        <v>10.940199999999999</v>
      </c>
      <c r="W66" s="143" t="s">
        <v>25</v>
      </c>
      <c r="X66" s="1">
        <v>0</v>
      </c>
      <c r="Y66" s="1">
        <f>((X66*X66)*($P$61+$E$458))+(X66*($P$62+$E$459))+($P$63+$E$460)</f>
        <v>10.983699999999999</v>
      </c>
      <c r="AK66" s="144" t="s">
        <v>25</v>
      </c>
      <c r="AL66" s="1">
        <v>0</v>
      </c>
      <c r="AM66" s="1">
        <f>((AL66*AL66)*($AI$61+$AC$25))+(AL66*($AI$62+$AE$25))+($AI$63+$AG$25)</f>
        <v>10.9262</v>
      </c>
      <c r="AT66" s="145">
        <v>12</v>
      </c>
      <c r="AU66" s="1">
        <v>0</v>
      </c>
      <c r="AV66" s="1">
        <f t="shared" ref="AV66:AV69" si="28">((AU66*AU66)*($AP$61+$AR$23))+(AU66*($AP$62+$AR$24))+($AP$63+$AR$25)</f>
        <v>11.484299999999999</v>
      </c>
      <c r="BH66" s="146" t="s">
        <v>33</v>
      </c>
      <c r="BI66" s="1">
        <v>0</v>
      </c>
      <c r="BJ66" s="1">
        <f>((BI66*BI66)*($BF$61+$BD$23))+(BI66*($BF$62+$BD$24))+($BF$63+$BD$25)</f>
        <v>11.4262</v>
      </c>
    </row>
    <row r="67" spans="2:62" x14ac:dyDescent="0.25">
      <c r="B67" s="1">
        <v>-5</v>
      </c>
      <c r="C67" s="1">
        <f t="shared" si="22"/>
        <v>8.7092193333333334</v>
      </c>
      <c r="D67" s="3">
        <v>8.532978</v>
      </c>
      <c r="E67" s="3">
        <v>8.7647750000000002</v>
      </c>
      <c r="F67" s="3">
        <v>8.8299050000000001</v>
      </c>
      <c r="O67" s="132"/>
      <c r="P67" s="132"/>
      <c r="Q67" s="132"/>
      <c r="R67" s="1">
        <v>-5</v>
      </c>
      <c r="S67" s="1">
        <f t="shared" ref="S67:S70" si="29">((R67*R67)*($P$61+$Q$409))+(R67*($P$62+$S$409))+($P$63+$U$409)</f>
        <v>8.8236999999999988</v>
      </c>
      <c r="W67" s="143" t="s">
        <v>25</v>
      </c>
      <c r="X67" s="1">
        <v>-5</v>
      </c>
      <c r="Y67" s="1">
        <f t="shared" ref="Y67:Y70" si="30">((X67*X67)*($P$61+$E$458))+(X67*($P$62+$E$459))+($P$63+$E$460)</f>
        <v>8.9046999999999983</v>
      </c>
      <c r="AK67" s="144" t="s">
        <v>25</v>
      </c>
      <c r="AL67" s="1">
        <v>-5</v>
      </c>
      <c r="AM67" s="1">
        <f t="shared" ref="AM67:AM70" si="31">((AL67*AL67)*($AI$61+$AC$25))+(AL67*($AI$62+$AE$25))+($AI$63+$AG$25)</f>
        <v>8.8407</v>
      </c>
      <c r="AT67" s="145">
        <v>12</v>
      </c>
      <c r="AU67" s="1">
        <v>-5</v>
      </c>
      <c r="AV67" s="1">
        <f t="shared" si="28"/>
        <v>9.305299999999999</v>
      </c>
      <c r="BH67" s="146" t="s">
        <v>33</v>
      </c>
      <c r="BI67" s="1">
        <v>-5</v>
      </c>
      <c r="BJ67" s="1">
        <f t="shared" ref="BJ67:BJ70" si="32">((BI67*BI67)*($BF$61+$BD$23))+(BI67*($BF$62+$BD$24))+($BF$63+$BD$25)</f>
        <v>9.2407000000000004</v>
      </c>
    </row>
    <row r="68" spans="2:62" x14ac:dyDescent="0.25">
      <c r="B68" s="1">
        <v>-10</v>
      </c>
      <c r="C68" s="1">
        <f t="shared" si="22"/>
        <v>7.5870103333333345</v>
      </c>
      <c r="D68" s="3">
        <v>7.4463030000000003</v>
      </c>
      <c r="E68" s="3">
        <v>7.6486210000000003</v>
      </c>
      <c r="F68" s="3">
        <v>7.6661070000000002</v>
      </c>
      <c r="O68" s="132"/>
      <c r="P68" s="132"/>
      <c r="Q68" s="132"/>
      <c r="R68" s="1">
        <v>-10</v>
      </c>
      <c r="S68" s="1">
        <f t="shared" si="29"/>
        <v>7.4821999999999989</v>
      </c>
      <c r="W68" s="143" t="s">
        <v>25</v>
      </c>
      <c r="X68" s="1">
        <v>-10</v>
      </c>
      <c r="Y68" s="1">
        <f t="shared" si="30"/>
        <v>7.5756999999999985</v>
      </c>
      <c r="AK68" s="144" t="s">
        <v>25</v>
      </c>
      <c r="AL68" s="1">
        <v>-10</v>
      </c>
      <c r="AM68" s="1">
        <f t="shared" si="31"/>
        <v>7.5152000000000001</v>
      </c>
      <c r="AT68" s="145">
        <v>12</v>
      </c>
      <c r="AU68" s="1">
        <v>-10</v>
      </c>
      <c r="AV68" s="1">
        <f t="shared" si="28"/>
        <v>7.8763000000000005</v>
      </c>
      <c r="BH68" s="146" t="s">
        <v>33</v>
      </c>
      <c r="BI68" s="1">
        <v>-10</v>
      </c>
      <c r="BJ68" s="1">
        <f t="shared" si="32"/>
        <v>7.815199999999999</v>
      </c>
    </row>
    <row r="69" spans="2:62" x14ac:dyDescent="0.25">
      <c r="B69" s="1">
        <v>-15</v>
      </c>
      <c r="C69" s="1">
        <f t="shared" si="22"/>
        <v>7.092162000000001</v>
      </c>
      <c r="D69" s="3">
        <v>6.9925389999999998</v>
      </c>
      <c r="E69" s="3">
        <v>7.136895</v>
      </c>
      <c r="F69" s="3">
        <v>7.1470520000000004</v>
      </c>
      <c r="O69" s="132"/>
      <c r="P69" s="132"/>
      <c r="Q69" s="132"/>
      <c r="R69" s="1">
        <v>-15</v>
      </c>
      <c r="S69" s="1">
        <f t="shared" si="29"/>
        <v>6.9156999999999984</v>
      </c>
      <c r="W69" s="143" t="s">
        <v>25</v>
      </c>
      <c r="X69" s="1">
        <v>-15</v>
      </c>
      <c r="Y69" s="1">
        <f t="shared" si="30"/>
        <v>6.9966999999999988</v>
      </c>
      <c r="AK69" s="144" t="s">
        <v>25</v>
      </c>
      <c r="AL69" s="1">
        <v>-15</v>
      </c>
      <c r="AM69" s="1">
        <f t="shared" si="31"/>
        <v>6.9496999999999991</v>
      </c>
      <c r="AT69" s="145">
        <v>12</v>
      </c>
      <c r="AU69" s="1">
        <v>-15</v>
      </c>
      <c r="AV69" s="1">
        <f t="shared" si="28"/>
        <v>7.1973000000000003</v>
      </c>
      <c r="BH69" s="146" t="s">
        <v>33</v>
      </c>
      <c r="BI69" s="1">
        <v>-15</v>
      </c>
      <c r="BJ69" s="1">
        <f t="shared" si="32"/>
        <v>7.1496999999999993</v>
      </c>
    </row>
    <row r="70" spans="2:62" x14ac:dyDescent="0.25">
      <c r="B70" s="1">
        <v>-20</v>
      </c>
      <c r="C70" s="1">
        <f t="shared" si="22"/>
        <v>7.0891476666666664</v>
      </c>
      <c r="D70" s="3">
        <v>6.9873070000000004</v>
      </c>
      <c r="E70" s="3">
        <v>7.1302219999999998</v>
      </c>
      <c r="F70" s="3">
        <v>7.1499139999999999</v>
      </c>
      <c r="O70" s="132"/>
      <c r="P70" s="132"/>
      <c r="Q70" s="132"/>
      <c r="R70" s="1">
        <v>-20</v>
      </c>
      <c r="S70" s="1">
        <f t="shared" si="29"/>
        <v>7.1241999999999992</v>
      </c>
      <c r="W70" s="143" t="s">
        <v>25</v>
      </c>
      <c r="X70" s="1">
        <v>-20</v>
      </c>
      <c r="Y70" s="1">
        <f t="shared" si="30"/>
        <v>7.1676999999999982</v>
      </c>
      <c r="AK70" s="144" t="s">
        <v>25</v>
      </c>
      <c r="AL70" s="1">
        <v>-20</v>
      </c>
      <c r="AM70" s="1">
        <f t="shared" si="31"/>
        <v>7.1441999999999997</v>
      </c>
      <c r="AT70" s="145">
        <v>12</v>
      </c>
      <c r="AU70" s="1">
        <v>-20</v>
      </c>
      <c r="AV70" s="1">
        <f>((AU70*AU70)*($AP$61+$AR$23))+(AU70*($AP$62+$AR$24))+($AP$63+$AR$25)</f>
        <v>7.2683000000000018</v>
      </c>
      <c r="BH70" s="146" t="s">
        <v>33</v>
      </c>
      <c r="BI70" s="1">
        <v>-20</v>
      </c>
      <c r="BJ70" s="1">
        <f t="shared" si="32"/>
        <v>7.2441999999999993</v>
      </c>
    </row>
    <row r="74" spans="2:62" x14ac:dyDescent="0.25">
      <c r="B74" s="26" t="s">
        <v>0</v>
      </c>
      <c r="C74" s="26">
        <v>2.2999999999999998</v>
      </c>
      <c r="D74" s="26"/>
      <c r="E74" s="26"/>
      <c r="F74" s="26"/>
      <c r="O74" s="132"/>
      <c r="P74" s="132"/>
      <c r="Q74" s="132"/>
      <c r="R74" s="132" t="s">
        <v>0</v>
      </c>
      <c r="S74" s="132">
        <v>2.2999999999999998</v>
      </c>
      <c r="W74" s="132"/>
      <c r="X74" s="132" t="s">
        <v>0</v>
      </c>
      <c r="Y74" s="132">
        <v>2.2999999999999998</v>
      </c>
      <c r="AK74" s="132"/>
      <c r="AL74" s="132" t="s">
        <v>0</v>
      </c>
      <c r="AM74" s="132">
        <v>2.2999999999999998</v>
      </c>
      <c r="AT74" s="132"/>
      <c r="AU74" s="132" t="s">
        <v>0</v>
      </c>
      <c r="AV74" s="132">
        <v>2.2999999999999998</v>
      </c>
      <c r="BH74" s="132"/>
      <c r="BI74" s="132" t="s">
        <v>0</v>
      </c>
      <c r="BJ74" s="132">
        <v>2.2999999999999998</v>
      </c>
    </row>
    <row r="75" spans="2:62" x14ac:dyDescent="0.25">
      <c r="B75" s="1" t="s">
        <v>4</v>
      </c>
      <c r="C75" s="1" t="s">
        <v>5</v>
      </c>
      <c r="D75" s="1">
        <v>1</v>
      </c>
      <c r="E75" s="1">
        <v>2</v>
      </c>
      <c r="F75" s="1">
        <v>3</v>
      </c>
      <c r="O75" s="132" t="s">
        <v>8</v>
      </c>
      <c r="P75" s="132">
        <v>6.5600000000000006E-2</v>
      </c>
      <c r="Q75" s="132" t="s">
        <v>13</v>
      </c>
      <c r="R75" s="1" t="s">
        <v>4</v>
      </c>
      <c r="S75" s="1" t="s">
        <v>5</v>
      </c>
      <c r="W75" s="143" t="s">
        <v>26</v>
      </c>
      <c r="X75" s="1" t="s">
        <v>4</v>
      </c>
      <c r="Y75" s="1" t="s">
        <v>5</v>
      </c>
      <c r="AH75" s="132" t="s">
        <v>8</v>
      </c>
      <c r="AI75">
        <v>7.1900000000000006E-2</v>
      </c>
      <c r="AK75" s="144" t="s">
        <v>29</v>
      </c>
      <c r="AL75" s="1" t="s">
        <v>4</v>
      </c>
      <c r="AM75" s="1" t="s">
        <v>5</v>
      </c>
      <c r="AO75" s="132" t="s">
        <v>8</v>
      </c>
      <c r="AP75" s="132">
        <v>6.5600000000000006E-2</v>
      </c>
      <c r="AT75" s="145" t="s">
        <v>30</v>
      </c>
      <c r="AU75" s="1" t="s">
        <v>4</v>
      </c>
      <c r="AV75" s="1" t="s">
        <v>5</v>
      </c>
      <c r="BE75" s="132" t="s">
        <v>8</v>
      </c>
      <c r="BF75" s="132">
        <v>6.6199999999999995E-2</v>
      </c>
      <c r="BH75" s="146" t="s">
        <v>32</v>
      </c>
      <c r="BI75" s="1" t="s">
        <v>4</v>
      </c>
      <c r="BJ75" s="1" t="s">
        <v>5</v>
      </c>
    </row>
    <row r="76" spans="2:62" x14ac:dyDescent="0.25">
      <c r="B76" s="1">
        <v>14</v>
      </c>
      <c r="C76" s="1">
        <f>AVERAGE(E76,F76,D76)</f>
        <v>28.039180333333334</v>
      </c>
      <c r="D76" s="3">
        <v>28.107491</v>
      </c>
      <c r="E76" s="3">
        <v>27.603047</v>
      </c>
      <c r="F76" s="3">
        <v>28.407003</v>
      </c>
      <c r="O76" s="132" t="s">
        <v>9</v>
      </c>
      <c r="P76" s="132">
        <v>0.33760000000000001</v>
      </c>
      <c r="Q76" s="132" t="s">
        <v>15</v>
      </c>
      <c r="R76" s="1">
        <v>14</v>
      </c>
      <c r="S76" s="1">
        <f>((R76*R76)*($P$75+$Q$408))+(R76*($P$76+$S$408))+($P$77+$U$408)</f>
        <v>31.018000000000004</v>
      </c>
      <c r="W76" s="143" t="s">
        <v>25</v>
      </c>
      <c r="X76" s="1">
        <v>14</v>
      </c>
      <c r="Y76" s="1">
        <f>((X76*X76)*($P$75+$C$458))+(X76*($P$76+$C$459))+($P$77+$C$460)</f>
        <v>29.159300000000002</v>
      </c>
      <c r="AH76" s="132" t="s">
        <v>9</v>
      </c>
      <c r="AI76">
        <v>0.30930000000000002</v>
      </c>
      <c r="AK76" s="144" t="s">
        <v>25</v>
      </c>
      <c r="AL76" s="1">
        <v>14</v>
      </c>
      <c r="AM76" s="1">
        <f>((AL76*AL76)*($AI$75+$AC$24))+(AL76*($AI$76+$AE$24))+($AI$77+$AG$24)</f>
        <v>31.837600000000002</v>
      </c>
      <c r="AO76" s="132" t="s">
        <v>9</v>
      </c>
      <c r="AP76" s="132">
        <v>0.33760000000000001</v>
      </c>
      <c r="AT76" s="145">
        <v>12</v>
      </c>
      <c r="AU76" s="1">
        <v>14</v>
      </c>
      <c r="AV76" s="1">
        <f>((AU76*AU76)*($AP$75+$AP$23))+(AU76*($AP$76+$AP$24))+($AP$77+$AP$25)</f>
        <v>29.517500000000002</v>
      </c>
      <c r="BE76" s="132" t="s">
        <v>9</v>
      </c>
      <c r="BF76" s="132">
        <v>0.3826</v>
      </c>
      <c r="BH76" s="146" t="s">
        <v>33</v>
      </c>
      <c r="BI76" s="1">
        <v>14</v>
      </c>
      <c r="BJ76" s="1">
        <f>((BI76*BI76)*($BF$75+$BB$23))+(BI76*($BF$76+$BB$24))+($BF$77+$BB$25)</f>
        <v>32.202599999999997</v>
      </c>
    </row>
    <row r="77" spans="2:62" x14ac:dyDescent="0.25">
      <c r="B77" s="1">
        <v>13</v>
      </c>
      <c r="C77" s="1">
        <f t="shared" ref="C77:C94" si="33">AVERAGE(E77,F77,D77)</f>
        <v>26.286276000000001</v>
      </c>
      <c r="D77" s="3">
        <v>25.979569000000001</v>
      </c>
      <c r="E77" s="3">
        <v>26.045345999999999</v>
      </c>
      <c r="F77" s="3">
        <v>26.833912999999999</v>
      </c>
      <c r="O77" s="132" t="s">
        <v>10</v>
      </c>
      <c r="P77" s="132">
        <v>10.721</v>
      </c>
      <c r="Q77" s="132" t="s">
        <v>16</v>
      </c>
      <c r="R77" s="1">
        <v>13</v>
      </c>
      <c r="S77" s="1">
        <f t="shared" ref="S77:S89" si="34">((R77*R77)*($P$75+$Q$408))+(R77*($P$76+$S$408))+($P$77+$U$408)</f>
        <v>28.192800000000002</v>
      </c>
      <c r="W77" s="143" t="s">
        <v>25</v>
      </c>
      <c r="X77" s="1">
        <v>13</v>
      </c>
      <c r="Y77" s="1">
        <f t="shared" ref="Y77:Y89" si="35">((X77*X77)*($P$75+$C$458))+(X77*($P$76+$C$459))+($P$77+$C$460)</f>
        <v>26.89</v>
      </c>
      <c r="AH77" s="132" t="s">
        <v>10</v>
      </c>
      <c r="AI77">
        <v>10.702</v>
      </c>
      <c r="AK77" s="144" t="s">
        <v>25</v>
      </c>
      <c r="AL77" s="1">
        <v>13</v>
      </c>
      <c r="AM77" s="1">
        <f t="shared" ref="AM77:AM89" si="36">((AL77*AL77)*($AI$75+$AC$24))+(AL77*($AI$76+$AE$24))+($AI$77+$AG$24)</f>
        <v>28.8706</v>
      </c>
      <c r="AO77" s="132" t="s">
        <v>10</v>
      </c>
      <c r="AP77" s="132">
        <v>10.721</v>
      </c>
      <c r="AT77" s="145">
        <v>12</v>
      </c>
      <c r="AU77" s="1">
        <v>13</v>
      </c>
      <c r="AV77" s="1">
        <f t="shared" ref="AV77:AV89" si="37">((AU77*AU77)*($AP$75+$AP$23))+(AU77*($AP$76+$AP$24))+($AP$77+$AP$25)</f>
        <v>27.334300000000002</v>
      </c>
      <c r="BE77" s="132" t="s">
        <v>10</v>
      </c>
      <c r="BF77" s="132">
        <v>11.157999999999999</v>
      </c>
      <c r="BH77" s="146" t="s">
        <v>33</v>
      </c>
      <c r="BI77" s="1">
        <v>13</v>
      </c>
      <c r="BJ77" s="1">
        <f t="shared" ref="BJ77:BJ89" si="38">((BI77*BI77)*($BF$75+$BB$23))+(BI77*($BF$76+$BB$24))+($BF$77+$BB$25)</f>
        <v>29.316199999999995</v>
      </c>
    </row>
    <row r="78" spans="2:62" x14ac:dyDescent="0.25">
      <c r="B78" s="1">
        <v>12</v>
      </c>
      <c r="C78" s="1">
        <f t="shared" si="33"/>
        <v>24.733773333333332</v>
      </c>
      <c r="D78" s="3">
        <v>24.547360999999999</v>
      </c>
      <c r="E78" s="3">
        <v>24.458973</v>
      </c>
      <c r="F78" s="3">
        <v>25.194986</v>
      </c>
      <c r="O78" s="132"/>
      <c r="P78" s="132"/>
      <c r="Q78" s="132"/>
      <c r="R78" s="1">
        <v>12</v>
      </c>
      <c r="S78" s="1">
        <f t="shared" si="34"/>
        <v>25.585799999999999</v>
      </c>
      <c r="W78" s="143" t="s">
        <v>25</v>
      </c>
      <c r="X78" s="1">
        <v>12</v>
      </c>
      <c r="Y78" s="1">
        <f t="shared" si="35"/>
        <v>24.768300000000004</v>
      </c>
      <c r="AH78" s="132"/>
      <c r="AK78" s="144" t="s">
        <v>25</v>
      </c>
      <c r="AL78" s="1">
        <v>12</v>
      </c>
      <c r="AM78" s="1">
        <f t="shared" si="36"/>
        <v>26.134399999999999</v>
      </c>
      <c r="AO78" s="132"/>
      <c r="AP78" s="132"/>
      <c r="AT78" s="145">
        <v>12</v>
      </c>
      <c r="AU78" s="1">
        <v>12</v>
      </c>
      <c r="AV78" s="1">
        <f t="shared" si="37"/>
        <v>25.286100000000001</v>
      </c>
      <c r="BE78" s="132"/>
      <c r="BF78" s="132"/>
      <c r="BH78" s="146" t="s">
        <v>33</v>
      </c>
      <c r="BI78" s="1">
        <v>12</v>
      </c>
      <c r="BJ78" s="1">
        <f t="shared" si="38"/>
        <v>26.6492</v>
      </c>
    </row>
    <row r="79" spans="2:62" x14ac:dyDescent="0.25">
      <c r="B79" s="1">
        <v>11</v>
      </c>
      <c r="C79" s="1">
        <f t="shared" si="33"/>
        <v>22.296557333333329</v>
      </c>
      <c r="D79" s="3">
        <v>22.059225999999999</v>
      </c>
      <c r="E79" s="3">
        <v>21.966011999999999</v>
      </c>
      <c r="F79" s="3">
        <v>22.864433999999999</v>
      </c>
      <c r="O79" s="132"/>
      <c r="P79" s="132"/>
      <c r="Q79" s="132"/>
      <c r="R79" s="1">
        <v>11</v>
      </c>
      <c r="S79" s="1">
        <f t="shared" si="34"/>
        <v>23.197000000000003</v>
      </c>
      <c r="W79" s="143" t="s">
        <v>25</v>
      </c>
      <c r="X79" s="1">
        <v>11</v>
      </c>
      <c r="Y79" s="1">
        <f t="shared" si="35"/>
        <v>22.794200000000004</v>
      </c>
      <c r="AH79" s="132"/>
      <c r="AK79" s="144" t="s">
        <v>25</v>
      </c>
      <c r="AL79" s="1">
        <v>11</v>
      </c>
      <c r="AM79" s="1">
        <f t="shared" si="36"/>
        <v>23.628999999999998</v>
      </c>
      <c r="AO79" s="132"/>
      <c r="AP79" s="132"/>
      <c r="AT79" s="145">
        <v>12</v>
      </c>
      <c r="AU79" s="1">
        <v>11</v>
      </c>
      <c r="AV79" s="1">
        <f t="shared" si="37"/>
        <v>23.372900000000001</v>
      </c>
      <c r="BE79" s="132"/>
      <c r="BF79" s="132"/>
      <c r="BH79" s="146" t="s">
        <v>33</v>
      </c>
      <c r="BI79" s="1">
        <v>11</v>
      </c>
      <c r="BJ79" s="1">
        <f t="shared" si="38"/>
        <v>24.201599999999999</v>
      </c>
    </row>
    <row r="80" spans="2:62" x14ac:dyDescent="0.25">
      <c r="B80" s="1">
        <v>10</v>
      </c>
      <c r="C80" s="1">
        <f t="shared" si="33"/>
        <v>20.360568666666666</v>
      </c>
      <c r="D80" s="3">
        <v>20.309374999999999</v>
      </c>
      <c r="E80" s="3">
        <v>19.977751000000001</v>
      </c>
      <c r="F80" s="3">
        <v>20.79458</v>
      </c>
      <c r="O80" s="132"/>
      <c r="P80" s="132"/>
      <c r="Q80" s="132"/>
      <c r="R80" s="1">
        <v>10</v>
      </c>
      <c r="S80" s="1">
        <f t="shared" si="34"/>
        <v>21.026400000000002</v>
      </c>
      <c r="W80" s="143" t="s">
        <v>25</v>
      </c>
      <c r="X80" s="1">
        <v>10</v>
      </c>
      <c r="Y80" s="1">
        <f t="shared" si="35"/>
        <v>20.967700000000001</v>
      </c>
      <c r="AH80" s="132"/>
      <c r="AK80" s="144" t="s">
        <v>25</v>
      </c>
      <c r="AL80" s="1">
        <v>10</v>
      </c>
      <c r="AM80" s="1">
        <f t="shared" si="36"/>
        <v>21.354399999999998</v>
      </c>
      <c r="AO80" s="132"/>
      <c r="AP80" s="132"/>
      <c r="AT80" s="145">
        <v>12</v>
      </c>
      <c r="AU80" s="1">
        <v>10</v>
      </c>
      <c r="AV80" s="1">
        <f t="shared" si="37"/>
        <v>21.5947</v>
      </c>
      <c r="BE80" s="132"/>
      <c r="BF80" s="132"/>
      <c r="BH80" s="146" t="s">
        <v>33</v>
      </c>
      <c r="BI80" s="1">
        <v>10</v>
      </c>
      <c r="BJ80" s="1">
        <f t="shared" si="38"/>
        <v>21.973399999999998</v>
      </c>
    </row>
    <row r="81" spans="2:62" x14ac:dyDescent="0.25">
      <c r="B81" s="1">
        <v>9</v>
      </c>
      <c r="C81" s="1">
        <f t="shared" si="33"/>
        <v>18.980963333333335</v>
      </c>
      <c r="D81" s="3">
        <v>18.871734</v>
      </c>
      <c r="E81" s="3">
        <v>18.602706000000001</v>
      </c>
      <c r="F81" s="3">
        <v>19.468450000000001</v>
      </c>
      <c r="O81" s="132"/>
      <c r="P81" s="132"/>
      <c r="Q81" s="132"/>
      <c r="R81" s="1">
        <v>9</v>
      </c>
      <c r="S81" s="1">
        <f t="shared" si="34"/>
        <v>19.074000000000002</v>
      </c>
      <c r="W81" s="143" t="s">
        <v>25</v>
      </c>
      <c r="X81" s="1">
        <v>9</v>
      </c>
      <c r="Y81" s="1">
        <f t="shared" si="35"/>
        <v>19.288800000000002</v>
      </c>
      <c r="AH81" s="132"/>
      <c r="AK81" s="144" t="s">
        <v>25</v>
      </c>
      <c r="AL81" s="1">
        <v>9</v>
      </c>
      <c r="AM81" s="1">
        <f t="shared" si="36"/>
        <v>19.310600000000001</v>
      </c>
      <c r="AO81" s="132"/>
      <c r="AP81" s="132"/>
      <c r="AT81" s="145">
        <v>12</v>
      </c>
      <c r="AU81" s="1">
        <v>9</v>
      </c>
      <c r="AV81" s="1">
        <f t="shared" si="37"/>
        <v>19.951500000000003</v>
      </c>
      <c r="BE81" s="132"/>
      <c r="BF81" s="132"/>
      <c r="BH81" s="146" t="s">
        <v>33</v>
      </c>
      <c r="BI81" s="1">
        <v>9</v>
      </c>
      <c r="BJ81" s="1">
        <f t="shared" si="38"/>
        <v>19.964599999999997</v>
      </c>
    </row>
    <row r="82" spans="2:62" x14ac:dyDescent="0.25">
      <c r="B82" s="1">
        <v>8</v>
      </c>
      <c r="C82" s="1">
        <f t="shared" si="33"/>
        <v>17.767272666666667</v>
      </c>
      <c r="D82" s="3">
        <v>17.65917</v>
      </c>
      <c r="E82" s="3">
        <v>17.428197999999998</v>
      </c>
      <c r="F82" s="3">
        <v>18.214449999999999</v>
      </c>
      <c r="O82" s="132"/>
      <c r="P82" s="132"/>
      <c r="Q82" s="132"/>
      <c r="R82" s="1">
        <v>8</v>
      </c>
      <c r="S82" s="1">
        <f t="shared" si="34"/>
        <v>17.3398</v>
      </c>
      <c r="W82" s="143" t="s">
        <v>25</v>
      </c>
      <c r="X82" s="1">
        <v>8</v>
      </c>
      <c r="Y82" s="1">
        <f t="shared" si="35"/>
        <v>17.7575</v>
      </c>
      <c r="AH82" s="132"/>
      <c r="AK82" s="144" t="s">
        <v>25</v>
      </c>
      <c r="AL82" s="1">
        <v>8</v>
      </c>
      <c r="AM82" s="1">
        <f t="shared" si="36"/>
        <v>17.497599999999998</v>
      </c>
      <c r="AO82" s="132"/>
      <c r="AP82" s="132"/>
      <c r="AT82" s="145">
        <v>12</v>
      </c>
      <c r="AU82" s="1">
        <v>8</v>
      </c>
      <c r="AV82" s="1">
        <f t="shared" si="37"/>
        <v>18.443300000000001</v>
      </c>
      <c r="BE82" s="132"/>
      <c r="BF82" s="132"/>
      <c r="BH82" s="146" t="s">
        <v>33</v>
      </c>
      <c r="BI82" s="1">
        <v>8</v>
      </c>
      <c r="BJ82" s="1">
        <f t="shared" si="38"/>
        <v>18.1752</v>
      </c>
    </row>
    <row r="83" spans="2:62" x14ac:dyDescent="0.25">
      <c r="B83" s="1">
        <v>7</v>
      </c>
      <c r="C83" s="1">
        <f t="shared" si="33"/>
        <v>16.335282666666668</v>
      </c>
      <c r="D83" s="3">
        <v>16.207628</v>
      </c>
      <c r="E83" s="3">
        <v>16.057921</v>
      </c>
      <c r="F83" s="3">
        <v>16.740299</v>
      </c>
      <c r="O83" s="132"/>
      <c r="P83" s="132"/>
      <c r="Q83" s="132"/>
      <c r="R83" s="1">
        <v>7</v>
      </c>
      <c r="S83" s="1">
        <f t="shared" si="34"/>
        <v>15.823800000000002</v>
      </c>
      <c r="W83" s="143" t="s">
        <v>25</v>
      </c>
      <c r="X83" s="1">
        <v>7</v>
      </c>
      <c r="Y83" s="1">
        <f t="shared" si="35"/>
        <v>16.373800000000003</v>
      </c>
      <c r="AH83" s="132"/>
      <c r="AK83" s="144" t="s">
        <v>25</v>
      </c>
      <c r="AL83" s="1">
        <v>7</v>
      </c>
      <c r="AM83" s="1">
        <f t="shared" si="36"/>
        <v>15.9154</v>
      </c>
      <c r="AO83" s="132"/>
      <c r="AP83" s="132"/>
      <c r="AT83" s="145">
        <v>12</v>
      </c>
      <c r="AU83" s="1">
        <v>7</v>
      </c>
      <c r="AV83" s="1">
        <f t="shared" si="37"/>
        <v>17.0701</v>
      </c>
      <c r="BE83" s="132"/>
      <c r="BF83" s="132"/>
      <c r="BH83" s="146" t="s">
        <v>33</v>
      </c>
      <c r="BI83" s="1">
        <v>7</v>
      </c>
      <c r="BJ83" s="1">
        <f t="shared" si="38"/>
        <v>16.6052</v>
      </c>
    </row>
    <row r="84" spans="2:62" x14ac:dyDescent="0.25">
      <c r="B84" s="1">
        <v>6</v>
      </c>
      <c r="C84" s="1">
        <f t="shared" si="33"/>
        <v>15.119908666666667</v>
      </c>
      <c r="D84" s="3">
        <v>14.966850000000001</v>
      </c>
      <c r="E84" s="3">
        <v>14.898702</v>
      </c>
      <c r="F84" s="3">
        <v>15.494173999999999</v>
      </c>
      <c r="O84" s="132"/>
      <c r="P84" s="132"/>
      <c r="Q84" s="132"/>
      <c r="R84" s="1">
        <v>6</v>
      </c>
      <c r="S84" s="1">
        <f t="shared" si="34"/>
        <v>14.526</v>
      </c>
      <c r="W84" s="143" t="s">
        <v>25</v>
      </c>
      <c r="X84" s="1">
        <v>6</v>
      </c>
      <c r="Y84" s="1">
        <f t="shared" si="35"/>
        <v>15.137700000000001</v>
      </c>
      <c r="AH84" s="132"/>
      <c r="AK84" s="144" t="s">
        <v>25</v>
      </c>
      <c r="AL84" s="1">
        <v>6</v>
      </c>
      <c r="AM84" s="1">
        <f t="shared" si="36"/>
        <v>14.564</v>
      </c>
      <c r="AO84" s="132"/>
      <c r="AP84" s="132"/>
      <c r="AT84" s="145">
        <v>12</v>
      </c>
      <c r="AU84" s="1">
        <v>6</v>
      </c>
      <c r="AV84" s="1">
        <f t="shared" si="37"/>
        <v>15.831900000000001</v>
      </c>
      <c r="BE84" s="132"/>
      <c r="BF84" s="132"/>
      <c r="BH84" s="146" t="s">
        <v>33</v>
      </c>
      <c r="BI84" s="1">
        <v>6</v>
      </c>
      <c r="BJ84" s="1">
        <f t="shared" si="38"/>
        <v>15.2546</v>
      </c>
    </row>
    <row r="85" spans="2:62" x14ac:dyDescent="0.25">
      <c r="B85" s="1">
        <v>5</v>
      </c>
      <c r="C85" s="1">
        <f t="shared" si="33"/>
        <v>13.773382666666665</v>
      </c>
      <c r="D85" s="3">
        <v>13.551094000000001</v>
      </c>
      <c r="E85" s="3">
        <v>13.644926999999999</v>
      </c>
      <c r="F85" s="3">
        <v>14.124127</v>
      </c>
      <c r="O85" s="132" t="s">
        <v>8</v>
      </c>
      <c r="P85" s="132">
        <v>1.4800000000000001E-2</v>
      </c>
      <c r="Q85" s="132" t="s">
        <v>14</v>
      </c>
      <c r="R85" s="1">
        <v>5</v>
      </c>
      <c r="S85" s="1">
        <f t="shared" si="34"/>
        <v>13.446400000000001</v>
      </c>
      <c r="W85" s="143" t="s">
        <v>25</v>
      </c>
      <c r="X85" s="1">
        <v>5</v>
      </c>
      <c r="Y85" s="1">
        <f t="shared" si="35"/>
        <v>14.049200000000001</v>
      </c>
      <c r="AH85" s="132" t="s">
        <v>8</v>
      </c>
      <c r="AI85">
        <v>1.54E-2</v>
      </c>
      <c r="AK85" s="144" t="s">
        <v>25</v>
      </c>
      <c r="AL85" s="1">
        <v>5</v>
      </c>
      <c r="AM85" s="1">
        <f t="shared" si="36"/>
        <v>13.443399999999999</v>
      </c>
      <c r="AO85" s="132" t="s">
        <v>8</v>
      </c>
      <c r="AP85" s="132">
        <v>1.4800000000000001E-2</v>
      </c>
      <c r="AT85" s="145">
        <v>12</v>
      </c>
      <c r="AU85" s="1">
        <v>5</v>
      </c>
      <c r="AV85" s="1">
        <f t="shared" si="37"/>
        <v>14.7287</v>
      </c>
      <c r="BE85" s="132" t="s">
        <v>8</v>
      </c>
      <c r="BF85" s="132">
        <v>1.4500000000000001E-2</v>
      </c>
      <c r="BH85" s="146" t="s">
        <v>33</v>
      </c>
      <c r="BI85" s="1">
        <v>5</v>
      </c>
      <c r="BJ85" s="1">
        <f t="shared" si="38"/>
        <v>14.1234</v>
      </c>
    </row>
    <row r="86" spans="2:62" x14ac:dyDescent="0.25">
      <c r="B86" s="1">
        <v>4</v>
      </c>
      <c r="C86" s="1">
        <f t="shared" si="33"/>
        <v>13.292906</v>
      </c>
      <c r="D86" s="3">
        <v>13.051451</v>
      </c>
      <c r="E86" s="3">
        <v>13.18436</v>
      </c>
      <c r="F86" s="3">
        <v>13.642906999999999</v>
      </c>
      <c r="O86" s="132" t="s">
        <v>9</v>
      </c>
      <c r="P86" s="132">
        <v>0.48099999999999998</v>
      </c>
      <c r="Q86" s="132" t="s">
        <v>17</v>
      </c>
      <c r="R86" s="1">
        <v>4</v>
      </c>
      <c r="S86" s="1">
        <f t="shared" si="34"/>
        <v>12.585000000000001</v>
      </c>
      <c r="W86" s="143" t="s">
        <v>25</v>
      </c>
      <c r="X86" s="1">
        <v>4</v>
      </c>
      <c r="Y86" s="1">
        <f t="shared" si="35"/>
        <v>13.1083</v>
      </c>
      <c r="AH86" s="132" t="s">
        <v>9</v>
      </c>
      <c r="AI86">
        <v>0.50280000000000002</v>
      </c>
      <c r="AK86" s="144" t="s">
        <v>25</v>
      </c>
      <c r="AL86" s="1">
        <v>4</v>
      </c>
      <c r="AM86" s="1">
        <f t="shared" si="36"/>
        <v>12.553599999999999</v>
      </c>
      <c r="AO86" s="132" t="s">
        <v>9</v>
      </c>
      <c r="AP86" s="132">
        <v>0.48099999999999998</v>
      </c>
      <c r="AT86" s="145">
        <v>12</v>
      </c>
      <c r="AU86" s="1">
        <v>4</v>
      </c>
      <c r="AV86" s="1">
        <f t="shared" si="37"/>
        <v>13.7605</v>
      </c>
      <c r="BE86" s="132" t="s">
        <v>9</v>
      </c>
      <c r="BF86" s="132">
        <v>0.49330000000000002</v>
      </c>
      <c r="BH86" s="146" t="s">
        <v>33</v>
      </c>
      <c r="BI86" s="1">
        <v>4</v>
      </c>
      <c r="BJ86" s="1">
        <f t="shared" si="38"/>
        <v>13.211600000000001</v>
      </c>
    </row>
    <row r="87" spans="2:62" x14ac:dyDescent="0.25">
      <c r="B87" s="1">
        <v>3</v>
      </c>
      <c r="C87" s="1">
        <f t="shared" si="33"/>
        <v>12.267175666666665</v>
      </c>
      <c r="D87" s="3">
        <v>12.020683999999999</v>
      </c>
      <c r="E87" s="3">
        <v>12.178516999999999</v>
      </c>
      <c r="F87" s="3">
        <v>12.602326</v>
      </c>
      <c r="O87" s="132" t="s">
        <v>10</v>
      </c>
      <c r="P87" s="132">
        <v>10.58</v>
      </c>
      <c r="Q87" s="132" t="s">
        <v>18</v>
      </c>
      <c r="R87" s="1">
        <v>3</v>
      </c>
      <c r="S87" s="1">
        <f t="shared" si="34"/>
        <v>11.941800000000001</v>
      </c>
      <c r="W87" s="143" t="s">
        <v>25</v>
      </c>
      <c r="X87" s="1">
        <v>3</v>
      </c>
      <c r="Y87" s="1">
        <f t="shared" si="35"/>
        <v>12.315000000000001</v>
      </c>
      <c r="AH87" s="132" t="s">
        <v>10</v>
      </c>
      <c r="AI87">
        <v>10.548</v>
      </c>
      <c r="AK87" s="144" t="s">
        <v>25</v>
      </c>
      <c r="AL87" s="1">
        <v>3</v>
      </c>
      <c r="AM87" s="1">
        <f t="shared" si="36"/>
        <v>11.894599999999999</v>
      </c>
      <c r="AO87" s="132" t="s">
        <v>10</v>
      </c>
      <c r="AP87" s="132">
        <v>10.58</v>
      </c>
      <c r="AT87" s="145">
        <v>12</v>
      </c>
      <c r="AU87" s="1">
        <v>3</v>
      </c>
      <c r="AV87" s="1">
        <f t="shared" si="37"/>
        <v>12.927300000000001</v>
      </c>
      <c r="BE87" s="132" t="s">
        <v>10</v>
      </c>
      <c r="BF87" s="132">
        <v>11.066000000000001</v>
      </c>
      <c r="BH87" s="146" t="s">
        <v>33</v>
      </c>
      <c r="BI87" s="1">
        <v>3</v>
      </c>
      <c r="BJ87" s="1">
        <f t="shared" si="38"/>
        <v>12.5192</v>
      </c>
    </row>
    <row r="88" spans="2:62" x14ac:dyDescent="0.25">
      <c r="B88" s="1">
        <v>2</v>
      </c>
      <c r="C88" s="1">
        <f t="shared" si="33"/>
        <v>11.732926333333333</v>
      </c>
      <c r="D88" s="3">
        <v>11.475866999999999</v>
      </c>
      <c r="E88" s="3">
        <v>11.694285000000001</v>
      </c>
      <c r="F88" s="3">
        <v>12.028627</v>
      </c>
      <c r="O88" s="132"/>
      <c r="P88" s="132"/>
      <c r="Q88" s="132"/>
      <c r="R88" s="1">
        <v>2</v>
      </c>
      <c r="S88" s="1">
        <f t="shared" si="34"/>
        <v>11.5168</v>
      </c>
      <c r="W88" s="143" t="s">
        <v>25</v>
      </c>
      <c r="X88" s="1">
        <v>2</v>
      </c>
      <c r="Y88" s="1">
        <f t="shared" si="35"/>
        <v>11.6693</v>
      </c>
      <c r="AK88" s="144" t="s">
        <v>25</v>
      </c>
      <c r="AL88" s="1">
        <v>2</v>
      </c>
      <c r="AM88" s="1">
        <f t="shared" si="36"/>
        <v>11.466399999999998</v>
      </c>
      <c r="AT88" s="145">
        <v>12</v>
      </c>
      <c r="AU88" s="1">
        <v>2</v>
      </c>
      <c r="AV88" s="1">
        <f t="shared" si="37"/>
        <v>12.229100000000001</v>
      </c>
      <c r="BH88" s="146" t="s">
        <v>33</v>
      </c>
      <c r="BI88" s="1">
        <v>2</v>
      </c>
      <c r="BJ88" s="1">
        <f t="shared" si="38"/>
        <v>12.046200000000001</v>
      </c>
    </row>
    <row r="89" spans="2:62" x14ac:dyDescent="0.25">
      <c r="B89" s="1">
        <v>1</v>
      </c>
      <c r="C89" s="1">
        <f t="shared" si="33"/>
        <v>11.191167666666667</v>
      </c>
      <c r="D89" s="3">
        <v>10.925914000000001</v>
      </c>
      <c r="E89" s="3">
        <v>11.166826</v>
      </c>
      <c r="F89" s="3">
        <v>11.480763</v>
      </c>
      <c r="O89" s="132"/>
      <c r="P89" s="132"/>
      <c r="Q89" s="132"/>
      <c r="R89" s="1">
        <v>1</v>
      </c>
      <c r="S89" s="1">
        <f t="shared" si="34"/>
        <v>11.31</v>
      </c>
      <c r="W89" s="143" t="s">
        <v>25</v>
      </c>
      <c r="X89" s="1">
        <v>1</v>
      </c>
      <c r="Y89" s="1">
        <f t="shared" si="35"/>
        <v>11.171200000000001</v>
      </c>
      <c r="AK89" s="144" t="s">
        <v>25</v>
      </c>
      <c r="AL89" s="1">
        <v>1</v>
      </c>
      <c r="AM89" s="1">
        <f t="shared" si="36"/>
        <v>11.268999999999998</v>
      </c>
      <c r="AT89" s="145">
        <v>12</v>
      </c>
      <c r="AU89" s="1">
        <v>1</v>
      </c>
      <c r="AV89" s="1">
        <f t="shared" si="37"/>
        <v>11.665900000000001</v>
      </c>
      <c r="BH89" s="146" t="s">
        <v>33</v>
      </c>
      <c r="BI89" s="1">
        <v>1</v>
      </c>
      <c r="BJ89" s="1">
        <f t="shared" si="38"/>
        <v>11.7926</v>
      </c>
    </row>
    <row r="90" spans="2:62" x14ac:dyDescent="0.25">
      <c r="B90" s="1">
        <v>0</v>
      </c>
      <c r="C90" s="1">
        <f t="shared" si="33"/>
        <v>10.658399666666668</v>
      </c>
      <c r="D90" s="3">
        <v>10.420138</v>
      </c>
      <c r="E90" s="3">
        <v>10.643354</v>
      </c>
      <c r="F90" s="3">
        <v>10.911707</v>
      </c>
      <c r="O90" s="132"/>
      <c r="P90" s="132"/>
      <c r="Q90" s="132"/>
      <c r="R90" s="1">
        <v>0</v>
      </c>
      <c r="S90" s="1">
        <f>((R90*R90)*($P$85+$Q$409))+(R90*($P$86+$S$409))+($P$87+$U$409)</f>
        <v>10.5222</v>
      </c>
      <c r="W90" s="143" t="s">
        <v>25</v>
      </c>
      <c r="X90" s="1">
        <v>0</v>
      </c>
      <c r="Y90" s="1">
        <f>((X90*X90)*($P$85+$E$458))+(X90*($P$86+$E$459))+($P$87+$E$460)</f>
        <v>10.5657</v>
      </c>
      <c r="AK90" s="144" t="s">
        <v>25</v>
      </c>
      <c r="AL90" s="1">
        <v>0</v>
      </c>
      <c r="AM90" s="1">
        <f>((AL90*AL90)*($AI$85+$AC$25))+(AL90*($AI$86+$AE$25))+($AI$87+$AG$25)</f>
        <v>10.4902</v>
      </c>
      <c r="AT90" s="145">
        <v>12</v>
      </c>
      <c r="AU90" s="1">
        <v>0</v>
      </c>
      <c r="AV90" s="1">
        <f>((AU90*AU90)*($AP$85+$AR$23))+(AU90*($AP$86+$AR$24))+($AP$87+$AR$25)</f>
        <v>11.0663</v>
      </c>
      <c r="BH90" s="146" t="s">
        <v>33</v>
      </c>
      <c r="BI90" s="1">
        <v>0</v>
      </c>
      <c r="BJ90" s="1">
        <f>((BI90*BI90)*($BF$85+$BD$23))+(BI90*($BF$86+$BD$24))+($BF$87+$BD$25)</f>
        <v>11.0082</v>
      </c>
    </row>
    <row r="91" spans="2:62" x14ac:dyDescent="0.25">
      <c r="B91" s="1">
        <v>-5</v>
      </c>
      <c r="C91" s="1">
        <f t="shared" si="33"/>
        <v>8.3735476666666671</v>
      </c>
      <c r="D91" s="3">
        <v>8.1572329999999997</v>
      </c>
      <c r="E91" s="3">
        <v>8.4013950000000008</v>
      </c>
      <c r="F91" s="3">
        <v>8.5620150000000006</v>
      </c>
      <c r="O91" s="132"/>
      <c r="P91" s="132"/>
      <c r="Q91" s="132"/>
      <c r="R91" s="1">
        <v>-5</v>
      </c>
      <c r="S91" s="1">
        <f t="shared" ref="S91:S94" si="39">((R91*R91)*($P$85+$Q$409))+(R91*($P$86+$S$409))+($P$87+$U$409)</f>
        <v>8.4806999999999988</v>
      </c>
      <c r="W91" s="143" t="s">
        <v>25</v>
      </c>
      <c r="X91" s="1">
        <v>-5</v>
      </c>
      <c r="Y91" s="1">
        <f t="shared" ref="Y91:Y94" si="40">((X91*X91)*($P$109+$E$458))+(X91*($P$110+$E$459))+($P$111+$E$460)</f>
        <v>8.3782000000000032</v>
      </c>
      <c r="AK91" s="144" t="s">
        <v>25</v>
      </c>
      <c r="AL91" s="1">
        <v>-5</v>
      </c>
      <c r="AM91" s="1">
        <f t="shared" ref="AM91:AM94" si="41">((AL91*AL91)*($AI$85+$AC$25))+(AL91*($AI$86+$AE$25))+($AI$87+$AG$25)</f>
        <v>8.3546999999999993</v>
      </c>
      <c r="AT91" s="145">
        <v>12</v>
      </c>
      <c r="AU91" s="1">
        <v>-5</v>
      </c>
      <c r="AV91" s="1">
        <f t="shared" ref="AV91:AV94" si="42">((AU91*AU91)*($AP$85+$AR$23))+(AU91*($AP$86+$AR$24))+($AP$87+$AR$25)</f>
        <v>8.962299999999999</v>
      </c>
      <c r="BH91" s="146" t="s">
        <v>33</v>
      </c>
      <c r="BI91" s="1">
        <v>-5</v>
      </c>
      <c r="BJ91" s="1">
        <f t="shared" ref="BJ91:BJ94" si="43">((BI91*BI91)*($BF$85+$BD$23))+(BI91*($BF$86+$BD$24))+($BF$87+$BD$25)</f>
        <v>8.8977000000000004</v>
      </c>
    </row>
    <row r="92" spans="2:62" x14ac:dyDescent="0.25">
      <c r="B92" s="1">
        <v>-10</v>
      </c>
      <c r="C92" s="1">
        <f t="shared" si="33"/>
        <v>7.2895520000000005</v>
      </c>
      <c r="D92" s="3">
        <v>7.1215590000000004</v>
      </c>
      <c r="E92" s="3">
        <v>7.3375640000000004</v>
      </c>
      <c r="F92" s="3">
        <v>7.4095329999999997</v>
      </c>
      <c r="O92" s="132"/>
      <c r="P92" s="132"/>
      <c r="Q92" s="132"/>
      <c r="R92" s="1">
        <v>-10</v>
      </c>
      <c r="S92" s="1">
        <f t="shared" si="39"/>
        <v>7.1891999999999996</v>
      </c>
      <c r="W92" s="143" t="s">
        <v>25</v>
      </c>
      <c r="X92" s="1">
        <v>-10</v>
      </c>
      <c r="Y92" s="1">
        <f t="shared" si="40"/>
        <v>7.0737000000000023</v>
      </c>
      <c r="AK92" s="144" t="s">
        <v>25</v>
      </c>
      <c r="AL92" s="1">
        <v>-10</v>
      </c>
      <c r="AM92" s="1">
        <f t="shared" si="41"/>
        <v>6.9991999999999983</v>
      </c>
      <c r="AT92" s="145">
        <v>12</v>
      </c>
      <c r="AU92" s="1">
        <v>-10</v>
      </c>
      <c r="AV92" s="1">
        <f t="shared" si="42"/>
        <v>7.5833000000000004</v>
      </c>
      <c r="BH92" s="146" t="s">
        <v>33</v>
      </c>
      <c r="BI92" s="1">
        <v>-10</v>
      </c>
      <c r="BJ92" s="1">
        <f t="shared" si="43"/>
        <v>7.5221999999999998</v>
      </c>
    </row>
    <row r="93" spans="2:62" x14ac:dyDescent="0.25">
      <c r="B93" s="1">
        <v>-15</v>
      </c>
      <c r="C93" s="1">
        <f t="shared" si="33"/>
        <v>6.806385333333334</v>
      </c>
      <c r="D93" s="3">
        <v>6.6877579999999996</v>
      </c>
      <c r="E93" s="3">
        <v>6.8249620000000002</v>
      </c>
      <c r="F93" s="3">
        <v>6.9064360000000002</v>
      </c>
      <c r="O93" s="132"/>
      <c r="P93" s="132"/>
      <c r="Q93" s="132"/>
      <c r="R93" s="1">
        <v>-15</v>
      </c>
      <c r="S93" s="1">
        <f t="shared" si="39"/>
        <v>6.6477000000000004</v>
      </c>
      <c r="W93" s="143" t="s">
        <v>25</v>
      </c>
      <c r="X93" s="1">
        <v>-15</v>
      </c>
      <c r="Y93" s="1">
        <f t="shared" si="40"/>
        <v>6.494200000000002</v>
      </c>
      <c r="AK93" s="144" t="s">
        <v>25</v>
      </c>
      <c r="AL93" s="1">
        <v>-15</v>
      </c>
      <c r="AM93" s="1">
        <f t="shared" si="41"/>
        <v>6.4236999999999984</v>
      </c>
      <c r="AT93" s="145">
        <v>12</v>
      </c>
      <c r="AU93" s="1">
        <v>-15</v>
      </c>
      <c r="AV93" s="1">
        <f t="shared" si="42"/>
        <v>6.9293000000000005</v>
      </c>
      <c r="BH93" s="146" t="s">
        <v>33</v>
      </c>
      <c r="BI93" s="1">
        <v>-15</v>
      </c>
      <c r="BJ93" s="1">
        <f t="shared" si="43"/>
        <v>6.8816999999999995</v>
      </c>
    </row>
    <row r="94" spans="2:62" x14ac:dyDescent="0.25">
      <c r="B94" s="1">
        <v>-20</v>
      </c>
      <c r="C94" s="1">
        <f t="shared" si="33"/>
        <v>6.8083303333333332</v>
      </c>
      <c r="D94" s="3">
        <v>6.6865870000000003</v>
      </c>
      <c r="E94" s="3">
        <v>6.833869</v>
      </c>
      <c r="F94" s="3">
        <v>6.9045350000000001</v>
      </c>
      <c r="O94" s="132"/>
      <c r="P94" s="132"/>
      <c r="Q94" s="132"/>
      <c r="R94" s="1">
        <v>-20</v>
      </c>
      <c r="S94" s="1">
        <f t="shared" si="39"/>
        <v>6.8562000000000003</v>
      </c>
      <c r="W94" s="143" t="s">
        <v>25</v>
      </c>
      <c r="X94" s="1">
        <v>-20</v>
      </c>
      <c r="Y94" s="1">
        <f t="shared" si="40"/>
        <v>6.639700000000003</v>
      </c>
      <c r="AK94" s="144" t="s">
        <v>25</v>
      </c>
      <c r="AL94" s="1">
        <v>-20</v>
      </c>
      <c r="AM94" s="1">
        <f t="shared" si="41"/>
        <v>6.6281999999999979</v>
      </c>
      <c r="AT94" s="145">
        <v>12</v>
      </c>
      <c r="AU94" s="1">
        <v>-20</v>
      </c>
      <c r="AV94" s="1">
        <f t="shared" si="42"/>
        <v>7.0003000000000011</v>
      </c>
      <c r="BH94" s="146" t="s">
        <v>33</v>
      </c>
      <c r="BI94" s="1">
        <v>-20</v>
      </c>
      <c r="BJ94" s="1">
        <f t="shared" si="43"/>
        <v>6.9762000000000004</v>
      </c>
    </row>
    <row r="97" spans="2:62" x14ac:dyDescent="0.25">
      <c r="AK97" s="132"/>
      <c r="AL97" s="132" t="s">
        <v>0</v>
      </c>
      <c r="AM97" s="132">
        <v>2.4</v>
      </c>
      <c r="AT97" s="132"/>
      <c r="AU97" s="132" t="s">
        <v>0</v>
      </c>
      <c r="AV97" s="132">
        <v>2.4</v>
      </c>
      <c r="BH97" s="132"/>
      <c r="BI97" s="132" t="s">
        <v>0</v>
      </c>
      <c r="BJ97" s="132">
        <v>2.4</v>
      </c>
    </row>
    <row r="98" spans="2:62" x14ac:dyDescent="0.25">
      <c r="B98" s="26" t="s">
        <v>0</v>
      </c>
      <c r="C98" s="26">
        <v>2.4</v>
      </c>
      <c r="D98" s="26"/>
      <c r="E98" s="26"/>
      <c r="F98" s="26"/>
      <c r="O98" s="132"/>
      <c r="P98" s="132"/>
      <c r="Q98" s="132"/>
      <c r="R98" s="132" t="s">
        <v>0</v>
      </c>
      <c r="S98" s="132">
        <v>2.4</v>
      </c>
      <c r="W98" s="132"/>
      <c r="X98" s="132" t="s">
        <v>0</v>
      </c>
      <c r="Y98" s="132">
        <v>2.4</v>
      </c>
      <c r="AH98" s="132" t="s">
        <v>8</v>
      </c>
      <c r="AI98">
        <v>7.0300000000000001E-2</v>
      </c>
      <c r="AK98" s="144" t="s">
        <v>29</v>
      </c>
      <c r="AL98" s="1" t="s">
        <v>4</v>
      </c>
      <c r="AM98" s="1" t="s">
        <v>5</v>
      </c>
      <c r="AO98" s="132" t="s">
        <v>8</v>
      </c>
      <c r="AP98" s="132">
        <v>6.3700000000000007E-2</v>
      </c>
      <c r="AT98" s="145" t="s">
        <v>30</v>
      </c>
      <c r="AU98" s="1" t="s">
        <v>4</v>
      </c>
      <c r="AV98" s="1" t="s">
        <v>5</v>
      </c>
      <c r="BE98" s="132" t="s">
        <v>8</v>
      </c>
      <c r="BF98" s="132">
        <v>6.4600000000000005E-2</v>
      </c>
      <c r="BH98" s="146" t="s">
        <v>32</v>
      </c>
      <c r="BI98" s="1" t="s">
        <v>4</v>
      </c>
      <c r="BJ98" s="1" t="s">
        <v>5</v>
      </c>
    </row>
    <row r="99" spans="2:62" x14ac:dyDescent="0.25">
      <c r="B99" s="1" t="s">
        <v>4</v>
      </c>
      <c r="C99" s="1" t="s">
        <v>5</v>
      </c>
      <c r="D99" s="1">
        <v>1</v>
      </c>
      <c r="E99" s="1">
        <v>2</v>
      </c>
      <c r="F99" s="1">
        <v>3</v>
      </c>
      <c r="O99" s="132" t="s">
        <v>8</v>
      </c>
      <c r="P99" s="132">
        <v>6.3700000000000007E-2</v>
      </c>
      <c r="Q99" s="132" t="s">
        <v>13</v>
      </c>
      <c r="R99" s="1" t="s">
        <v>4</v>
      </c>
      <c r="S99" s="1" t="s">
        <v>5</v>
      </c>
      <c r="W99" s="143" t="s">
        <v>26</v>
      </c>
      <c r="X99" s="1" t="s">
        <v>4</v>
      </c>
      <c r="Y99" s="1" t="s">
        <v>5</v>
      </c>
      <c r="AH99" s="132" t="s">
        <v>9</v>
      </c>
      <c r="AI99">
        <v>0.26889999999999997</v>
      </c>
      <c r="AK99" s="144" t="s">
        <v>25</v>
      </c>
      <c r="AL99" s="1">
        <v>14</v>
      </c>
      <c r="AM99" s="1">
        <f>((AL99*AL99)*($AI$98+$AC$24))+(AL99*($AI$99+$AE$24))+($AI$100+$AG$24)</f>
        <v>30.779399999999999</v>
      </c>
      <c r="AO99" s="132" t="s">
        <v>9</v>
      </c>
      <c r="AP99" s="132">
        <v>0.30230000000000001</v>
      </c>
      <c r="AT99" s="145">
        <v>12</v>
      </c>
      <c r="AU99" s="1">
        <v>14</v>
      </c>
      <c r="AV99" s="1">
        <f>((AU99*AU99)*($AP$98+$AP$23))+(AU99*($AP$99+$AP$24))+($AP$100+$AP$25)</f>
        <v>28.452900000000003</v>
      </c>
      <c r="BE99" s="132" t="s">
        <v>9</v>
      </c>
      <c r="BF99" s="132">
        <v>0.3422</v>
      </c>
      <c r="BH99" s="146" t="s">
        <v>33</v>
      </c>
      <c r="BI99" s="1">
        <v>14</v>
      </c>
      <c r="BJ99" s="1">
        <f>((BI99*BI99)*($BF$98+$BB$23))+(BI99*($BF$99+$BB$24))+($BF$100+$BB$25)</f>
        <v>31.144400000000001</v>
      </c>
    </row>
    <row r="100" spans="2:62" x14ac:dyDescent="0.25">
      <c r="B100" s="1">
        <v>14</v>
      </c>
      <c r="C100" s="1">
        <f>AVERAGE(E100,F100,D100)</f>
        <v>26.905884666666669</v>
      </c>
      <c r="D100" s="3">
        <v>26.846806000000001</v>
      </c>
      <c r="E100" s="3">
        <v>26.720500000000001</v>
      </c>
      <c r="F100" s="3">
        <v>27.150348000000001</v>
      </c>
      <c r="O100" s="132" t="s">
        <v>9</v>
      </c>
      <c r="P100" s="132">
        <v>0.30230000000000001</v>
      </c>
      <c r="Q100" s="132" t="s">
        <v>15</v>
      </c>
      <c r="R100" s="1">
        <v>14</v>
      </c>
      <c r="S100" s="1">
        <f>((R100*R100)*($P$99+$Q$408))+(R100*($P$100+$S$408))+($P$101+$U$408)</f>
        <v>29.953400000000002</v>
      </c>
      <c r="W100" s="143" t="s">
        <v>25</v>
      </c>
      <c r="X100" s="1">
        <v>14</v>
      </c>
      <c r="Y100" s="1">
        <f>((X100*X100)*($P$99+$C$458))+(X100*($P$100+$C$459))+($P$101+$C$460)</f>
        <v>28.094700000000003</v>
      </c>
      <c r="AH100" s="132" t="s">
        <v>10</v>
      </c>
      <c r="AI100">
        <v>10.523</v>
      </c>
      <c r="AK100" s="144" t="s">
        <v>25</v>
      </c>
      <c r="AL100" s="1">
        <v>13</v>
      </c>
      <c r="AM100" s="1">
        <f t="shared" ref="AM100:AM112" si="44">((AL100*AL100)*($AI$98+$AC$24))+(AL100*($AI$99+$AE$24))+($AI$100+$AG$24)</f>
        <v>27.896000000000001</v>
      </c>
      <c r="AO100" s="132" t="s">
        <v>10</v>
      </c>
      <c r="AP100" s="132">
        <v>10.523</v>
      </c>
      <c r="AT100" s="145">
        <v>12</v>
      </c>
      <c r="AU100" s="1">
        <v>13</v>
      </c>
      <c r="AV100" s="1">
        <f t="shared" ref="AV100:AV112" si="45">((AU100*AU100)*($AP$98+$AP$23))+(AU100*($AP$99+$AP$24))+($AP$100+$AP$25)</f>
        <v>26.356300000000001</v>
      </c>
      <c r="BE100" s="132" t="s">
        <v>10</v>
      </c>
      <c r="BF100" s="132">
        <v>10.978999999999999</v>
      </c>
      <c r="BH100" s="146" t="s">
        <v>33</v>
      </c>
      <c r="BI100" s="1">
        <v>13</v>
      </c>
      <c r="BJ100" s="1">
        <f t="shared" ref="BJ100:BJ112" si="46">((BI100*BI100)*($BF$98+$BB$23))+(BI100*($BF$99+$BB$24))+($BF$100+$BB$25)</f>
        <v>28.3416</v>
      </c>
    </row>
    <row r="101" spans="2:62" x14ac:dyDescent="0.25">
      <c r="B101" s="1">
        <v>13</v>
      </c>
      <c r="C101" s="1">
        <f t="shared" ref="C101:C118" si="47">AVERAGE(E101,F101,D101)</f>
        <v>25.352446333333333</v>
      </c>
      <c r="D101" s="3">
        <v>25.184441</v>
      </c>
      <c r="E101" s="3">
        <v>25.242097999999999</v>
      </c>
      <c r="F101" s="3">
        <v>25.630800000000001</v>
      </c>
      <c r="O101" s="132" t="s">
        <v>10</v>
      </c>
      <c r="P101" s="132">
        <v>10.523</v>
      </c>
      <c r="Q101" s="132" t="s">
        <v>16</v>
      </c>
      <c r="R101" s="1">
        <v>13</v>
      </c>
      <c r="S101" s="1">
        <f t="shared" ref="S101:S113" si="48">((R101*R101)*($P$99+$Q$408))+(R101*($P$100+$S$408))+($P$101+$U$408)</f>
        <v>27.2148</v>
      </c>
      <c r="W101" s="143" t="s">
        <v>25</v>
      </c>
      <c r="X101" s="1">
        <v>13</v>
      </c>
      <c r="Y101" s="1">
        <f t="shared" ref="Y101:Y113" si="49">((X101*X101)*($P$99+$C$458))+(X101*($P$100+$C$459))+($P$101+$C$460)</f>
        <v>25.911999999999999</v>
      </c>
      <c r="AH101" s="132"/>
      <c r="AK101" s="144" t="s">
        <v>25</v>
      </c>
      <c r="AL101" s="1">
        <v>12</v>
      </c>
      <c r="AM101" s="1">
        <f t="shared" si="44"/>
        <v>25.240200000000002</v>
      </c>
      <c r="AO101" s="132"/>
      <c r="AP101" s="132"/>
      <c r="AT101" s="145">
        <v>12</v>
      </c>
      <c r="AU101" s="1">
        <v>12</v>
      </c>
      <c r="AV101" s="1">
        <f t="shared" si="45"/>
        <v>24.390900000000002</v>
      </c>
      <c r="BE101" s="132"/>
      <c r="BF101" s="132"/>
      <c r="BH101" s="146" t="s">
        <v>33</v>
      </c>
      <c r="BI101" s="1">
        <v>12</v>
      </c>
      <c r="BJ101" s="1">
        <f t="shared" si="46"/>
        <v>25.754999999999999</v>
      </c>
    </row>
    <row r="102" spans="2:62" x14ac:dyDescent="0.25">
      <c r="B102" s="1">
        <v>12</v>
      </c>
      <c r="C102" s="1">
        <f t="shared" si="47"/>
        <v>23.790565666666666</v>
      </c>
      <c r="D102" s="3">
        <v>23.469473000000001</v>
      </c>
      <c r="E102" s="3">
        <v>23.722480999999998</v>
      </c>
      <c r="F102" s="3">
        <v>24.179742999999998</v>
      </c>
      <c r="O102" s="132"/>
      <c r="P102" s="132"/>
      <c r="Q102" s="132"/>
      <c r="R102" s="1">
        <v>12</v>
      </c>
      <c r="S102" s="1">
        <f t="shared" si="48"/>
        <v>24.6906</v>
      </c>
      <c r="W102" s="143" t="s">
        <v>25</v>
      </c>
      <c r="X102" s="1">
        <v>12</v>
      </c>
      <c r="Y102" s="1">
        <f t="shared" si="49"/>
        <v>23.873100000000001</v>
      </c>
      <c r="AH102" s="132"/>
      <c r="AK102" s="144" t="s">
        <v>25</v>
      </c>
      <c r="AL102" s="1">
        <v>11</v>
      </c>
      <c r="AM102" s="1">
        <f t="shared" si="44"/>
        <v>22.812000000000001</v>
      </c>
      <c r="AO102" s="132"/>
      <c r="AP102" s="132"/>
      <c r="AT102" s="145">
        <v>12</v>
      </c>
      <c r="AU102" s="1">
        <v>11</v>
      </c>
      <c r="AV102" s="1">
        <f t="shared" si="45"/>
        <v>22.556699999999999</v>
      </c>
      <c r="BE102" s="132"/>
      <c r="BF102" s="132"/>
      <c r="BH102" s="146" t="s">
        <v>33</v>
      </c>
      <c r="BI102" s="1">
        <v>11</v>
      </c>
      <c r="BJ102" s="1">
        <f t="shared" si="46"/>
        <v>23.384599999999999</v>
      </c>
    </row>
    <row r="103" spans="2:62" x14ac:dyDescent="0.25">
      <c r="B103" s="1">
        <v>11</v>
      </c>
      <c r="C103" s="1">
        <f t="shared" si="47"/>
        <v>21.524537999999996</v>
      </c>
      <c r="D103" s="3">
        <v>21.409562000000001</v>
      </c>
      <c r="E103" s="3">
        <v>21.313958</v>
      </c>
      <c r="F103" s="3">
        <v>21.850093999999999</v>
      </c>
      <c r="O103" s="132"/>
      <c r="P103" s="132"/>
      <c r="Q103" s="132"/>
      <c r="R103" s="1">
        <v>11</v>
      </c>
      <c r="S103" s="1">
        <f t="shared" si="48"/>
        <v>22.380800000000001</v>
      </c>
      <c r="W103" s="143" t="s">
        <v>25</v>
      </c>
      <c r="X103" s="1">
        <v>11</v>
      </c>
      <c r="Y103" s="1">
        <f t="shared" si="49"/>
        <v>21.978000000000002</v>
      </c>
      <c r="AH103" s="132"/>
      <c r="AK103" s="144" t="s">
        <v>25</v>
      </c>
      <c r="AL103" s="1">
        <v>10</v>
      </c>
      <c r="AM103" s="1">
        <f t="shared" si="44"/>
        <v>20.6114</v>
      </c>
      <c r="AO103" s="132"/>
      <c r="AP103" s="132"/>
      <c r="AT103" s="145">
        <v>12</v>
      </c>
      <c r="AU103" s="1">
        <v>10</v>
      </c>
      <c r="AV103" s="1">
        <f t="shared" si="45"/>
        <v>20.8537</v>
      </c>
      <c r="BE103" s="132"/>
      <c r="BF103" s="132"/>
      <c r="BH103" s="146" t="s">
        <v>33</v>
      </c>
      <c r="BI103" s="1">
        <v>10</v>
      </c>
      <c r="BJ103" s="1">
        <f t="shared" si="46"/>
        <v>21.230399999999999</v>
      </c>
    </row>
    <row r="104" spans="2:62" x14ac:dyDescent="0.25">
      <c r="B104" s="1">
        <v>10</v>
      </c>
      <c r="C104" s="1">
        <f t="shared" si="47"/>
        <v>19.755445333333338</v>
      </c>
      <c r="D104" s="3">
        <v>19.696532000000001</v>
      </c>
      <c r="E104" s="3">
        <v>19.385204000000002</v>
      </c>
      <c r="F104" s="3">
        <v>20.1846</v>
      </c>
      <c r="O104" s="132"/>
      <c r="P104" s="132"/>
      <c r="Q104" s="132"/>
      <c r="R104" s="1">
        <v>10</v>
      </c>
      <c r="S104" s="1">
        <f t="shared" si="48"/>
        <v>20.285400000000003</v>
      </c>
      <c r="W104" s="143" t="s">
        <v>25</v>
      </c>
      <c r="X104" s="1">
        <v>10</v>
      </c>
      <c r="Y104" s="1">
        <f t="shared" si="49"/>
        <v>20.226700000000001</v>
      </c>
      <c r="AH104" s="132"/>
      <c r="AK104" s="144" t="s">
        <v>25</v>
      </c>
      <c r="AL104" s="1">
        <v>9</v>
      </c>
      <c r="AM104" s="1">
        <f t="shared" si="44"/>
        <v>18.638400000000001</v>
      </c>
      <c r="AO104" s="132"/>
      <c r="AP104" s="132"/>
      <c r="AT104" s="145">
        <v>12</v>
      </c>
      <c r="AU104" s="1">
        <v>9</v>
      </c>
      <c r="AV104" s="1">
        <f t="shared" si="45"/>
        <v>19.2819</v>
      </c>
      <c r="BE104" s="132"/>
      <c r="BF104" s="132"/>
      <c r="BH104" s="146" t="s">
        <v>33</v>
      </c>
      <c r="BI104" s="1">
        <v>9</v>
      </c>
      <c r="BJ104" s="1">
        <f t="shared" si="46"/>
        <v>19.292400000000001</v>
      </c>
    </row>
    <row r="105" spans="2:62" x14ac:dyDescent="0.25">
      <c r="B105" s="1">
        <v>9</v>
      </c>
      <c r="C105" s="1">
        <f t="shared" si="47"/>
        <v>18.311969000000001</v>
      </c>
      <c r="D105" s="3">
        <v>18.292271</v>
      </c>
      <c r="E105" s="3">
        <v>18.046776000000001</v>
      </c>
      <c r="F105" s="3">
        <v>18.59686</v>
      </c>
      <c r="O105" s="132"/>
      <c r="P105" s="132"/>
      <c r="Q105" s="132"/>
      <c r="R105" s="1">
        <v>9</v>
      </c>
      <c r="S105" s="1">
        <f t="shared" si="48"/>
        <v>18.404400000000003</v>
      </c>
      <c r="W105" s="143" t="s">
        <v>25</v>
      </c>
      <c r="X105" s="1">
        <v>9</v>
      </c>
      <c r="Y105" s="1">
        <f t="shared" si="49"/>
        <v>18.619199999999999</v>
      </c>
      <c r="AH105" s="132"/>
      <c r="AK105" s="144" t="s">
        <v>25</v>
      </c>
      <c r="AL105" s="1">
        <v>8</v>
      </c>
      <c r="AM105" s="1">
        <f t="shared" si="44"/>
        <v>16.893000000000001</v>
      </c>
      <c r="AO105" s="132"/>
      <c r="AP105" s="132"/>
      <c r="AT105" s="145">
        <v>12</v>
      </c>
      <c r="AU105" s="1">
        <v>8</v>
      </c>
      <c r="AV105" s="1">
        <f t="shared" si="45"/>
        <v>17.8413</v>
      </c>
      <c r="BE105" s="132"/>
      <c r="BF105" s="132"/>
      <c r="BH105" s="146" t="s">
        <v>33</v>
      </c>
      <c r="BI105" s="1">
        <v>8</v>
      </c>
      <c r="BJ105" s="1">
        <f t="shared" si="46"/>
        <v>17.570599999999999</v>
      </c>
    </row>
    <row r="106" spans="2:62" x14ac:dyDescent="0.25">
      <c r="B106" s="1">
        <v>8</v>
      </c>
      <c r="C106" s="1">
        <f t="shared" si="47"/>
        <v>17.137798666666669</v>
      </c>
      <c r="D106" s="3">
        <v>17.117771999999999</v>
      </c>
      <c r="E106" s="3">
        <v>16.899146000000002</v>
      </c>
      <c r="F106" s="3">
        <v>17.396477999999998</v>
      </c>
      <c r="O106" s="132"/>
      <c r="P106" s="132"/>
      <c r="Q106" s="132"/>
      <c r="R106" s="1">
        <v>8</v>
      </c>
      <c r="S106" s="1">
        <f t="shared" si="48"/>
        <v>16.7378</v>
      </c>
      <c r="W106" s="143" t="s">
        <v>25</v>
      </c>
      <c r="X106" s="1">
        <v>8</v>
      </c>
      <c r="Y106" s="1">
        <f t="shared" si="49"/>
        <v>17.1555</v>
      </c>
      <c r="AH106" s="132"/>
      <c r="AK106" s="144" t="s">
        <v>25</v>
      </c>
      <c r="AL106" s="1">
        <v>7</v>
      </c>
      <c r="AM106" s="1">
        <f t="shared" si="44"/>
        <v>15.3752</v>
      </c>
      <c r="AO106" s="132"/>
      <c r="AP106" s="132"/>
      <c r="AT106" s="145">
        <v>12</v>
      </c>
      <c r="AU106" s="1">
        <v>7</v>
      </c>
      <c r="AV106" s="1">
        <f t="shared" si="45"/>
        <v>16.5319</v>
      </c>
      <c r="BE106" s="132"/>
      <c r="BF106" s="132"/>
      <c r="BH106" s="146" t="s">
        <v>33</v>
      </c>
      <c r="BI106" s="1">
        <v>7</v>
      </c>
      <c r="BJ106" s="1">
        <f t="shared" si="46"/>
        <v>16.064999999999998</v>
      </c>
    </row>
    <row r="107" spans="2:62" x14ac:dyDescent="0.25">
      <c r="B107" s="1">
        <v>7</v>
      </c>
      <c r="C107" s="1">
        <f t="shared" si="47"/>
        <v>15.771399000000001</v>
      </c>
      <c r="D107" s="3">
        <v>15.712241000000001</v>
      </c>
      <c r="E107" s="3">
        <v>15.585464999999999</v>
      </c>
      <c r="F107" s="3">
        <v>16.016490999999998</v>
      </c>
      <c r="O107" s="132"/>
      <c r="P107" s="132"/>
      <c r="Q107" s="132"/>
      <c r="R107" s="1">
        <v>7</v>
      </c>
      <c r="S107" s="1">
        <f t="shared" si="48"/>
        <v>15.285600000000002</v>
      </c>
      <c r="W107" s="143" t="s">
        <v>25</v>
      </c>
      <c r="X107" s="1">
        <v>7</v>
      </c>
      <c r="Y107" s="1">
        <f t="shared" si="49"/>
        <v>15.835599999999999</v>
      </c>
      <c r="AH107" s="132"/>
      <c r="AK107" s="144" t="s">
        <v>25</v>
      </c>
      <c r="AL107" s="1">
        <v>6</v>
      </c>
      <c r="AM107" s="1">
        <f t="shared" si="44"/>
        <v>14.085000000000001</v>
      </c>
      <c r="AO107" s="132"/>
      <c r="AP107" s="132"/>
      <c r="AT107" s="145">
        <v>12</v>
      </c>
      <c r="AU107" s="1">
        <v>6</v>
      </c>
      <c r="AV107" s="1">
        <f t="shared" si="45"/>
        <v>15.3537</v>
      </c>
      <c r="BE107" s="132"/>
      <c r="BF107" s="132"/>
      <c r="BH107" s="146" t="s">
        <v>33</v>
      </c>
      <c r="BI107" s="1">
        <v>6</v>
      </c>
      <c r="BJ107" s="1">
        <f t="shared" si="46"/>
        <v>14.775600000000001</v>
      </c>
    </row>
    <row r="108" spans="2:62" x14ac:dyDescent="0.25">
      <c r="B108" s="1">
        <v>6</v>
      </c>
      <c r="C108" s="1">
        <f t="shared" si="47"/>
        <v>14.598145333333335</v>
      </c>
      <c r="D108" s="3">
        <v>14.517265</v>
      </c>
      <c r="E108" s="3">
        <v>14.462813000000001</v>
      </c>
      <c r="F108" s="3">
        <v>14.814358</v>
      </c>
      <c r="O108" s="132"/>
      <c r="P108" s="132"/>
      <c r="Q108" s="132"/>
      <c r="R108" s="1">
        <v>6</v>
      </c>
      <c r="S108" s="1">
        <f t="shared" si="48"/>
        <v>14.047800000000001</v>
      </c>
      <c r="W108" s="143" t="s">
        <v>25</v>
      </c>
      <c r="X108" s="1">
        <v>6</v>
      </c>
      <c r="Y108" s="1">
        <f t="shared" si="49"/>
        <v>14.659500000000001</v>
      </c>
      <c r="AH108" s="132" t="s">
        <v>8</v>
      </c>
      <c r="AI108">
        <v>1.4500000000000001E-2</v>
      </c>
      <c r="AK108" s="144" t="s">
        <v>25</v>
      </c>
      <c r="AL108" s="1">
        <v>5</v>
      </c>
      <c r="AM108" s="1">
        <f t="shared" si="44"/>
        <v>13.022399999999999</v>
      </c>
      <c r="AO108" s="132" t="s">
        <v>8</v>
      </c>
      <c r="AP108" s="132">
        <v>1.4800000000000001E-2</v>
      </c>
      <c r="AT108" s="145">
        <v>12</v>
      </c>
      <c r="AU108" s="1">
        <v>5</v>
      </c>
      <c r="AV108" s="1">
        <f t="shared" si="45"/>
        <v>14.306699999999999</v>
      </c>
      <c r="BE108" s="132" t="s">
        <v>8</v>
      </c>
      <c r="BF108" s="132">
        <v>1.4500000000000001E-2</v>
      </c>
      <c r="BH108" s="146" t="s">
        <v>33</v>
      </c>
      <c r="BI108" s="1">
        <v>5</v>
      </c>
      <c r="BJ108" s="1">
        <f t="shared" si="46"/>
        <v>13.702400000000001</v>
      </c>
    </row>
    <row r="109" spans="2:62" x14ac:dyDescent="0.25">
      <c r="B109" s="1">
        <v>5</v>
      </c>
      <c r="C109" s="1">
        <f t="shared" si="47"/>
        <v>13.303146666666665</v>
      </c>
      <c r="D109" s="3">
        <v>13.140186999999999</v>
      </c>
      <c r="E109" s="3">
        <v>13.246041999999999</v>
      </c>
      <c r="F109" s="3">
        <v>13.523211</v>
      </c>
      <c r="O109" s="132" t="s">
        <v>8</v>
      </c>
      <c r="P109" s="132">
        <v>1.4800000000000001E-2</v>
      </c>
      <c r="Q109" s="132" t="s">
        <v>14</v>
      </c>
      <c r="R109" s="1">
        <v>5</v>
      </c>
      <c r="S109" s="1">
        <f t="shared" si="48"/>
        <v>13.0244</v>
      </c>
      <c r="W109" s="143" t="s">
        <v>25</v>
      </c>
      <c r="X109" s="1">
        <v>5</v>
      </c>
      <c r="Y109" s="1">
        <f t="shared" si="49"/>
        <v>13.6272</v>
      </c>
      <c r="AH109" s="132" t="s">
        <v>9</v>
      </c>
      <c r="AI109">
        <v>0.47839999999999999</v>
      </c>
      <c r="AK109" s="144" t="s">
        <v>25</v>
      </c>
      <c r="AL109" s="1">
        <v>4</v>
      </c>
      <c r="AM109" s="1">
        <f t="shared" si="44"/>
        <v>12.1874</v>
      </c>
      <c r="AO109" s="132" t="s">
        <v>9</v>
      </c>
      <c r="AP109" s="132">
        <v>0.48609999999999998</v>
      </c>
      <c r="AT109" s="145">
        <v>12</v>
      </c>
      <c r="AU109" s="1">
        <v>4</v>
      </c>
      <c r="AV109" s="1">
        <f t="shared" si="45"/>
        <v>13.3909</v>
      </c>
      <c r="BE109" s="132" t="s">
        <v>9</v>
      </c>
      <c r="BF109" s="132">
        <v>0.49840000000000001</v>
      </c>
      <c r="BH109" s="146" t="s">
        <v>33</v>
      </c>
      <c r="BI109" s="1">
        <v>4</v>
      </c>
      <c r="BJ109" s="1">
        <f t="shared" si="46"/>
        <v>12.8454</v>
      </c>
    </row>
    <row r="110" spans="2:62" x14ac:dyDescent="0.25">
      <c r="B110" s="1">
        <v>4</v>
      </c>
      <c r="C110" s="1">
        <f t="shared" si="47"/>
        <v>12.994282</v>
      </c>
      <c r="D110" s="3">
        <v>12.655825999999999</v>
      </c>
      <c r="E110" s="3">
        <v>12.80039</v>
      </c>
      <c r="F110" s="3">
        <v>13.526630000000001</v>
      </c>
      <c r="O110" s="132" t="s">
        <v>9</v>
      </c>
      <c r="P110" s="132">
        <v>0.48609999999999998</v>
      </c>
      <c r="Q110" s="132" t="s">
        <v>17</v>
      </c>
      <c r="R110" s="1">
        <v>4</v>
      </c>
      <c r="S110" s="1">
        <f t="shared" si="48"/>
        <v>12.215400000000001</v>
      </c>
      <c r="W110" s="143" t="s">
        <v>25</v>
      </c>
      <c r="X110" s="1">
        <v>4</v>
      </c>
      <c r="Y110" s="1">
        <f t="shared" si="49"/>
        <v>12.7387</v>
      </c>
      <c r="AH110" s="132" t="s">
        <v>10</v>
      </c>
      <c r="AI110">
        <v>10.407999999999999</v>
      </c>
      <c r="AK110" s="144" t="s">
        <v>25</v>
      </c>
      <c r="AL110" s="1">
        <v>3</v>
      </c>
      <c r="AM110" s="1">
        <f t="shared" si="44"/>
        <v>11.58</v>
      </c>
      <c r="AO110" s="132" t="s">
        <v>10</v>
      </c>
      <c r="AP110" s="132">
        <v>10.422000000000001</v>
      </c>
      <c r="AT110" s="145">
        <v>12</v>
      </c>
      <c r="AU110" s="1">
        <v>3</v>
      </c>
      <c r="AV110" s="1">
        <f t="shared" si="45"/>
        <v>12.606300000000001</v>
      </c>
      <c r="BE110" s="132" t="s">
        <v>10</v>
      </c>
      <c r="BF110" s="132">
        <v>10.907999999999999</v>
      </c>
      <c r="BH110" s="146" t="s">
        <v>33</v>
      </c>
      <c r="BI110" s="1">
        <v>3</v>
      </c>
      <c r="BJ110" s="1">
        <f t="shared" si="46"/>
        <v>12.204599999999999</v>
      </c>
    </row>
    <row r="111" spans="2:62" x14ac:dyDescent="0.25">
      <c r="B111" s="1">
        <v>3</v>
      </c>
      <c r="C111" s="1">
        <f t="shared" si="47"/>
        <v>11.838203666666667</v>
      </c>
      <c r="D111" s="3">
        <v>11.65577</v>
      </c>
      <c r="E111" s="3">
        <v>11.812441</v>
      </c>
      <c r="F111" s="3">
        <v>12.0464</v>
      </c>
      <c r="O111" s="132" t="s">
        <v>10</v>
      </c>
      <c r="P111" s="132">
        <v>10.422000000000001</v>
      </c>
      <c r="Q111" s="132" t="s">
        <v>18</v>
      </c>
      <c r="R111" s="1">
        <v>3</v>
      </c>
      <c r="S111" s="1">
        <f t="shared" si="48"/>
        <v>11.620800000000001</v>
      </c>
      <c r="W111" s="143" t="s">
        <v>25</v>
      </c>
      <c r="X111" s="1">
        <v>3</v>
      </c>
      <c r="Y111" s="1">
        <f t="shared" si="49"/>
        <v>11.994</v>
      </c>
      <c r="AK111" s="144" t="s">
        <v>25</v>
      </c>
      <c r="AL111" s="1">
        <v>2</v>
      </c>
      <c r="AM111" s="1">
        <f t="shared" si="44"/>
        <v>11.200200000000001</v>
      </c>
      <c r="AT111" s="145">
        <v>12</v>
      </c>
      <c r="AU111" s="1">
        <v>2</v>
      </c>
      <c r="AV111" s="1">
        <f t="shared" si="45"/>
        <v>11.9529</v>
      </c>
      <c r="BH111" s="146" t="s">
        <v>33</v>
      </c>
      <c r="BI111" s="1">
        <v>2</v>
      </c>
      <c r="BJ111" s="1">
        <f t="shared" si="46"/>
        <v>11.78</v>
      </c>
    </row>
    <row r="112" spans="2:62" x14ac:dyDescent="0.25">
      <c r="B112" s="1">
        <v>2</v>
      </c>
      <c r="C112" s="1">
        <f t="shared" si="47"/>
        <v>11.504480333333333</v>
      </c>
      <c r="D112" s="3">
        <v>11.133680999999999</v>
      </c>
      <c r="E112" s="3">
        <v>11.338238</v>
      </c>
      <c r="F112" s="3">
        <v>12.041522000000001</v>
      </c>
      <c r="O112" s="132"/>
      <c r="P112" s="132"/>
      <c r="Q112" s="132"/>
      <c r="R112" s="1">
        <v>2</v>
      </c>
      <c r="S112" s="1">
        <f t="shared" si="48"/>
        <v>11.240600000000001</v>
      </c>
      <c r="W112" s="143" t="s">
        <v>25</v>
      </c>
      <c r="X112" s="1">
        <v>2</v>
      </c>
      <c r="Y112" s="1">
        <f t="shared" si="49"/>
        <v>11.3931</v>
      </c>
      <c r="AK112" s="144" t="s">
        <v>25</v>
      </c>
      <c r="AL112" s="1">
        <v>1</v>
      </c>
      <c r="AM112" s="1">
        <f t="shared" si="44"/>
        <v>11.048</v>
      </c>
      <c r="AT112" s="145">
        <v>12</v>
      </c>
      <c r="AU112" s="1">
        <v>1</v>
      </c>
      <c r="AV112" s="1">
        <f t="shared" si="45"/>
        <v>11.4307</v>
      </c>
      <c r="BH112" s="146" t="s">
        <v>33</v>
      </c>
      <c r="BI112" s="1">
        <v>1</v>
      </c>
      <c r="BJ112" s="1">
        <f t="shared" si="46"/>
        <v>11.5716</v>
      </c>
    </row>
    <row r="113" spans="2:62" x14ac:dyDescent="0.25">
      <c r="B113" s="1">
        <v>1</v>
      </c>
      <c r="C113" s="1">
        <f t="shared" si="47"/>
        <v>10.977844666666664</v>
      </c>
      <c r="D113" s="3">
        <v>10.595264999999999</v>
      </c>
      <c r="E113" s="3">
        <v>10.826950999999999</v>
      </c>
      <c r="F113" s="3">
        <v>11.511317999999999</v>
      </c>
      <c r="O113" s="132"/>
      <c r="P113" s="132"/>
      <c r="Q113" s="132"/>
      <c r="R113" s="1">
        <v>1</v>
      </c>
      <c r="S113" s="1">
        <f t="shared" si="48"/>
        <v>11.0748</v>
      </c>
      <c r="W113" s="143" t="s">
        <v>25</v>
      </c>
      <c r="X113" s="1">
        <v>1</v>
      </c>
      <c r="Y113" s="1">
        <f t="shared" si="49"/>
        <v>10.936</v>
      </c>
      <c r="AK113" s="144" t="s">
        <v>25</v>
      </c>
      <c r="AL113" s="1">
        <v>0</v>
      </c>
      <c r="AM113" s="1">
        <f>((AL113*AL113)*($AI$108+$AC$25))+(AL113*($AI$109+$AE$25))+($AI$110+$AG$25)</f>
        <v>10.350199999999999</v>
      </c>
      <c r="AT113" s="145">
        <v>12</v>
      </c>
      <c r="AU113" s="1">
        <v>0</v>
      </c>
      <c r="AV113" s="1">
        <f>((AU113*AU113)*($AP$108+$AR$23))+(AU113*($AP$109+$AR$24))+($AP$110+$AR$25)</f>
        <v>10.908300000000001</v>
      </c>
      <c r="BH113" s="146" t="s">
        <v>33</v>
      </c>
      <c r="BI113" s="1">
        <v>0</v>
      </c>
      <c r="BJ113" s="1">
        <f>((BI113*BI113)*($BF$108+$BD$23))+(BI113*($BF$109+$BD$24))+($BF$110+$BD$25)</f>
        <v>10.850199999999999</v>
      </c>
    </row>
    <row r="114" spans="2:62" x14ac:dyDescent="0.25">
      <c r="B114" s="1">
        <v>0</v>
      </c>
      <c r="C114" s="1">
        <f t="shared" si="47"/>
        <v>10.471332333333333</v>
      </c>
      <c r="D114" s="3">
        <v>10.110015000000001</v>
      </c>
      <c r="E114" s="3">
        <v>10.315422</v>
      </c>
      <c r="F114" s="3">
        <v>10.98856</v>
      </c>
      <c r="O114" s="132"/>
      <c r="P114" s="132"/>
      <c r="Q114" s="132"/>
      <c r="R114" s="1">
        <v>0</v>
      </c>
      <c r="S114" s="1">
        <f>((R114*R114)*($P$109+$Q$409))+(R114*($P$110+$S$409))+($P$111+$U$409)</f>
        <v>10.3642</v>
      </c>
      <c r="W114" s="143" t="s">
        <v>25</v>
      </c>
      <c r="X114" s="1">
        <v>0</v>
      </c>
      <c r="Y114" s="1">
        <f>((X114*X114)*($P$109+$E$458))+(X114*($P$110+$E$459))+($P$111+$E$460)</f>
        <v>10.407700000000002</v>
      </c>
      <c r="AK114" s="144" t="s">
        <v>25</v>
      </c>
      <c r="AL114" s="1">
        <v>-5</v>
      </c>
      <c r="AM114" s="1">
        <f t="shared" ref="AM114:AM117" si="50">((AL114*AL114)*($AI$108+$AC$25))+(AL114*($AI$109+$AE$25))+($AI$110+$AG$25)</f>
        <v>8.3141999999999996</v>
      </c>
      <c r="AT114" s="145">
        <v>12</v>
      </c>
      <c r="AU114" s="1">
        <v>-5</v>
      </c>
      <c r="AV114" s="1">
        <f t="shared" ref="AV114:AV117" si="51">((AU114*AU114)*($AP$108+$AR$23))+(AU114*($AP$109+$AR$24))+($AP$110+$AR$25)</f>
        <v>8.7788000000000004</v>
      </c>
      <c r="BH114" s="146" t="s">
        <v>33</v>
      </c>
      <c r="BI114" s="1">
        <v>-5</v>
      </c>
      <c r="BJ114" s="1">
        <f t="shared" ref="BJ114:BJ117" si="52">((BI114*BI114)*($BF$108+$BD$23))+(BI114*($BF$109+$BD$24))+($BF$110+$BD$25)</f>
        <v>8.7141999999999982</v>
      </c>
    </row>
    <row r="115" spans="2:62" x14ac:dyDescent="0.25">
      <c r="B115" s="1">
        <v>-5</v>
      </c>
      <c r="C115" s="1">
        <f t="shared" si="47"/>
        <v>8.2662546666666668</v>
      </c>
      <c r="D115" s="3">
        <v>7.9146510000000001</v>
      </c>
      <c r="E115" s="3">
        <v>8.1352580000000003</v>
      </c>
      <c r="F115" s="3">
        <v>8.7488550000000007</v>
      </c>
      <c r="O115" s="132"/>
      <c r="P115" s="132"/>
      <c r="Q115" s="132"/>
      <c r="R115" s="1">
        <v>-5</v>
      </c>
      <c r="S115" s="1">
        <f t="shared" ref="S115:S118" si="53">((R115*R115)*($P$109+$Q$409))+(R115*($P$110+$S$409))+($P$111+$U$409)</f>
        <v>8.2972000000000001</v>
      </c>
      <c r="W115" s="143" t="s">
        <v>25</v>
      </c>
      <c r="X115" s="1">
        <v>-5</v>
      </c>
      <c r="Y115" s="1">
        <f t="shared" ref="Y115:Y118" si="54">((X115*X115)*($P$109+$E$458))+(X115*($P$110+$E$459))+($P$111+$E$460)</f>
        <v>8.3782000000000032</v>
      </c>
      <c r="AK115" s="144" t="s">
        <v>25</v>
      </c>
      <c r="AL115" s="1">
        <v>-10</v>
      </c>
      <c r="AM115" s="1">
        <f t="shared" si="50"/>
        <v>7.0131999999999994</v>
      </c>
      <c r="AT115" s="145">
        <v>12</v>
      </c>
      <c r="AU115" s="1">
        <v>-10</v>
      </c>
      <c r="AV115" s="1">
        <f t="shared" si="51"/>
        <v>7.3743000000000007</v>
      </c>
      <c r="BH115" s="146" t="s">
        <v>33</v>
      </c>
      <c r="BI115" s="1">
        <v>-10</v>
      </c>
      <c r="BJ115" s="1">
        <f t="shared" si="52"/>
        <v>7.3131999999999984</v>
      </c>
    </row>
    <row r="116" spans="2:62" x14ac:dyDescent="0.25">
      <c r="B116" s="1">
        <v>-10</v>
      </c>
      <c r="C116" s="1">
        <f t="shared" si="47"/>
        <v>7.0345443333333337</v>
      </c>
      <c r="D116" s="3">
        <v>6.9103060000000003</v>
      </c>
      <c r="E116" s="3">
        <v>7.1073620000000002</v>
      </c>
      <c r="F116" s="3">
        <v>7.0859649999999998</v>
      </c>
      <c r="O116" s="132"/>
      <c r="P116" s="132"/>
      <c r="Q116" s="132"/>
      <c r="R116" s="1">
        <v>-10</v>
      </c>
      <c r="S116" s="1">
        <f t="shared" si="53"/>
        <v>6.9802</v>
      </c>
      <c r="W116" s="143" t="s">
        <v>25</v>
      </c>
      <c r="X116" s="1">
        <v>-10</v>
      </c>
      <c r="Y116" s="1">
        <f t="shared" si="54"/>
        <v>7.0737000000000023</v>
      </c>
      <c r="AK116" s="144" t="s">
        <v>25</v>
      </c>
      <c r="AL116" s="1">
        <v>-15</v>
      </c>
      <c r="AM116" s="1">
        <f t="shared" si="50"/>
        <v>6.4471999999999987</v>
      </c>
      <c r="AT116" s="145">
        <v>12</v>
      </c>
      <c r="AU116" s="1">
        <v>-15</v>
      </c>
      <c r="AV116" s="1">
        <f t="shared" si="51"/>
        <v>6.6948000000000016</v>
      </c>
      <c r="BH116" s="146" t="s">
        <v>33</v>
      </c>
      <c r="BI116" s="1">
        <v>-15</v>
      </c>
      <c r="BJ116" s="1">
        <f t="shared" si="52"/>
        <v>6.6471999999999989</v>
      </c>
    </row>
    <row r="117" spans="2:62" x14ac:dyDescent="0.25">
      <c r="B117" s="1">
        <v>-15</v>
      </c>
      <c r="C117" s="1">
        <f t="shared" si="47"/>
        <v>6.5750163333333331</v>
      </c>
      <c r="D117" s="3">
        <v>6.4843260000000003</v>
      </c>
      <c r="E117" s="3">
        <v>6.631043</v>
      </c>
      <c r="F117" s="3">
        <v>6.60968</v>
      </c>
      <c r="O117" s="132"/>
      <c r="P117" s="132"/>
      <c r="Q117" s="132"/>
      <c r="R117" s="1">
        <v>-15</v>
      </c>
      <c r="S117" s="1">
        <f t="shared" si="53"/>
        <v>6.4132000000000016</v>
      </c>
      <c r="W117" s="143" t="s">
        <v>25</v>
      </c>
      <c r="X117" s="1">
        <v>-15</v>
      </c>
      <c r="Y117" s="1">
        <f t="shared" si="54"/>
        <v>6.494200000000002</v>
      </c>
      <c r="AK117" s="144" t="s">
        <v>25</v>
      </c>
      <c r="AL117" s="1">
        <v>-20</v>
      </c>
      <c r="AM117" s="1">
        <f t="shared" si="50"/>
        <v>6.6161999999999992</v>
      </c>
      <c r="AT117" s="145">
        <v>12</v>
      </c>
      <c r="AU117" s="1">
        <v>-20</v>
      </c>
      <c r="AV117" s="1">
        <f t="shared" si="51"/>
        <v>6.7403000000000013</v>
      </c>
      <c r="BH117" s="146" t="s">
        <v>33</v>
      </c>
      <c r="BI117" s="1">
        <v>-20</v>
      </c>
      <c r="BJ117" s="1">
        <f t="shared" si="52"/>
        <v>6.7161999999999988</v>
      </c>
    </row>
    <row r="118" spans="2:62" x14ac:dyDescent="0.25">
      <c r="B118" s="1">
        <v>-20</v>
      </c>
      <c r="C118" s="1">
        <f t="shared" si="47"/>
        <v>6.579457333333333</v>
      </c>
      <c r="D118" s="3">
        <v>6.4913369999999997</v>
      </c>
      <c r="E118" s="3">
        <v>6.6420750000000002</v>
      </c>
      <c r="F118" s="3">
        <v>6.6049600000000002</v>
      </c>
      <c r="O118" s="132"/>
      <c r="P118" s="132"/>
      <c r="Q118" s="132"/>
      <c r="R118" s="1">
        <v>-20</v>
      </c>
      <c r="S118" s="1">
        <f t="shared" si="53"/>
        <v>6.5962000000000005</v>
      </c>
      <c r="W118" s="143" t="s">
        <v>25</v>
      </c>
      <c r="X118" s="1">
        <v>-20</v>
      </c>
      <c r="Y118" s="1">
        <f t="shared" si="54"/>
        <v>6.639700000000003</v>
      </c>
    </row>
    <row r="122" spans="2:62" x14ac:dyDescent="0.25">
      <c r="B122" s="26" t="s">
        <v>0</v>
      </c>
      <c r="C122" s="26">
        <v>2.5</v>
      </c>
      <c r="D122" s="26"/>
      <c r="E122" s="26"/>
      <c r="F122" s="26"/>
      <c r="O122" s="132"/>
      <c r="P122" s="132"/>
      <c r="Q122" s="132"/>
      <c r="R122" s="132" t="s">
        <v>0</v>
      </c>
      <c r="S122" s="132">
        <v>2.5</v>
      </c>
      <c r="W122" s="132"/>
      <c r="X122" s="132" t="s">
        <v>0</v>
      </c>
      <c r="Y122" s="132">
        <v>2.5</v>
      </c>
      <c r="AK122" s="132"/>
      <c r="AL122" s="132" t="s">
        <v>0</v>
      </c>
      <c r="AM122" s="132">
        <v>2.5</v>
      </c>
      <c r="AT122" s="132"/>
      <c r="AU122" s="132" t="s">
        <v>0</v>
      </c>
      <c r="AV122" s="132">
        <v>2.5</v>
      </c>
      <c r="BH122" s="132"/>
      <c r="BI122" s="132" t="s">
        <v>0</v>
      </c>
      <c r="BJ122" s="132">
        <v>2.5</v>
      </c>
    </row>
    <row r="123" spans="2:62" x14ac:dyDescent="0.25">
      <c r="B123" s="1" t="s">
        <v>4</v>
      </c>
      <c r="C123" s="1" t="s">
        <v>5</v>
      </c>
      <c r="D123" s="1">
        <v>1</v>
      </c>
      <c r="E123" s="1">
        <v>2</v>
      </c>
      <c r="F123" s="1">
        <v>3</v>
      </c>
      <c r="O123" s="132" t="s">
        <v>8</v>
      </c>
      <c r="P123" s="132">
        <v>5.91E-2</v>
      </c>
      <c r="Q123" s="132" t="s">
        <v>13</v>
      </c>
      <c r="R123" s="1" t="s">
        <v>4</v>
      </c>
      <c r="S123" s="1" t="s">
        <v>5</v>
      </c>
      <c r="W123" s="143" t="s">
        <v>26</v>
      </c>
      <c r="X123" s="1" t="s">
        <v>4</v>
      </c>
      <c r="Y123" s="1" t="s">
        <v>5</v>
      </c>
      <c r="AH123" s="132" t="s">
        <v>8</v>
      </c>
      <c r="AI123">
        <v>6.5600000000000006E-2</v>
      </c>
      <c r="AK123" s="144" t="s">
        <v>29</v>
      </c>
      <c r="AL123" s="1" t="s">
        <v>4</v>
      </c>
      <c r="AM123" s="1" t="s">
        <v>5</v>
      </c>
      <c r="AO123" s="132" t="s">
        <v>8</v>
      </c>
      <c r="AP123" s="132">
        <v>5.91E-2</v>
      </c>
      <c r="AT123" s="145" t="s">
        <v>30</v>
      </c>
      <c r="AU123" s="1" t="s">
        <v>4</v>
      </c>
      <c r="AV123" s="1" t="s">
        <v>5</v>
      </c>
      <c r="BE123" s="132" t="s">
        <v>8</v>
      </c>
      <c r="BF123" s="132">
        <v>5.9900000000000002E-2</v>
      </c>
      <c r="BH123" s="146" t="s">
        <v>32</v>
      </c>
      <c r="BI123" s="1" t="s">
        <v>4</v>
      </c>
      <c r="BJ123" s="1" t="s">
        <v>5</v>
      </c>
    </row>
    <row r="124" spans="2:62" x14ac:dyDescent="0.25">
      <c r="B124" s="1">
        <v>14</v>
      </c>
      <c r="C124" s="1">
        <f>AVERAGE(E124,F124,D124)</f>
        <v>25.758956999999999</v>
      </c>
      <c r="D124" s="3">
        <v>25.681227</v>
      </c>
      <c r="E124" s="3">
        <v>25.596969999999999</v>
      </c>
      <c r="F124" s="3">
        <v>25.998674000000001</v>
      </c>
      <c r="O124" s="132" t="s">
        <v>9</v>
      </c>
      <c r="P124" s="132">
        <v>0.3145</v>
      </c>
      <c r="Q124" s="132" t="s">
        <v>15</v>
      </c>
      <c r="R124" s="1">
        <v>14</v>
      </c>
      <c r="S124" s="1">
        <f>((R124*R124)*($P$123+$Q$408))+(R124*($P$124+$S$408))+($P$125+$U$408)</f>
        <v>28.756599999999999</v>
      </c>
      <c r="W124" s="143" t="s">
        <v>25</v>
      </c>
      <c r="X124" s="1">
        <v>14</v>
      </c>
      <c r="Y124" s="1">
        <f>((X124*X124)*($P$123+$C$458))+(X124*($P$124+$C$459))+($P$125+$C$460)</f>
        <v>26.8979</v>
      </c>
      <c r="AH124" s="132" t="s">
        <v>9</v>
      </c>
      <c r="AI124">
        <v>0.2828</v>
      </c>
      <c r="AK124" s="144" t="s">
        <v>25</v>
      </c>
      <c r="AL124" s="1">
        <v>14</v>
      </c>
      <c r="AM124" s="1">
        <f>((AL124*AL124)*($AI$123+$AC$24))+(AL124*($AI$124+$AE$24))+($AI$125+$AG$24)</f>
        <v>29.5808</v>
      </c>
      <c r="AO124" s="132" t="s">
        <v>9</v>
      </c>
      <c r="AP124" s="132">
        <v>0.3145</v>
      </c>
      <c r="AT124" s="145">
        <v>12</v>
      </c>
      <c r="AU124" s="1">
        <v>14</v>
      </c>
      <c r="AV124" s="1">
        <f>((AU124*AU124)*($AP$123+$AP$23))+(AU124*($AP$124+$AP$24))+($AP$125+$AP$25)</f>
        <v>27.256100000000004</v>
      </c>
      <c r="BE124" s="132" t="s">
        <v>9</v>
      </c>
      <c r="BF124" s="132">
        <v>0.35610000000000003</v>
      </c>
      <c r="BH124" s="146" t="s">
        <v>33</v>
      </c>
      <c r="BI124" s="1">
        <v>14</v>
      </c>
      <c r="BJ124" s="1">
        <f>((BI124*BI124)*($BF$123+$BB$23))+(BI124*($BF$124+$BB$24))+($BF$125+$BB$25)</f>
        <v>29.944799999999997</v>
      </c>
    </row>
    <row r="125" spans="2:62" x14ac:dyDescent="0.25">
      <c r="B125" s="1">
        <v>13</v>
      </c>
      <c r="C125" s="1">
        <f t="shared" ref="C125:C142" si="55">AVERAGE(E125,F125,D125)</f>
        <v>24.256002999999996</v>
      </c>
      <c r="D125" s="3">
        <v>24.095873999999998</v>
      </c>
      <c r="E125" s="3">
        <v>24.157423000000001</v>
      </c>
      <c r="F125" s="3">
        <v>24.514711999999999</v>
      </c>
      <c r="O125" s="132" t="s">
        <v>10</v>
      </c>
      <c r="P125" s="132">
        <v>10.057</v>
      </c>
      <c r="Q125" s="132" t="s">
        <v>16</v>
      </c>
      <c r="R125" s="1">
        <v>13</v>
      </c>
      <c r="S125" s="1">
        <f t="shared" ref="S125:S137" si="56">((R125*R125)*($P$123+$Q$408))+(R125*($P$124+$S$408))+($P$125+$U$408)</f>
        <v>26.129999999999995</v>
      </c>
      <c r="W125" s="143" t="s">
        <v>25</v>
      </c>
      <c r="X125" s="1">
        <v>13</v>
      </c>
      <c r="Y125" s="1">
        <f t="shared" ref="Y125:Y137" si="57">((X125*X125)*($P$123+$C$458))+(X125*($P$124+$C$459))+($P$125+$C$460)</f>
        <v>24.827200000000001</v>
      </c>
      <c r="AH125" s="132" t="s">
        <v>10</v>
      </c>
      <c r="AI125">
        <v>10.051</v>
      </c>
      <c r="AK125" s="144" t="s">
        <v>25</v>
      </c>
      <c r="AL125" s="1">
        <v>13</v>
      </c>
      <c r="AM125" s="1">
        <f t="shared" ref="AM125:AM137" si="58">((AL125*AL125)*($AI$123+$AC$24))+(AL125*($AI$124+$AE$24))+($AI$125+$AG$24)</f>
        <v>26.810399999999998</v>
      </c>
      <c r="AO125" s="132" t="s">
        <v>10</v>
      </c>
      <c r="AP125" s="132">
        <v>10.057</v>
      </c>
      <c r="AT125" s="145">
        <v>12</v>
      </c>
      <c r="AU125" s="1">
        <v>13</v>
      </c>
      <c r="AV125" s="1">
        <f t="shared" ref="AV125:AV137" si="59">((AU125*AU125)*($AP$123+$AP$23))+(AU125*($AP$124+$AP$24))+($AP$125+$AP$25)</f>
        <v>25.2715</v>
      </c>
      <c r="BE125" s="132" t="s">
        <v>10</v>
      </c>
      <c r="BF125" s="132">
        <v>10.506</v>
      </c>
      <c r="BH125" s="146" t="s">
        <v>33</v>
      </c>
      <c r="BI125" s="1">
        <v>13</v>
      </c>
      <c r="BJ125" s="1">
        <f t="shared" ref="BJ125:BJ137" si="60">((BI125*BI125)*($BF$123+$BB$23))+(BI125*($BF$124+$BB$24))+($BF$125+$BB$25)</f>
        <v>27.254999999999999</v>
      </c>
    </row>
    <row r="126" spans="2:62" x14ac:dyDescent="0.25">
      <c r="B126" s="1">
        <v>12</v>
      </c>
      <c r="C126" s="1">
        <f t="shared" si="55"/>
        <v>22.752510000000001</v>
      </c>
      <c r="D126" s="3">
        <v>22.443512999999999</v>
      </c>
      <c r="E126" s="3">
        <v>22.702303000000001</v>
      </c>
      <c r="F126" s="3">
        <v>23.111713999999999</v>
      </c>
      <c r="O126" s="132"/>
      <c r="P126" s="132"/>
      <c r="Q126" s="132"/>
      <c r="R126" s="1">
        <v>12</v>
      </c>
      <c r="S126" s="1">
        <f t="shared" si="56"/>
        <v>23.708600000000001</v>
      </c>
      <c r="W126" s="143" t="s">
        <v>25</v>
      </c>
      <c r="X126" s="1">
        <v>12</v>
      </c>
      <c r="Y126" s="1">
        <f t="shared" si="57"/>
        <v>22.891100000000002</v>
      </c>
      <c r="AH126" s="132"/>
      <c r="AK126" s="144" t="s">
        <v>25</v>
      </c>
      <c r="AL126" s="1">
        <v>12</v>
      </c>
      <c r="AM126" s="1">
        <f t="shared" si="58"/>
        <v>24.258199999999999</v>
      </c>
      <c r="AO126" s="132"/>
      <c r="AP126" s="132"/>
      <c r="AT126" s="145">
        <v>12</v>
      </c>
      <c r="AU126" s="1">
        <v>12</v>
      </c>
      <c r="AV126" s="1">
        <f t="shared" si="59"/>
        <v>23.408899999999999</v>
      </c>
      <c r="BE126" s="132"/>
      <c r="BF126" s="132"/>
      <c r="BH126" s="146" t="s">
        <v>33</v>
      </c>
      <c r="BI126" s="1">
        <v>12</v>
      </c>
      <c r="BJ126" s="1">
        <f t="shared" si="60"/>
        <v>24.771999999999998</v>
      </c>
    </row>
    <row r="127" spans="2:62" x14ac:dyDescent="0.25">
      <c r="B127" s="1">
        <v>11</v>
      </c>
      <c r="C127" s="1">
        <f t="shared" si="55"/>
        <v>20.648190666666668</v>
      </c>
      <c r="D127" s="3">
        <v>20.471938000000002</v>
      </c>
      <c r="E127" s="3">
        <v>20.39621</v>
      </c>
      <c r="F127" s="3">
        <v>21.076423999999999</v>
      </c>
      <c r="O127" s="132"/>
      <c r="P127" s="132"/>
      <c r="Q127" s="132"/>
      <c r="R127" s="1">
        <v>11</v>
      </c>
      <c r="S127" s="1">
        <f t="shared" si="56"/>
        <v>21.4924</v>
      </c>
      <c r="W127" s="143" t="s">
        <v>25</v>
      </c>
      <c r="X127" s="1">
        <v>11</v>
      </c>
      <c r="Y127" s="1">
        <f t="shared" si="57"/>
        <v>21.089600000000001</v>
      </c>
      <c r="AH127" s="132"/>
      <c r="AK127" s="144" t="s">
        <v>25</v>
      </c>
      <c r="AL127" s="1">
        <v>11</v>
      </c>
      <c r="AM127" s="1">
        <f t="shared" si="58"/>
        <v>21.924199999999999</v>
      </c>
      <c r="AO127" s="132"/>
      <c r="AP127" s="132"/>
      <c r="AT127" s="145">
        <v>12</v>
      </c>
      <c r="AU127" s="1">
        <v>11</v>
      </c>
      <c r="AV127" s="1">
        <f t="shared" si="59"/>
        <v>21.668300000000002</v>
      </c>
      <c r="BE127" s="132"/>
      <c r="BF127" s="132"/>
      <c r="BH127" s="146" t="s">
        <v>33</v>
      </c>
      <c r="BI127" s="1">
        <v>11</v>
      </c>
      <c r="BJ127" s="1">
        <f t="shared" si="60"/>
        <v>22.495799999999999</v>
      </c>
    </row>
    <row r="128" spans="2:62" x14ac:dyDescent="0.25">
      <c r="B128" s="1">
        <v>10</v>
      </c>
      <c r="C128" s="1">
        <f t="shared" si="55"/>
        <v>18.903992666666667</v>
      </c>
      <c r="D128" s="3">
        <v>18.852080999999998</v>
      </c>
      <c r="E128" s="3">
        <v>18.552849999999999</v>
      </c>
      <c r="F128" s="3">
        <v>19.307047000000001</v>
      </c>
      <c r="O128" s="132"/>
      <c r="P128" s="132"/>
      <c r="Q128" s="132"/>
      <c r="R128" s="1">
        <v>10</v>
      </c>
      <c r="S128" s="1">
        <f t="shared" si="56"/>
        <v>19.481400000000001</v>
      </c>
      <c r="W128" s="143" t="s">
        <v>25</v>
      </c>
      <c r="X128" s="1">
        <v>10</v>
      </c>
      <c r="Y128" s="1">
        <f t="shared" si="57"/>
        <v>19.422699999999999</v>
      </c>
      <c r="AH128" s="132"/>
      <c r="AK128" s="144" t="s">
        <v>25</v>
      </c>
      <c r="AL128" s="1">
        <v>10</v>
      </c>
      <c r="AM128" s="1">
        <f t="shared" si="58"/>
        <v>19.808399999999999</v>
      </c>
      <c r="AO128" s="132"/>
      <c r="AP128" s="132"/>
      <c r="AT128" s="145">
        <v>12</v>
      </c>
      <c r="AU128" s="1">
        <v>10</v>
      </c>
      <c r="AV128" s="1">
        <f t="shared" si="59"/>
        <v>20.049700000000001</v>
      </c>
      <c r="BE128" s="132"/>
      <c r="BF128" s="132"/>
      <c r="BH128" s="146" t="s">
        <v>33</v>
      </c>
      <c r="BI128" s="1">
        <v>10</v>
      </c>
      <c r="BJ128" s="1">
        <f t="shared" si="60"/>
        <v>20.426400000000001</v>
      </c>
    </row>
    <row r="129" spans="2:62" x14ac:dyDescent="0.25">
      <c r="B129" s="1">
        <v>9</v>
      </c>
      <c r="C129" s="1">
        <f t="shared" si="55"/>
        <v>17.613710666666666</v>
      </c>
      <c r="D129" s="3">
        <v>17.520985</v>
      </c>
      <c r="E129" s="3">
        <v>17.265329999999999</v>
      </c>
      <c r="F129" s="3">
        <v>18.054817</v>
      </c>
      <c r="O129" s="132"/>
      <c r="P129" s="132"/>
      <c r="Q129" s="132"/>
      <c r="R129" s="1">
        <v>9</v>
      </c>
      <c r="S129" s="1">
        <f t="shared" si="56"/>
        <v>17.675599999999999</v>
      </c>
      <c r="W129" s="143" t="s">
        <v>25</v>
      </c>
      <c r="X129" s="1">
        <v>9</v>
      </c>
      <c r="Y129" s="1">
        <f t="shared" si="57"/>
        <v>17.8904</v>
      </c>
      <c r="AH129" s="132"/>
      <c r="AK129" s="144" t="s">
        <v>25</v>
      </c>
      <c r="AL129" s="1">
        <v>9</v>
      </c>
      <c r="AM129" s="1">
        <f t="shared" si="58"/>
        <v>17.910799999999998</v>
      </c>
      <c r="AO129" s="132"/>
      <c r="AP129" s="132"/>
      <c r="AT129" s="145">
        <v>12</v>
      </c>
      <c r="AU129" s="1">
        <v>9</v>
      </c>
      <c r="AV129" s="1">
        <f t="shared" si="59"/>
        <v>18.553100000000001</v>
      </c>
      <c r="BE129" s="132"/>
      <c r="BF129" s="132"/>
      <c r="BH129" s="146" t="s">
        <v>33</v>
      </c>
      <c r="BI129" s="1">
        <v>9</v>
      </c>
      <c r="BJ129" s="1">
        <f t="shared" si="60"/>
        <v>18.563800000000001</v>
      </c>
    </row>
    <row r="130" spans="2:62" x14ac:dyDescent="0.25">
      <c r="B130" s="1">
        <v>8</v>
      </c>
      <c r="C130" s="1">
        <f t="shared" si="55"/>
        <v>16.405876333333335</v>
      </c>
      <c r="D130" s="3">
        <v>16.400600000000001</v>
      </c>
      <c r="E130" s="3">
        <v>16.178487000000001</v>
      </c>
      <c r="F130" s="3">
        <v>16.638542000000001</v>
      </c>
      <c r="O130" s="132"/>
      <c r="P130" s="132"/>
      <c r="Q130" s="132"/>
      <c r="R130" s="1">
        <v>8</v>
      </c>
      <c r="S130" s="1">
        <f t="shared" si="56"/>
        <v>16.074999999999999</v>
      </c>
      <c r="W130" s="143" t="s">
        <v>25</v>
      </c>
      <c r="X130" s="1">
        <v>8</v>
      </c>
      <c r="Y130" s="1">
        <f t="shared" si="57"/>
        <v>16.492699999999999</v>
      </c>
      <c r="AH130" s="132"/>
      <c r="AK130" s="144" t="s">
        <v>25</v>
      </c>
      <c r="AL130" s="1">
        <v>8</v>
      </c>
      <c r="AM130" s="1">
        <f t="shared" si="58"/>
        <v>16.231400000000001</v>
      </c>
      <c r="AO130" s="132"/>
      <c r="AP130" s="132"/>
      <c r="AT130" s="145">
        <v>12</v>
      </c>
      <c r="AU130" s="1">
        <v>8</v>
      </c>
      <c r="AV130" s="1">
        <f t="shared" si="59"/>
        <v>17.1785</v>
      </c>
      <c r="BE130" s="132"/>
      <c r="BF130" s="132"/>
      <c r="BH130" s="146" t="s">
        <v>33</v>
      </c>
      <c r="BI130" s="1">
        <v>8</v>
      </c>
      <c r="BJ130" s="1">
        <f t="shared" si="60"/>
        <v>16.908000000000001</v>
      </c>
    </row>
    <row r="131" spans="2:62" x14ac:dyDescent="0.25">
      <c r="B131" s="1">
        <v>7</v>
      </c>
      <c r="C131" s="1">
        <f t="shared" si="55"/>
        <v>15.204537333333334</v>
      </c>
      <c r="D131" s="3">
        <v>15.057095</v>
      </c>
      <c r="E131" s="3">
        <v>14.908319000000001</v>
      </c>
      <c r="F131" s="3">
        <v>15.648198000000001</v>
      </c>
      <c r="O131" s="132"/>
      <c r="P131" s="132"/>
      <c r="Q131" s="132"/>
      <c r="R131" s="1">
        <v>7</v>
      </c>
      <c r="S131" s="1">
        <f t="shared" si="56"/>
        <v>14.679600000000001</v>
      </c>
      <c r="W131" s="143" t="s">
        <v>25</v>
      </c>
      <c r="X131" s="1">
        <v>7</v>
      </c>
      <c r="Y131" s="1">
        <f t="shared" si="57"/>
        <v>15.229600000000001</v>
      </c>
      <c r="AH131" s="132"/>
      <c r="AK131" s="144" t="s">
        <v>25</v>
      </c>
      <c r="AL131" s="1">
        <v>7</v>
      </c>
      <c r="AM131" s="1">
        <f t="shared" si="58"/>
        <v>14.770199999999999</v>
      </c>
      <c r="AO131" s="132"/>
      <c r="AP131" s="132"/>
      <c r="AT131" s="145">
        <v>12</v>
      </c>
      <c r="AU131" s="1">
        <v>7</v>
      </c>
      <c r="AV131" s="1">
        <f t="shared" si="59"/>
        <v>15.9259</v>
      </c>
      <c r="BE131" s="132"/>
      <c r="BF131" s="132"/>
      <c r="BH131" s="146" t="s">
        <v>33</v>
      </c>
      <c r="BI131" s="1">
        <v>7</v>
      </c>
      <c r="BJ131" s="1">
        <f t="shared" si="60"/>
        <v>15.459</v>
      </c>
    </row>
    <row r="132" spans="2:62" x14ac:dyDescent="0.25">
      <c r="B132" s="1">
        <v>6</v>
      </c>
      <c r="C132" s="1">
        <f t="shared" si="55"/>
        <v>14.102730333333334</v>
      </c>
      <c r="D132" s="3">
        <v>13.91513</v>
      </c>
      <c r="E132" s="3">
        <v>13.839124999999999</v>
      </c>
      <c r="F132" s="3">
        <v>14.553936</v>
      </c>
      <c r="O132" s="132"/>
      <c r="P132" s="132"/>
      <c r="Q132" s="132"/>
      <c r="R132" s="1">
        <v>6</v>
      </c>
      <c r="S132" s="1">
        <f t="shared" si="56"/>
        <v>13.4894</v>
      </c>
      <c r="W132" s="143" t="s">
        <v>25</v>
      </c>
      <c r="X132" s="1">
        <v>6</v>
      </c>
      <c r="Y132" s="1">
        <f t="shared" si="57"/>
        <v>14.101100000000001</v>
      </c>
      <c r="AH132" s="132"/>
      <c r="AK132" s="144" t="s">
        <v>25</v>
      </c>
      <c r="AL132" s="1">
        <v>6</v>
      </c>
      <c r="AM132" s="1">
        <f t="shared" si="58"/>
        <v>13.527199999999999</v>
      </c>
      <c r="AO132" s="132"/>
      <c r="AP132" s="132"/>
      <c r="AT132" s="145">
        <v>12</v>
      </c>
      <c r="AU132" s="1">
        <v>6</v>
      </c>
      <c r="AV132" s="1">
        <f t="shared" si="59"/>
        <v>14.795300000000001</v>
      </c>
      <c r="BE132" s="132"/>
      <c r="BF132" s="132"/>
      <c r="BH132" s="146" t="s">
        <v>33</v>
      </c>
      <c r="BI132" s="1">
        <v>6</v>
      </c>
      <c r="BJ132" s="1">
        <f t="shared" si="60"/>
        <v>14.216799999999999</v>
      </c>
    </row>
    <row r="133" spans="2:62" x14ac:dyDescent="0.25">
      <c r="B133" s="1">
        <v>5</v>
      </c>
      <c r="C133" s="1">
        <f t="shared" si="55"/>
        <v>12.881004333333332</v>
      </c>
      <c r="D133" s="3">
        <v>12.586411999999999</v>
      </c>
      <c r="E133" s="3">
        <v>12.676615999999999</v>
      </c>
      <c r="F133" s="3">
        <v>13.379985</v>
      </c>
      <c r="O133" s="132" t="s">
        <v>8</v>
      </c>
      <c r="P133" s="132">
        <v>1.2699999999999999E-2</v>
      </c>
      <c r="Q133" s="132" t="s">
        <v>14</v>
      </c>
      <c r="R133" s="1">
        <v>5</v>
      </c>
      <c r="S133" s="1">
        <f t="shared" si="56"/>
        <v>12.504399999999999</v>
      </c>
      <c r="W133" s="143" t="s">
        <v>25</v>
      </c>
      <c r="X133" s="1">
        <v>5</v>
      </c>
      <c r="Y133" s="1">
        <f t="shared" si="57"/>
        <v>13.107200000000001</v>
      </c>
      <c r="AH133" s="132" t="s">
        <v>8</v>
      </c>
      <c r="AI133">
        <v>1.24E-2</v>
      </c>
      <c r="AK133" s="144" t="s">
        <v>25</v>
      </c>
      <c r="AL133" s="1">
        <v>5</v>
      </c>
      <c r="AM133" s="1">
        <f t="shared" si="58"/>
        <v>12.5024</v>
      </c>
      <c r="AO133" s="132" t="s">
        <v>8</v>
      </c>
      <c r="AP133" s="132">
        <v>1.2699999999999999E-2</v>
      </c>
      <c r="AT133" s="145">
        <v>12</v>
      </c>
      <c r="AU133" s="1">
        <v>5</v>
      </c>
      <c r="AV133" s="1">
        <f t="shared" si="59"/>
        <v>13.7867</v>
      </c>
      <c r="BE133" s="132" t="s">
        <v>8</v>
      </c>
      <c r="BF133" s="132">
        <v>1.24E-2</v>
      </c>
      <c r="BH133" s="146" t="s">
        <v>33</v>
      </c>
      <c r="BI133" s="1">
        <v>5</v>
      </c>
      <c r="BJ133" s="1">
        <f t="shared" si="60"/>
        <v>13.1814</v>
      </c>
    </row>
    <row r="134" spans="2:62" x14ac:dyDescent="0.25">
      <c r="B134" s="1">
        <v>4</v>
      </c>
      <c r="C134" s="1">
        <f t="shared" si="55"/>
        <v>12.429928666666667</v>
      </c>
      <c r="D134" s="3">
        <v>12.12781</v>
      </c>
      <c r="E134" s="3">
        <v>12.239516</v>
      </c>
      <c r="F134" s="3">
        <v>12.922459999999999</v>
      </c>
      <c r="O134" s="132" t="s">
        <v>9</v>
      </c>
      <c r="P134" s="132">
        <v>0.43209999999999998</v>
      </c>
      <c r="Q134" s="132" t="s">
        <v>17</v>
      </c>
      <c r="R134" s="1">
        <v>4</v>
      </c>
      <c r="S134" s="1">
        <f t="shared" si="56"/>
        <v>11.724599999999999</v>
      </c>
      <c r="W134" s="143" t="s">
        <v>25</v>
      </c>
      <c r="X134" s="1">
        <v>4</v>
      </c>
      <c r="Y134" s="1">
        <f t="shared" si="57"/>
        <v>12.247900000000001</v>
      </c>
      <c r="AH134" s="132" t="s">
        <v>9</v>
      </c>
      <c r="AI134">
        <v>0.4244</v>
      </c>
      <c r="AK134" s="144" t="s">
        <v>25</v>
      </c>
      <c r="AL134" s="1">
        <v>4</v>
      </c>
      <c r="AM134" s="1">
        <f t="shared" si="58"/>
        <v>11.695799999999998</v>
      </c>
      <c r="AO134" s="132" t="s">
        <v>9</v>
      </c>
      <c r="AP134" s="132">
        <v>0.43209999999999998</v>
      </c>
      <c r="AT134" s="145">
        <v>12</v>
      </c>
      <c r="AU134" s="1">
        <v>4</v>
      </c>
      <c r="AV134" s="1">
        <f t="shared" si="59"/>
        <v>12.9001</v>
      </c>
      <c r="BE134" s="132" t="s">
        <v>9</v>
      </c>
      <c r="BF134" s="132">
        <v>0.44440000000000002</v>
      </c>
      <c r="BH134" s="146" t="s">
        <v>33</v>
      </c>
      <c r="BI134" s="1">
        <v>4</v>
      </c>
      <c r="BJ134" s="1">
        <f t="shared" si="60"/>
        <v>12.3528</v>
      </c>
    </row>
    <row r="135" spans="2:62" x14ac:dyDescent="0.25">
      <c r="B135" s="1">
        <v>3</v>
      </c>
      <c r="C135" s="1">
        <f t="shared" si="55"/>
        <v>11.340010666666666</v>
      </c>
      <c r="D135" s="3">
        <v>11.177723</v>
      </c>
      <c r="E135" s="3">
        <v>11.317484</v>
      </c>
      <c r="F135" s="3">
        <v>11.524825</v>
      </c>
      <c r="O135" s="132" t="s">
        <v>10</v>
      </c>
      <c r="P135" s="132">
        <v>9.9426000000000005</v>
      </c>
      <c r="Q135" s="132" t="s">
        <v>18</v>
      </c>
      <c r="R135" s="1">
        <v>3</v>
      </c>
      <c r="S135" s="1">
        <f t="shared" si="56"/>
        <v>11.149999999999999</v>
      </c>
      <c r="W135" s="143" t="s">
        <v>25</v>
      </c>
      <c r="X135" s="1">
        <v>3</v>
      </c>
      <c r="Y135" s="1">
        <f t="shared" si="57"/>
        <v>11.523200000000001</v>
      </c>
      <c r="AH135" s="132" t="s">
        <v>10</v>
      </c>
      <c r="AI135">
        <v>9.9283000000000001</v>
      </c>
      <c r="AK135" s="144" t="s">
        <v>25</v>
      </c>
      <c r="AL135" s="1">
        <v>3</v>
      </c>
      <c r="AM135" s="1">
        <f t="shared" si="58"/>
        <v>11.107399999999998</v>
      </c>
      <c r="AO135" s="132" t="s">
        <v>10</v>
      </c>
      <c r="AP135" s="132">
        <v>9.9426000000000005</v>
      </c>
      <c r="AT135" s="145">
        <v>12</v>
      </c>
      <c r="AU135" s="1">
        <v>3</v>
      </c>
      <c r="AV135" s="1">
        <f t="shared" si="59"/>
        <v>12.1355</v>
      </c>
      <c r="BE135" s="132" t="s">
        <v>10</v>
      </c>
      <c r="BF135" s="132">
        <v>10.429</v>
      </c>
      <c r="BH135" s="146" t="s">
        <v>33</v>
      </c>
      <c r="BI135" s="1">
        <v>3</v>
      </c>
      <c r="BJ135" s="1">
        <f t="shared" si="60"/>
        <v>11.731</v>
      </c>
    </row>
    <row r="136" spans="2:62" x14ac:dyDescent="0.25">
      <c r="B136" s="1">
        <v>2</v>
      </c>
      <c r="C136" s="1">
        <f t="shared" si="55"/>
        <v>11.017094999999999</v>
      </c>
      <c r="D136" s="3">
        <v>10.665376</v>
      </c>
      <c r="E136" s="3">
        <v>10.864571</v>
      </c>
      <c r="F136" s="3">
        <v>11.521338</v>
      </c>
      <c r="O136" s="132"/>
      <c r="P136" s="132"/>
      <c r="Q136" s="132"/>
      <c r="R136" s="1">
        <v>2</v>
      </c>
      <c r="S136" s="1">
        <f t="shared" si="56"/>
        <v>10.7806</v>
      </c>
      <c r="W136" s="143" t="s">
        <v>25</v>
      </c>
      <c r="X136" s="1">
        <v>2</v>
      </c>
      <c r="Y136" s="1">
        <f t="shared" si="57"/>
        <v>10.933100000000001</v>
      </c>
      <c r="AK136" s="144" t="s">
        <v>25</v>
      </c>
      <c r="AL136" s="1">
        <v>2</v>
      </c>
      <c r="AM136" s="1">
        <f t="shared" si="58"/>
        <v>10.7372</v>
      </c>
      <c r="AT136" s="145">
        <v>12</v>
      </c>
      <c r="AU136" s="1">
        <v>2</v>
      </c>
      <c r="AV136" s="1">
        <f t="shared" si="59"/>
        <v>11.492900000000001</v>
      </c>
      <c r="BH136" s="146" t="s">
        <v>33</v>
      </c>
      <c r="BI136" s="1">
        <v>2</v>
      </c>
      <c r="BJ136" s="1">
        <f t="shared" si="60"/>
        <v>11.316000000000001</v>
      </c>
    </row>
    <row r="137" spans="2:62" x14ac:dyDescent="0.25">
      <c r="B137" s="1">
        <v>1</v>
      </c>
      <c r="C137" s="1">
        <f t="shared" si="55"/>
        <v>10.511609</v>
      </c>
      <c r="D137" s="3">
        <v>10.146485</v>
      </c>
      <c r="E137" s="3">
        <v>10.368167</v>
      </c>
      <c r="F137" s="3">
        <v>11.020175</v>
      </c>
      <c r="O137" s="132"/>
      <c r="P137" s="132"/>
      <c r="Q137" s="132"/>
      <c r="R137" s="1">
        <v>1</v>
      </c>
      <c r="S137" s="1">
        <f t="shared" si="56"/>
        <v>10.616399999999999</v>
      </c>
      <c r="W137" s="143" t="s">
        <v>25</v>
      </c>
      <c r="X137" s="1">
        <v>1</v>
      </c>
      <c r="Y137" s="1">
        <f t="shared" si="57"/>
        <v>10.477600000000001</v>
      </c>
      <c r="AK137" s="144" t="s">
        <v>25</v>
      </c>
      <c r="AL137" s="1">
        <v>1</v>
      </c>
      <c r="AM137" s="1">
        <f t="shared" si="58"/>
        <v>10.585199999999999</v>
      </c>
      <c r="AT137" s="145">
        <v>12</v>
      </c>
      <c r="AU137" s="1">
        <v>1</v>
      </c>
      <c r="AV137" s="1">
        <f t="shared" si="59"/>
        <v>10.972300000000001</v>
      </c>
      <c r="BH137" s="146" t="s">
        <v>33</v>
      </c>
      <c r="BI137" s="1">
        <v>1</v>
      </c>
      <c r="BJ137" s="1">
        <f t="shared" si="60"/>
        <v>11.107800000000001</v>
      </c>
    </row>
    <row r="138" spans="2:62" x14ac:dyDescent="0.25">
      <c r="B138" s="1">
        <v>0</v>
      </c>
      <c r="C138" s="1">
        <f t="shared" si="55"/>
        <v>10.026695999999999</v>
      </c>
      <c r="D138" s="3">
        <v>9.6847379999999994</v>
      </c>
      <c r="E138" s="3">
        <v>9.8789379999999998</v>
      </c>
      <c r="F138" s="3">
        <v>10.516412000000001</v>
      </c>
      <c r="O138" s="132"/>
      <c r="P138" s="132"/>
      <c r="Q138" s="132"/>
      <c r="R138" s="1">
        <v>0</v>
      </c>
      <c r="S138" s="1">
        <f>((R138*R138)*($P$133+$Q$409))+(R138*($P$134+$S$409))+($P$135+$U$409)</f>
        <v>9.8848000000000003</v>
      </c>
      <c r="W138" s="143" t="s">
        <v>25</v>
      </c>
      <c r="X138" s="1">
        <v>0</v>
      </c>
      <c r="Y138" s="1">
        <f>((X138*X138)*($P$133+$E$458))+(X138*($P$134+$E$459))+($P$135+$E$460)</f>
        <v>9.9283000000000001</v>
      </c>
      <c r="AK138" s="144" t="s">
        <v>25</v>
      </c>
      <c r="AL138" s="1">
        <v>0</v>
      </c>
      <c r="AM138" s="1">
        <f>((AL138*AL138)*($AI$133+$AC$25))+(AL138*($AI$134+$AE$25))+($AI$135+$AG$25)</f>
        <v>9.8704999999999998</v>
      </c>
      <c r="AT138" s="145">
        <v>12</v>
      </c>
      <c r="AU138" s="1">
        <v>0</v>
      </c>
      <c r="AV138" s="1">
        <f>((AU138*AU138)*($AP$133+$AR$23))+(AU138*($AP$134+$AR$24))+($AP$135+$AR$25)</f>
        <v>10.428900000000001</v>
      </c>
      <c r="BH138" s="146" t="s">
        <v>33</v>
      </c>
      <c r="BI138" s="1">
        <v>0</v>
      </c>
      <c r="BJ138" s="1">
        <f>((BI138*BI138)*($BF$133+$BD$23))+(BI138*($BF$134+$BD$24))+($BF$135+$BD$25)</f>
        <v>10.3712</v>
      </c>
    </row>
    <row r="139" spans="2:62" x14ac:dyDescent="0.25">
      <c r="B139" s="1">
        <v>-5</v>
      </c>
      <c r="C139" s="1">
        <f t="shared" si="55"/>
        <v>7.9218183333333334</v>
      </c>
      <c r="D139" s="3">
        <v>7.5699069999999997</v>
      </c>
      <c r="E139" s="3">
        <v>7.8013190000000003</v>
      </c>
      <c r="F139" s="3">
        <v>8.3942289999999993</v>
      </c>
      <c r="O139" s="132"/>
      <c r="P139" s="132"/>
      <c r="Q139" s="132"/>
      <c r="R139" s="1">
        <v>-5</v>
      </c>
      <c r="S139" s="1">
        <f t="shared" ref="S139:S142" si="61">((R139*R139)*($P$133+$Q$409))+(R139*($P$134+$S$409))+($P$135+$U$409)</f>
        <v>8.0352999999999994</v>
      </c>
      <c r="W139" s="143" t="s">
        <v>25</v>
      </c>
      <c r="X139" s="1">
        <v>-5</v>
      </c>
      <c r="Y139" s="1">
        <f t="shared" ref="Y139:Y142" si="62">((X139*X139)*($P$133+$E$458))+(X139*($P$134+$E$459))+($P$135+$E$460)</f>
        <v>8.1163000000000007</v>
      </c>
      <c r="AK139" s="144" t="s">
        <v>25</v>
      </c>
      <c r="AL139" s="1">
        <v>-5</v>
      </c>
      <c r="AM139" s="1">
        <f t="shared" ref="AM139:AM142" si="63">((AL139*AL139)*($AI$133+$AC$25))+(AL139*($AI$134+$AE$25))+($AI$135+$AG$25)</f>
        <v>8.0519999999999996</v>
      </c>
      <c r="AT139" s="145">
        <v>12</v>
      </c>
      <c r="AU139" s="1">
        <v>-5</v>
      </c>
      <c r="AV139" s="1">
        <f t="shared" ref="AV139:AV142" si="64">((AU139*AU139)*($AP$133+$AR$23))+(AU139*($AP$134+$AR$24))+($AP$135+$AR$25)</f>
        <v>8.5168999999999997</v>
      </c>
      <c r="BH139" s="146" t="s">
        <v>33</v>
      </c>
      <c r="BI139" s="1">
        <v>-5</v>
      </c>
      <c r="BJ139" s="1">
        <f t="shared" ref="BJ139:BJ142" si="65">((BI139*BI139)*($BF$133+$BD$23))+(BI139*($BF$134+$BD$24))+($BF$135+$BD$25)</f>
        <v>8.4527000000000001</v>
      </c>
    </row>
    <row r="140" spans="2:62" x14ac:dyDescent="0.25">
      <c r="B140" s="1">
        <v>-10</v>
      </c>
      <c r="C140" s="1">
        <f t="shared" si="55"/>
        <v>6.9219826666666675</v>
      </c>
      <c r="D140" s="3">
        <v>6.6188640000000003</v>
      </c>
      <c r="E140" s="3">
        <v>6.8115579999999998</v>
      </c>
      <c r="F140" s="3">
        <v>7.3355259999999998</v>
      </c>
      <c r="O140" s="132"/>
      <c r="P140" s="132"/>
      <c r="Q140" s="132"/>
      <c r="R140" s="1">
        <v>-10</v>
      </c>
      <c r="S140" s="1">
        <f t="shared" si="61"/>
        <v>6.8308</v>
      </c>
      <c r="W140" s="143" t="s">
        <v>25</v>
      </c>
      <c r="X140" s="1">
        <v>-10</v>
      </c>
      <c r="Y140" s="1">
        <f t="shared" si="62"/>
        <v>6.9243000000000006</v>
      </c>
      <c r="AK140" s="144" t="s">
        <v>25</v>
      </c>
      <c r="AL140" s="1">
        <v>-10</v>
      </c>
      <c r="AM140" s="1">
        <f t="shared" si="63"/>
        <v>6.8634999999999993</v>
      </c>
      <c r="AT140" s="145">
        <v>12</v>
      </c>
      <c r="AU140" s="1">
        <v>-10</v>
      </c>
      <c r="AV140" s="1">
        <f t="shared" si="64"/>
        <v>7.2249000000000008</v>
      </c>
      <c r="BH140" s="146" t="s">
        <v>33</v>
      </c>
      <c r="BI140" s="1">
        <v>-10</v>
      </c>
      <c r="BJ140" s="1">
        <f t="shared" si="65"/>
        <v>7.1641999999999992</v>
      </c>
    </row>
    <row r="141" spans="2:62" x14ac:dyDescent="0.25">
      <c r="B141" s="1">
        <v>-15</v>
      </c>
      <c r="C141" s="1">
        <f t="shared" si="55"/>
        <v>6.4588936666666674</v>
      </c>
      <c r="D141" s="3">
        <v>6.2131540000000003</v>
      </c>
      <c r="E141" s="3">
        <v>6.3510759999999999</v>
      </c>
      <c r="F141" s="3">
        <v>6.8124510000000003</v>
      </c>
      <c r="O141" s="132"/>
      <c r="P141" s="132"/>
      <c r="Q141" s="132"/>
      <c r="R141" s="1">
        <v>-15</v>
      </c>
      <c r="S141" s="1">
        <f t="shared" si="61"/>
        <v>6.2713000000000001</v>
      </c>
      <c r="W141" s="143" t="s">
        <v>25</v>
      </c>
      <c r="X141" s="1">
        <v>-15</v>
      </c>
      <c r="Y141" s="1">
        <f t="shared" si="62"/>
        <v>6.3523000000000005</v>
      </c>
      <c r="AK141" s="144" t="s">
        <v>25</v>
      </c>
      <c r="AL141" s="1">
        <v>-15</v>
      </c>
      <c r="AM141" s="1">
        <f t="shared" si="63"/>
        <v>6.3049999999999997</v>
      </c>
      <c r="AT141" s="145">
        <v>12</v>
      </c>
      <c r="AU141" s="1">
        <v>-15</v>
      </c>
      <c r="AV141" s="1">
        <f t="shared" si="64"/>
        <v>6.5529000000000011</v>
      </c>
      <c r="BH141" s="146" t="s">
        <v>33</v>
      </c>
      <c r="BI141" s="1">
        <v>-15</v>
      </c>
      <c r="BJ141" s="1">
        <f t="shared" si="65"/>
        <v>6.5056999999999992</v>
      </c>
    </row>
    <row r="142" spans="2:62" x14ac:dyDescent="0.25">
      <c r="B142" s="1">
        <v>-20</v>
      </c>
      <c r="C142" s="1">
        <f t="shared" si="55"/>
        <v>6.3094440000000001</v>
      </c>
      <c r="D142" s="3">
        <v>6.2172869999999998</v>
      </c>
      <c r="E142" s="3">
        <v>6.3494710000000003</v>
      </c>
      <c r="F142" s="3">
        <v>6.3615740000000001</v>
      </c>
      <c r="O142" s="132"/>
      <c r="P142" s="132"/>
      <c r="Q142" s="132"/>
      <c r="R142" s="1">
        <v>-20</v>
      </c>
      <c r="S142" s="1">
        <f t="shared" si="61"/>
        <v>6.3567999999999998</v>
      </c>
      <c r="W142" s="143" t="s">
        <v>25</v>
      </c>
      <c r="X142" s="1">
        <v>-20</v>
      </c>
      <c r="Y142" s="1">
        <f t="shared" si="62"/>
        <v>6.4003000000000005</v>
      </c>
      <c r="AK142" s="144" t="s">
        <v>25</v>
      </c>
      <c r="AL142" s="1">
        <v>-20</v>
      </c>
      <c r="AM142" s="1">
        <f t="shared" si="63"/>
        <v>6.3764999999999992</v>
      </c>
      <c r="AT142" s="145">
        <v>12</v>
      </c>
      <c r="AU142" s="1">
        <v>-20</v>
      </c>
      <c r="AV142" s="1">
        <f t="shared" si="64"/>
        <v>6.5009000000000006</v>
      </c>
      <c r="BH142" s="146" t="s">
        <v>33</v>
      </c>
      <c r="BI142" s="1">
        <v>-20</v>
      </c>
      <c r="BJ142" s="1">
        <f t="shared" si="65"/>
        <v>6.477199999999999</v>
      </c>
    </row>
    <row r="146" spans="2:62" x14ac:dyDescent="0.25">
      <c r="B146" s="26" t="s">
        <v>0</v>
      </c>
      <c r="C146" s="26">
        <v>2.6</v>
      </c>
      <c r="D146" s="26"/>
      <c r="E146" s="26"/>
      <c r="F146" s="26"/>
      <c r="O146" s="132"/>
      <c r="P146" s="132"/>
      <c r="Q146" s="132"/>
      <c r="R146" s="132" t="s">
        <v>0</v>
      </c>
      <c r="S146" s="132">
        <v>2.6</v>
      </c>
      <c r="W146" s="132"/>
      <c r="X146" s="132" t="s">
        <v>0</v>
      </c>
      <c r="Y146" s="132">
        <v>2.6</v>
      </c>
      <c r="AK146" s="132"/>
      <c r="AL146" s="132" t="s">
        <v>0</v>
      </c>
      <c r="AM146" s="132">
        <v>2.6</v>
      </c>
      <c r="AT146" s="132"/>
      <c r="AU146" s="132" t="s">
        <v>0</v>
      </c>
      <c r="AV146" s="132">
        <v>2.6</v>
      </c>
      <c r="BH146" s="132"/>
      <c r="BI146" s="132" t="s">
        <v>0</v>
      </c>
      <c r="BJ146" s="132">
        <v>2.6</v>
      </c>
    </row>
    <row r="147" spans="2:62" x14ac:dyDescent="0.25">
      <c r="B147" s="1" t="s">
        <v>4</v>
      </c>
      <c r="C147" s="1" t="s">
        <v>5</v>
      </c>
      <c r="D147" s="1">
        <v>1</v>
      </c>
      <c r="E147" s="1">
        <v>2</v>
      </c>
      <c r="F147" s="1">
        <v>3</v>
      </c>
      <c r="O147" s="132" t="s">
        <v>8</v>
      </c>
      <c r="P147" s="132">
        <v>5.7200000000000001E-2</v>
      </c>
      <c r="Q147" s="132" t="s">
        <v>13</v>
      </c>
      <c r="R147" s="1" t="s">
        <v>4</v>
      </c>
      <c r="S147" s="1" t="s">
        <v>5</v>
      </c>
      <c r="W147" s="143" t="s">
        <v>26</v>
      </c>
      <c r="X147" s="1" t="s">
        <v>4</v>
      </c>
      <c r="Y147" s="1" t="s">
        <v>5</v>
      </c>
      <c r="AH147" s="132" t="s">
        <v>8</v>
      </c>
      <c r="AI147">
        <v>6.3399999999999998E-2</v>
      </c>
      <c r="AK147" s="144" t="s">
        <v>29</v>
      </c>
      <c r="AL147" s="1" t="s">
        <v>4</v>
      </c>
      <c r="AM147" s="1" t="s">
        <v>5</v>
      </c>
      <c r="AO147" s="132" t="s">
        <v>8</v>
      </c>
      <c r="AP147" s="132">
        <v>5.7200000000000001E-2</v>
      </c>
      <c r="AT147" s="145" t="s">
        <v>30</v>
      </c>
      <c r="AU147" s="1" t="s">
        <v>4</v>
      </c>
      <c r="AV147" s="1" t="s">
        <v>5</v>
      </c>
      <c r="BE147" s="132" t="s">
        <v>8</v>
      </c>
      <c r="BF147" s="132">
        <v>5.7700000000000001E-2</v>
      </c>
      <c r="BH147" s="146" t="s">
        <v>32</v>
      </c>
      <c r="BI147" s="1" t="s">
        <v>4</v>
      </c>
      <c r="BJ147" s="1" t="s">
        <v>5</v>
      </c>
    </row>
    <row r="148" spans="2:62" x14ac:dyDescent="0.25">
      <c r="B148" s="1">
        <v>14</v>
      </c>
      <c r="C148" s="1">
        <f>AVERAGE(E148,F148,D148)</f>
        <v>25.002994000000001</v>
      </c>
      <c r="D148" s="3">
        <v>24.943697</v>
      </c>
      <c r="E148" s="3">
        <v>24.836651</v>
      </c>
      <c r="F148" s="3">
        <v>25.228634</v>
      </c>
      <c r="O148" s="132" t="s">
        <v>9</v>
      </c>
      <c r="P148" s="132">
        <v>0.30499999999999999</v>
      </c>
      <c r="Q148" s="132" t="s">
        <v>15</v>
      </c>
      <c r="R148" s="1">
        <v>14</v>
      </c>
      <c r="S148" s="1">
        <f>((R148*R148)*($P$147+$Q$408))+(R148*($P$148+$S$408))+($P$149+$U$408)</f>
        <v>27.980299999999996</v>
      </c>
      <c r="W148" s="143" t="s">
        <v>25</v>
      </c>
      <c r="X148" s="1">
        <v>14</v>
      </c>
      <c r="Y148" s="1">
        <f>((X148*X148)*($P$147+$C$458))+(X148*($P$148+$C$459))+($P$149+$C$460)</f>
        <v>26.121600000000001</v>
      </c>
      <c r="AH148" s="132" t="s">
        <v>9</v>
      </c>
      <c r="AI148">
        <v>0.27829999999999999</v>
      </c>
      <c r="AK148" s="144" t="s">
        <v>25</v>
      </c>
      <c r="AL148" s="1">
        <v>14</v>
      </c>
      <c r="AM148" s="1">
        <f>((AL148*AL148)*($AI$147+$AC$24))+(AL148*($AI$148+$AE$24))+($AI$149+$AG$24)</f>
        <v>28.796999999999997</v>
      </c>
      <c r="AO148" s="132" t="s">
        <v>9</v>
      </c>
      <c r="AP148" s="132">
        <v>0.30499999999999999</v>
      </c>
      <c r="AT148" s="145">
        <v>12</v>
      </c>
      <c r="AU148" s="1">
        <v>14</v>
      </c>
      <c r="AV148" s="1">
        <f>((AU148*AU148)*($AP$147+$AP$23))+(AU148*($AP$148+$AP$24))+($AP$149+$AP$25)</f>
        <v>26.479799999999997</v>
      </c>
      <c r="BE148" s="132" t="s">
        <v>9</v>
      </c>
      <c r="BF148" s="132">
        <v>0.35160000000000002</v>
      </c>
      <c r="BH148" s="146" t="s">
        <v>33</v>
      </c>
      <c r="BI148" s="1">
        <v>14</v>
      </c>
      <c r="BJ148" s="1">
        <f>((BI148*BI148)*($BF$147+$BB$23))+(BI148*($BF$148+$BB$24))+($BF$149+$BB$25)</f>
        <v>29.1616</v>
      </c>
    </row>
    <row r="149" spans="2:62" x14ac:dyDescent="0.25">
      <c r="B149" s="1">
        <v>13</v>
      </c>
      <c r="C149" s="1">
        <f t="shared" ref="C149:C166" si="66">AVERAGE(E149,F149,D149)</f>
        <v>23.560609333333332</v>
      </c>
      <c r="D149" s="3">
        <v>23.404529</v>
      </c>
      <c r="E149" s="3">
        <v>23.437678999999999</v>
      </c>
      <c r="F149" s="3">
        <v>23.83962</v>
      </c>
      <c r="O149" s="132" t="s">
        <v>10</v>
      </c>
      <c r="P149" s="132">
        <v>9.7860999999999994</v>
      </c>
      <c r="Q149" s="132" t="s">
        <v>16</v>
      </c>
      <c r="R149" s="1">
        <v>13</v>
      </c>
      <c r="S149" s="1">
        <f t="shared" ref="S149:S161" si="67">((R149*R149)*($P$147+$Q$408))+(R149*($P$148+$S$408))+($P$149+$U$408)</f>
        <v>25.414499999999997</v>
      </c>
      <c r="W149" s="143" t="s">
        <v>25</v>
      </c>
      <c r="X149" s="1">
        <v>13</v>
      </c>
      <c r="Y149" s="1">
        <f t="shared" ref="Y149:Y161" si="68">((X149*X149)*($P$147+$C$458))+(X149*($P$148+$C$459))+($P$149+$C$460)</f>
        <v>24.111699999999999</v>
      </c>
      <c r="AH149" s="132" t="s">
        <v>10</v>
      </c>
      <c r="AI149">
        <v>9.7614000000000001</v>
      </c>
      <c r="AK149" s="144" t="s">
        <v>25</v>
      </c>
      <c r="AL149" s="1">
        <v>13</v>
      </c>
      <c r="AM149" s="1">
        <f t="shared" ref="AM149:AM161" si="69">((AL149*AL149)*($AI$147+$AC$24))+(AL149*($AI$148+$AE$24))+($AI$149+$AG$24)</f>
        <v>26.090499999999999</v>
      </c>
      <c r="AO149" s="132" t="s">
        <v>10</v>
      </c>
      <c r="AP149" s="132">
        <v>9.7860999999999994</v>
      </c>
      <c r="AT149" s="145">
        <v>12</v>
      </c>
      <c r="AU149" s="1">
        <v>13</v>
      </c>
      <c r="AV149" s="1">
        <f t="shared" ref="AV149:AV161" si="70">((AU149*AU149)*($AP$147+$AP$23))+(AU149*($AP$148+$AP$24))+($AP$149+$AP$25)</f>
        <v>24.555999999999997</v>
      </c>
      <c r="BE149" s="132" t="s">
        <v>10</v>
      </c>
      <c r="BF149" s="132">
        <v>10.217000000000001</v>
      </c>
      <c r="BH149" s="146" t="s">
        <v>33</v>
      </c>
      <c r="BI149" s="1">
        <v>13</v>
      </c>
      <c r="BJ149" s="1">
        <f t="shared" ref="BJ149:BJ161" si="71">((BI149*BI149)*($BF$147+$BB$23))+(BI149*($BF$148+$BB$24))+($BF$149+$BB$25)</f>
        <v>26.535699999999999</v>
      </c>
    </row>
    <row r="150" spans="2:62" x14ac:dyDescent="0.25">
      <c r="B150" s="1">
        <v>12</v>
      </c>
      <c r="C150" s="1">
        <f t="shared" si="66"/>
        <v>22.092990333333333</v>
      </c>
      <c r="D150" s="3">
        <v>21.809197000000001</v>
      </c>
      <c r="E150" s="3">
        <v>22.028714000000001</v>
      </c>
      <c r="F150" s="3">
        <v>22.44106</v>
      </c>
      <c r="O150" s="132"/>
      <c r="P150" s="132"/>
      <c r="Q150" s="132"/>
      <c r="R150" s="1">
        <v>12</v>
      </c>
      <c r="S150" s="1">
        <f t="shared" si="67"/>
        <v>23.0501</v>
      </c>
      <c r="W150" s="143" t="s">
        <v>25</v>
      </c>
      <c r="X150" s="1">
        <v>12</v>
      </c>
      <c r="Y150" s="1">
        <f t="shared" si="68"/>
        <v>22.232599999999998</v>
      </c>
      <c r="AH150" s="132"/>
      <c r="AK150" s="144" t="s">
        <v>25</v>
      </c>
      <c r="AL150" s="1">
        <v>12</v>
      </c>
      <c r="AM150" s="1">
        <f t="shared" si="69"/>
        <v>23.597799999999999</v>
      </c>
      <c r="AO150" s="132"/>
      <c r="AP150" s="132"/>
      <c r="AT150" s="145">
        <v>12</v>
      </c>
      <c r="AU150" s="1">
        <v>12</v>
      </c>
      <c r="AV150" s="1">
        <f t="shared" si="70"/>
        <v>22.750399999999999</v>
      </c>
      <c r="BE150" s="132"/>
      <c r="BF150" s="132"/>
      <c r="BH150" s="146" t="s">
        <v>33</v>
      </c>
      <c r="BI150" s="1">
        <v>12</v>
      </c>
      <c r="BJ150" s="1">
        <f t="shared" si="71"/>
        <v>24.112200000000001</v>
      </c>
    </row>
    <row r="151" spans="2:62" x14ac:dyDescent="0.25">
      <c r="B151" s="1">
        <v>11</v>
      </c>
      <c r="C151" s="1">
        <f t="shared" si="66"/>
        <v>19.987898666666666</v>
      </c>
      <c r="D151" s="3">
        <v>19.897888999999999</v>
      </c>
      <c r="E151" s="3">
        <v>19.794305999999999</v>
      </c>
      <c r="F151" s="3">
        <v>20.271501000000001</v>
      </c>
      <c r="O151" s="132"/>
      <c r="P151" s="132"/>
      <c r="Q151" s="132"/>
      <c r="R151" s="1">
        <v>11</v>
      </c>
      <c r="S151" s="1">
        <f t="shared" si="67"/>
        <v>20.887099999999997</v>
      </c>
      <c r="W151" s="143" t="s">
        <v>25</v>
      </c>
      <c r="X151" s="1">
        <v>11</v>
      </c>
      <c r="Y151" s="1">
        <f t="shared" si="68"/>
        <v>20.484300000000001</v>
      </c>
      <c r="AH151" s="132"/>
      <c r="AK151" s="144" t="s">
        <v>25</v>
      </c>
      <c r="AL151" s="1">
        <v>11</v>
      </c>
      <c r="AM151" s="1">
        <f t="shared" si="69"/>
        <v>21.318899999999999</v>
      </c>
      <c r="AO151" s="132"/>
      <c r="AP151" s="132"/>
      <c r="AT151" s="145">
        <v>12</v>
      </c>
      <c r="AU151" s="1">
        <v>11</v>
      </c>
      <c r="AV151" s="1">
        <f t="shared" si="70"/>
        <v>21.062999999999999</v>
      </c>
      <c r="BE151" s="132"/>
      <c r="BF151" s="132"/>
      <c r="BH151" s="146" t="s">
        <v>33</v>
      </c>
      <c r="BI151" s="1">
        <v>11</v>
      </c>
      <c r="BJ151" s="1">
        <f t="shared" si="71"/>
        <v>21.891100000000002</v>
      </c>
    </row>
    <row r="152" spans="2:62" x14ac:dyDescent="0.25">
      <c r="B152" s="1">
        <v>10</v>
      </c>
      <c r="C152" s="1">
        <f t="shared" si="66"/>
        <v>18.349395333333334</v>
      </c>
      <c r="D152" s="3">
        <v>18.312242000000001</v>
      </c>
      <c r="E152" s="3">
        <v>18.007342999999999</v>
      </c>
      <c r="F152" s="3">
        <v>18.728601000000001</v>
      </c>
      <c r="O152" s="132"/>
      <c r="P152" s="132"/>
      <c r="Q152" s="132"/>
      <c r="R152" s="1">
        <v>10</v>
      </c>
      <c r="S152" s="1">
        <f t="shared" si="67"/>
        <v>18.9255</v>
      </c>
      <c r="W152" s="143" t="s">
        <v>25</v>
      </c>
      <c r="X152" s="1">
        <v>10</v>
      </c>
      <c r="Y152" s="1">
        <f t="shared" si="68"/>
        <v>18.866799999999998</v>
      </c>
      <c r="AH152" s="132"/>
      <c r="AK152" s="144" t="s">
        <v>25</v>
      </c>
      <c r="AL152" s="1">
        <v>10</v>
      </c>
      <c r="AM152" s="1">
        <f t="shared" si="69"/>
        <v>19.253799999999998</v>
      </c>
      <c r="AO152" s="132"/>
      <c r="AP152" s="132"/>
      <c r="AT152" s="145">
        <v>12</v>
      </c>
      <c r="AU152" s="1">
        <v>10</v>
      </c>
      <c r="AV152" s="1">
        <f t="shared" si="70"/>
        <v>19.4938</v>
      </c>
      <c r="BE152" s="132"/>
      <c r="BF152" s="132"/>
      <c r="BH152" s="146" t="s">
        <v>33</v>
      </c>
      <c r="BI152" s="1">
        <v>10</v>
      </c>
      <c r="BJ152" s="1">
        <f t="shared" si="71"/>
        <v>19.872399999999999</v>
      </c>
    </row>
    <row r="153" spans="2:62" x14ac:dyDescent="0.25">
      <c r="B153" s="1">
        <v>9</v>
      </c>
      <c r="C153" s="1">
        <f t="shared" si="66"/>
        <v>17.103703666666664</v>
      </c>
      <c r="D153" s="3">
        <v>17.018374999999999</v>
      </c>
      <c r="E153" s="3">
        <v>16.759899999999998</v>
      </c>
      <c r="F153" s="3">
        <v>17.532836</v>
      </c>
      <c r="O153" s="132"/>
      <c r="P153" s="132"/>
      <c r="Q153" s="132"/>
      <c r="R153" s="1">
        <v>9</v>
      </c>
      <c r="S153" s="1">
        <f t="shared" si="67"/>
        <v>17.165299999999998</v>
      </c>
      <c r="W153" s="143" t="s">
        <v>25</v>
      </c>
      <c r="X153" s="1">
        <v>9</v>
      </c>
      <c r="Y153" s="1">
        <f t="shared" si="68"/>
        <v>17.380099999999999</v>
      </c>
      <c r="AH153" s="132"/>
      <c r="AK153" s="144" t="s">
        <v>25</v>
      </c>
      <c r="AL153" s="1">
        <v>9</v>
      </c>
      <c r="AM153" s="1">
        <f t="shared" si="69"/>
        <v>17.402499999999996</v>
      </c>
      <c r="AO153" s="132"/>
      <c r="AP153" s="132"/>
      <c r="AT153" s="145">
        <v>12</v>
      </c>
      <c r="AU153" s="1">
        <v>9</v>
      </c>
      <c r="AV153" s="1">
        <f t="shared" si="70"/>
        <v>18.0428</v>
      </c>
      <c r="BE153" s="132"/>
      <c r="BF153" s="132"/>
      <c r="BH153" s="146" t="s">
        <v>33</v>
      </c>
      <c r="BI153" s="1">
        <v>9</v>
      </c>
      <c r="BJ153" s="1">
        <f t="shared" si="71"/>
        <v>18.056100000000001</v>
      </c>
    </row>
    <row r="154" spans="2:62" x14ac:dyDescent="0.25">
      <c r="B154" s="1">
        <v>8</v>
      </c>
      <c r="C154" s="1">
        <f t="shared" si="66"/>
        <v>16.035585000000001</v>
      </c>
      <c r="D154" s="3">
        <v>15.945631000000001</v>
      </c>
      <c r="E154" s="3">
        <v>15.696151</v>
      </c>
      <c r="F154" s="3">
        <v>16.464973000000001</v>
      </c>
      <c r="O154" s="132"/>
      <c r="P154" s="132"/>
      <c r="Q154" s="132"/>
      <c r="R154" s="1">
        <v>8</v>
      </c>
      <c r="S154" s="1">
        <f t="shared" si="67"/>
        <v>15.606499999999999</v>
      </c>
      <c r="W154" s="143" t="s">
        <v>25</v>
      </c>
      <c r="X154" s="1">
        <v>8</v>
      </c>
      <c r="Y154" s="1">
        <f t="shared" si="68"/>
        <v>16.0242</v>
      </c>
      <c r="AH154" s="132"/>
      <c r="AK154" s="144" t="s">
        <v>25</v>
      </c>
      <c r="AL154" s="1">
        <v>8</v>
      </c>
      <c r="AM154" s="1">
        <f t="shared" si="69"/>
        <v>15.764999999999999</v>
      </c>
      <c r="AO154" s="132"/>
      <c r="AP154" s="132"/>
      <c r="AT154" s="145">
        <v>12</v>
      </c>
      <c r="AU154" s="1">
        <v>8</v>
      </c>
      <c r="AV154" s="1">
        <f t="shared" si="70"/>
        <v>16.71</v>
      </c>
      <c r="BE154" s="132"/>
      <c r="BF154" s="132"/>
      <c r="BH154" s="146" t="s">
        <v>33</v>
      </c>
      <c r="BI154" s="1">
        <v>8</v>
      </c>
      <c r="BJ154" s="1">
        <f t="shared" si="71"/>
        <v>16.4422</v>
      </c>
    </row>
    <row r="155" spans="2:62" x14ac:dyDescent="0.25">
      <c r="B155" s="1">
        <v>7</v>
      </c>
      <c r="C155" s="1">
        <f t="shared" si="66"/>
        <v>14.779756000000001</v>
      </c>
      <c r="D155" s="3">
        <v>14.631021</v>
      </c>
      <c r="E155" s="3">
        <v>14.47892</v>
      </c>
      <c r="F155" s="3">
        <v>15.229327</v>
      </c>
      <c r="O155" s="132"/>
      <c r="P155" s="132"/>
      <c r="Q155" s="132"/>
      <c r="R155" s="1">
        <v>7</v>
      </c>
      <c r="S155" s="1">
        <f t="shared" si="67"/>
        <v>14.249099999999999</v>
      </c>
      <c r="W155" s="143" t="s">
        <v>25</v>
      </c>
      <c r="X155" s="1">
        <v>7</v>
      </c>
      <c r="Y155" s="1">
        <f t="shared" si="68"/>
        <v>14.799099999999999</v>
      </c>
      <c r="AH155" s="132"/>
      <c r="AK155" s="144" t="s">
        <v>25</v>
      </c>
      <c r="AL155" s="1">
        <v>7</v>
      </c>
      <c r="AM155" s="1">
        <f t="shared" si="69"/>
        <v>14.341299999999999</v>
      </c>
      <c r="AO155" s="132"/>
      <c r="AP155" s="132"/>
      <c r="AT155" s="145">
        <v>12</v>
      </c>
      <c r="AU155" s="1">
        <v>7</v>
      </c>
      <c r="AV155" s="1">
        <f t="shared" si="70"/>
        <v>15.4954</v>
      </c>
      <c r="BE155" s="132"/>
      <c r="BF155" s="132"/>
      <c r="BH155" s="146" t="s">
        <v>33</v>
      </c>
      <c r="BI155" s="1">
        <v>7</v>
      </c>
      <c r="BJ155" s="1">
        <f t="shared" si="71"/>
        <v>15.030700000000001</v>
      </c>
    </row>
    <row r="156" spans="2:62" x14ac:dyDescent="0.25">
      <c r="B156" s="1">
        <v>6</v>
      </c>
      <c r="C156" s="1">
        <f t="shared" si="66"/>
        <v>13.706564999999999</v>
      </c>
      <c r="D156" s="3">
        <v>13.516261</v>
      </c>
      <c r="E156" s="3">
        <v>13.44162</v>
      </c>
      <c r="F156" s="3">
        <v>14.161814</v>
      </c>
      <c r="O156" s="132"/>
      <c r="P156" s="132"/>
      <c r="Q156" s="132"/>
      <c r="R156" s="1">
        <v>6</v>
      </c>
      <c r="S156" s="1">
        <f t="shared" si="67"/>
        <v>13.093099999999998</v>
      </c>
      <c r="W156" s="143" t="s">
        <v>25</v>
      </c>
      <c r="X156" s="1">
        <v>6</v>
      </c>
      <c r="Y156" s="1">
        <f t="shared" si="68"/>
        <v>13.704799999999999</v>
      </c>
      <c r="AH156" s="132"/>
      <c r="AK156" s="144" t="s">
        <v>25</v>
      </c>
      <c r="AL156" s="1">
        <v>6</v>
      </c>
      <c r="AM156" s="1">
        <f t="shared" si="69"/>
        <v>13.131399999999999</v>
      </c>
      <c r="AO156" s="132"/>
      <c r="AP156" s="132"/>
      <c r="AT156" s="145">
        <v>12</v>
      </c>
      <c r="AU156" s="1">
        <v>6</v>
      </c>
      <c r="AV156" s="1">
        <f t="shared" si="70"/>
        <v>14.398999999999999</v>
      </c>
      <c r="BE156" s="132"/>
      <c r="BF156" s="132"/>
      <c r="BH156" s="146" t="s">
        <v>33</v>
      </c>
      <c r="BI156" s="1">
        <v>6</v>
      </c>
      <c r="BJ156" s="1">
        <f t="shared" si="71"/>
        <v>13.8216</v>
      </c>
    </row>
    <row r="157" spans="2:62" x14ac:dyDescent="0.25">
      <c r="B157" s="1">
        <v>5</v>
      </c>
      <c r="C157" s="1">
        <f t="shared" si="66"/>
        <v>12.373771</v>
      </c>
      <c r="D157" s="3">
        <v>12.228121</v>
      </c>
      <c r="E157" s="3">
        <v>12.313661</v>
      </c>
      <c r="F157" s="3">
        <v>12.579530999999999</v>
      </c>
      <c r="O157" s="132" t="s">
        <v>8</v>
      </c>
      <c r="P157" s="132">
        <v>1.38E-2</v>
      </c>
      <c r="Q157" s="132" t="s">
        <v>14</v>
      </c>
      <c r="R157" s="1">
        <v>5</v>
      </c>
      <c r="S157" s="1">
        <f t="shared" si="67"/>
        <v>12.138499999999999</v>
      </c>
      <c r="W157" s="143" t="s">
        <v>25</v>
      </c>
      <c r="X157" s="1">
        <v>5</v>
      </c>
      <c r="Y157" s="1">
        <f t="shared" si="68"/>
        <v>12.741299999999999</v>
      </c>
      <c r="AH157" s="132" t="s">
        <v>8</v>
      </c>
      <c r="AI157">
        <v>1.35E-2</v>
      </c>
      <c r="AK157" s="144" t="s">
        <v>25</v>
      </c>
      <c r="AL157" s="1">
        <v>5</v>
      </c>
      <c r="AM157" s="1">
        <f t="shared" si="69"/>
        <v>12.135299999999999</v>
      </c>
      <c r="AO157" s="132" t="s">
        <v>8</v>
      </c>
      <c r="AP157" s="132">
        <v>1.38E-2</v>
      </c>
      <c r="AT157" s="145">
        <v>12</v>
      </c>
      <c r="AU157" s="1">
        <v>5</v>
      </c>
      <c r="AV157" s="1">
        <f t="shared" si="70"/>
        <v>13.4208</v>
      </c>
      <c r="BE157" s="132" t="s">
        <v>8</v>
      </c>
      <c r="BF157" s="132">
        <v>1.35E-2</v>
      </c>
      <c r="BH157" s="146" t="s">
        <v>33</v>
      </c>
      <c r="BI157" s="1">
        <v>5</v>
      </c>
      <c r="BJ157" s="1">
        <f t="shared" si="71"/>
        <v>12.814900000000002</v>
      </c>
    </row>
    <row r="158" spans="2:62" x14ac:dyDescent="0.25">
      <c r="B158" s="1">
        <v>4</v>
      </c>
      <c r="C158" s="1">
        <f t="shared" si="66"/>
        <v>12.085628999999999</v>
      </c>
      <c r="D158" s="3">
        <v>11.786681</v>
      </c>
      <c r="E158" s="3">
        <v>11.890188</v>
      </c>
      <c r="F158" s="3">
        <v>12.580018000000001</v>
      </c>
      <c r="O158" s="132" t="s">
        <v>9</v>
      </c>
      <c r="P158" s="132">
        <v>0.44540000000000002</v>
      </c>
      <c r="Q158" s="132" t="s">
        <v>17</v>
      </c>
      <c r="R158" s="1">
        <v>4</v>
      </c>
      <c r="S158" s="1">
        <f t="shared" si="67"/>
        <v>11.385299999999997</v>
      </c>
      <c r="W158" s="143" t="s">
        <v>25</v>
      </c>
      <c r="X158" s="1">
        <v>4</v>
      </c>
      <c r="Y158" s="1">
        <f t="shared" si="68"/>
        <v>11.9086</v>
      </c>
      <c r="AH158" s="132" t="s">
        <v>9</v>
      </c>
      <c r="AI158">
        <v>0.43769999999999998</v>
      </c>
      <c r="AK158" s="144" t="s">
        <v>25</v>
      </c>
      <c r="AL158" s="1">
        <v>4</v>
      </c>
      <c r="AM158" s="1">
        <f t="shared" si="69"/>
        <v>11.352999999999998</v>
      </c>
      <c r="AO158" s="132" t="s">
        <v>9</v>
      </c>
      <c r="AP158" s="132">
        <v>0.44540000000000002</v>
      </c>
      <c r="AT158" s="145">
        <v>12</v>
      </c>
      <c r="AU158" s="1">
        <v>4</v>
      </c>
      <c r="AV158" s="1">
        <f t="shared" si="70"/>
        <v>12.5608</v>
      </c>
      <c r="BE158" s="132" t="s">
        <v>9</v>
      </c>
      <c r="BF158" s="132">
        <v>0.4577</v>
      </c>
      <c r="BH158" s="146" t="s">
        <v>33</v>
      </c>
      <c r="BI158" s="1">
        <v>4</v>
      </c>
      <c r="BJ158" s="1">
        <f t="shared" si="71"/>
        <v>12.0106</v>
      </c>
    </row>
    <row r="159" spans="2:62" x14ac:dyDescent="0.25">
      <c r="B159" s="1">
        <v>3</v>
      </c>
      <c r="C159" s="1">
        <f t="shared" si="66"/>
        <v>11.170658666666668</v>
      </c>
      <c r="D159" s="3">
        <v>10.852985</v>
      </c>
      <c r="E159" s="3">
        <v>10.98306</v>
      </c>
      <c r="F159" s="3">
        <v>11.675931</v>
      </c>
      <c r="O159" s="132" t="s">
        <v>10</v>
      </c>
      <c r="P159" s="132">
        <v>9.6325000000000003</v>
      </c>
      <c r="Q159" s="132" t="s">
        <v>18</v>
      </c>
      <c r="R159" s="1">
        <v>3</v>
      </c>
      <c r="S159" s="1">
        <f t="shared" si="67"/>
        <v>10.833499999999999</v>
      </c>
      <c r="W159" s="143" t="s">
        <v>25</v>
      </c>
      <c r="X159" s="1">
        <v>3</v>
      </c>
      <c r="Y159" s="1">
        <f t="shared" si="68"/>
        <v>11.2067</v>
      </c>
      <c r="AH159" s="132" t="s">
        <v>10</v>
      </c>
      <c r="AI159">
        <v>9.6181999999999999</v>
      </c>
      <c r="AK159" s="144" t="s">
        <v>25</v>
      </c>
      <c r="AL159" s="1">
        <v>3</v>
      </c>
      <c r="AM159" s="1">
        <f t="shared" si="69"/>
        <v>10.7845</v>
      </c>
      <c r="AO159" s="132" t="s">
        <v>10</v>
      </c>
      <c r="AP159" s="132">
        <v>9.6325000000000003</v>
      </c>
      <c r="AT159" s="145">
        <v>12</v>
      </c>
      <c r="AU159" s="1">
        <v>3</v>
      </c>
      <c r="AV159" s="1">
        <f t="shared" si="70"/>
        <v>11.818999999999999</v>
      </c>
      <c r="BE159" s="132" t="s">
        <v>10</v>
      </c>
      <c r="BF159" s="132">
        <v>10.119</v>
      </c>
      <c r="BH159" s="146" t="s">
        <v>33</v>
      </c>
      <c r="BI159" s="1">
        <v>3</v>
      </c>
      <c r="BJ159" s="1">
        <f t="shared" si="71"/>
        <v>11.408700000000001</v>
      </c>
    </row>
    <row r="160" spans="2:62" x14ac:dyDescent="0.25">
      <c r="B160" s="1">
        <v>2</v>
      </c>
      <c r="C160" s="1">
        <f t="shared" si="66"/>
        <v>10.697878333333334</v>
      </c>
      <c r="D160" s="3">
        <v>10.360291999999999</v>
      </c>
      <c r="E160" s="3">
        <v>10.533170999999999</v>
      </c>
      <c r="F160" s="3">
        <v>11.200172</v>
      </c>
      <c r="O160" s="132"/>
      <c r="P160" s="132"/>
      <c r="Q160" s="132"/>
      <c r="R160" s="1">
        <v>2</v>
      </c>
      <c r="S160" s="1">
        <f t="shared" si="67"/>
        <v>10.483099999999999</v>
      </c>
      <c r="W160" s="143" t="s">
        <v>25</v>
      </c>
      <c r="X160" s="1">
        <v>2</v>
      </c>
      <c r="Y160" s="1">
        <f t="shared" si="68"/>
        <v>10.6356</v>
      </c>
      <c r="AK160" s="144" t="s">
        <v>25</v>
      </c>
      <c r="AL160" s="1">
        <v>2</v>
      </c>
      <c r="AM160" s="1">
        <f t="shared" si="69"/>
        <v>10.429799999999998</v>
      </c>
      <c r="AT160" s="145">
        <v>12</v>
      </c>
      <c r="AU160" s="1">
        <v>2</v>
      </c>
      <c r="AV160" s="1">
        <f t="shared" si="70"/>
        <v>11.195399999999999</v>
      </c>
      <c r="BH160" s="146" t="s">
        <v>33</v>
      </c>
      <c r="BI160" s="1">
        <v>2</v>
      </c>
      <c r="BJ160" s="1">
        <f t="shared" si="71"/>
        <v>11.009200000000002</v>
      </c>
    </row>
    <row r="161" spans="2:62" x14ac:dyDescent="0.25">
      <c r="B161" s="1">
        <v>1</v>
      </c>
      <c r="C161" s="1">
        <f t="shared" si="66"/>
        <v>10.209201333333333</v>
      </c>
      <c r="D161" s="3">
        <v>9.8585410000000007</v>
      </c>
      <c r="E161" s="3">
        <v>10.072678</v>
      </c>
      <c r="F161" s="3">
        <v>10.696384999999999</v>
      </c>
      <c r="O161" s="132"/>
      <c r="P161" s="132"/>
      <c r="Q161" s="132"/>
      <c r="R161" s="1">
        <v>1</v>
      </c>
      <c r="S161" s="1">
        <f t="shared" si="67"/>
        <v>10.334099999999998</v>
      </c>
      <c r="W161" s="143" t="s">
        <v>25</v>
      </c>
      <c r="X161" s="1">
        <v>1</v>
      </c>
      <c r="Y161" s="1">
        <f t="shared" si="68"/>
        <v>10.1953</v>
      </c>
      <c r="AK161" s="144" t="s">
        <v>25</v>
      </c>
      <c r="AL161" s="1">
        <v>1</v>
      </c>
      <c r="AM161" s="1">
        <f t="shared" si="69"/>
        <v>10.288899999999998</v>
      </c>
      <c r="AT161" s="145">
        <v>12</v>
      </c>
      <c r="AU161" s="1">
        <v>1</v>
      </c>
      <c r="AV161" s="1">
        <f t="shared" si="70"/>
        <v>10.69</v>
      </c>
      <c r="BH161" s="146" t="s">
        <v>33</v>
      </c>
      <c r="BI161" s="1">
        <v>1</v>
      </c>
      <c r="BJ161" s="1">
        <f t="shared" si="71"/>
        <v>10.812100000000001</v>
      </c>
    </row>
    <row r="162" spans="2:62" x14ac:dyDescent="0.25">
      <c r="B162" s="1">
        <v>0</v>
      </c>
      <c r="C162" s="1">
        <f t="shared" si="66"/>
        <v>9.745530333333333</v>
      </c>
      <c r="D162" s="3">
        <v>9.4116739999999997</v>
      </c>
      <c r="E162" s="3">
        <v>9.6064790000000002</v>
      </c>
      <c r="F162" s="3">
        <v>10.218438000000001</v>
      </c>
      <c r="O162" s="132"/>
      <c r="P162" s="132"/>
      <c r="Q162" s="132"/>
      <c r="R162" s="1">
        <v>0</v>
      </c>
      <c r="S162" s="1">
        <f>((R162*R162)*($P$157+$Q$409))+(R162*($P$158+$S$409))+($P$159+$U$409)</f>
        <v>9.5747</v>
      </c>
      <c r="W162" s="143" t="s">
        <v>25</v>
      </c>
      <c r="X162" s="1">
        <v>0</v>
      </c>
      <c r="Y162" s="1">
        <f>((X162*X162)*($P$157+$E$458))+(X162*($P$158+$E$459))+($P$159+$E$460)</f>
        <v>9.6182000000000016</v>
      </c>
      <c r="AK162" s="144" t="s">
        <v>25</v>
      </c>
      <c r="AL162" s="1">
        <v>0</v>
      </c>
      <c r="AM162" s="1">
        <f>((AL162*AL162)*($AI$157+$AC$25))+(AL162*($AI$158+$AE$25))+($AI$159+$AG$25)</f>
        <v>9.5603999999999996</v>
      </c>
      <c r="AT162" s="145">
        <v>12</v>
      </c>
      <c r="AU162" s="1">
        <v>0</v>
      </c>
      <c r="AV162" s="1">
        <f>((AU162*AU162)*($AP$157+$AR$23))+(AU162*($AP$158+$AR$24))+($AP$159+$AR$25)</f>
        <v>10.1188</v>
      </c>
      <c r="BH162" s="146" t="s">
        <v>33</v>
      </c>
      <c r="BI162" s="1">
        <v>0</v>
      </c>
      <c r="BJ162" s="1">
        <f>((BI162*BI162)*($BF$157+$BD$23))+(BI162*($BF$158+$BD$24))+($BF$159+$BD$25)</f>
        <v>10.061199999999999</v>
      </c>
    </row>
    <row r="163" spans="2:62" x14ac:dyDescent="0.25">
      <c r="B163" s="1">
        <v>-5</v>
      </c>
      <c r="C163" s="1">
        <f t="shared" si="66"/>
        <v>7.5241276666666659</v>
      </c>
      <c r="D163" s="3">
        <v>7.3587429999999996</v>
      </c>
      <c r="E163" s="3">
        <v>7.5731029999999997</v>
      </c>
      <c r="F163" s="3">
        <v>7.6405370000000001</v>
      </c>
      <c r="O163" s="132"/>
      <c r="P163" s="132"/>
      <c r="Q163" s="132"/>
      <c r="R163" s="1">
        <v>-5</v>
      </c>
      <c r="S163" s="1">
        <f t="shared" ref="S163:S166" si="72">((R163*R163)*($P$157+$Q$409))+(R163*($P$158+$S$409))+($P$159+$U$409)</f>
        <v>7.6861999999999995</v>
      </c>
      <c r="W163" s="143" t="s">
        <v>25</v>
      </c>
      <c r="X163" s="1">
        <v>-5</v>
      </c>
      <c r="Y163" s="1">
        <f t="shared" ref="Y163:Y166" si="73">((X163*X163)*($P$157+$E$458))+(X163*($P$158+$E$459))+($P$159+$E$460)</f>
        <v>7.7672000000000008</v>
      </c>
      <c r="AK163" s="144" t="s">
        <v>25</v>
      </c>
      <c r="AL163" s="1">
        <v>-5</v>
      </c>
      <c r="AM163" s="1">
        <f t="shared" ref="AM163:AM166" si="74">((AL163*AL163)*($AI$157+$AC$25))+(AL163*($AI$158+$AE$25))+($AI$159+$AG$25)</f>
        <v>7.7028999999999996</v>
      </c>
      <c r="AT163" s="145">
        <v>12</v>
      </c>
      <c r="AU163" s="1">
        <v>-5</v>
      </c>
      <c r="AV163" s="1">
        <f t="shared" ref="AV163:AV166" si="75">((AU163*AU163)*($AP$157+$AR$23))+(AU163*($AP$158+$AR$24))+($AP$159+$AR$25)</f>
        <v>8.1677999999999997</v>
      </c>
      <c r="BH163" s="146" t="s">
        <v>33</v>
      </c>
      <c r="BI163" s="1">
        <v>-5</v>
      </c>
      <c r="BJ163" s="1">
        <f t="shared" ref="BJ163:BJ166" si="76">((BI163*BI163)*($BF$157+$BD$23))+(BI163*($BF$158+$BD$24))+($BF$159+$BD$25)</f>
        <v>8.1036999999999999</v>
      </c>
    </row>
    <row r="164" spans="2:62" x14ac:dyDescent="0.25">
      <c r="B164" s="1">
        <v>-10</v>
      </c>
      <c r="C164" s="1">
        <f t="shared" si="66"/>
        <v>6.5575826666666659</v>
      </c>
      <c r="D164" s="3">
        <v>6.4334499999999997</v>
      </c>
      <c r="E164" s="3">
        <v>6.6174419999999996</v>
      </c>
      <c r="F164" s="3">
        <v>6.6218560000000002</v>
      </c>
      <c r="O164" s="132"/>
      <c r="P164" s="132"/>
      <c r="Q164" s="132"/>
      <c r="R164" s="1">
        <v>-10</v>
      </c>
      <c r="S164" s="1">
        <f t="shared" si="72"/>
        <v>6.4977</v>
      </c>
      <c r="W164" s="143" t="s">
        <v>25</v>
      </c>
      <c r="X164" s="1">
        <v>-10</v>
      </c>
      <c r="Y164" s="1">
        <f t="shared" si="73"/>
        <v>6.5912000000000006</v>
      </c>
      <c r="AK164" s="144" t="s">
        <v>25</v>
      </c>
      <c r="AL164" s="1">
        <v>-10</v>
      </c>
      <c r="AM164" s="1">
        <f t="shared" si="74"/>
        <v>6.5303999999999993</v>
      </c>
      <c r="AT164" s="145">
        <v>12</v>
      </c>
      <c r="AU164" s="1">
        <v>-10</v>
      </c>
      <c r="AV164" s="1">
        <f t="shared" si="75"/>
        <v>6.8917999999999999</v>
      </c>
      <c r="BH164" s="146" t="s">
        <v>33</v>
      </c>
      <c r="BI164" s="1">
        <v>-10</v>
      </c>
      <c r="BJ164" s="1">
        <f t="shared" si="76"/>
        <v>6.8311999999999991</v>
      </c>
    </row>
    <row r="165" spans="2:62" x14ac:dyDescent="0.25">
      <c r="B165" s="1">
        <v>-15</v>
      </c>
      <c r="C165" s="1">
        <f t="shared" si="66"/>
        <v>6.2798566666666673</v>
      </c>
      <c r="D165" s="3">
        <v>6.0403719999999996</v>
      </c>
      <c r="E165" s="3">
        <v>6.1650239999999998</v>
      </c>
      <c r="F165" s="3">
        <v>6.6341739999999998</v>
      </c>
      <c r="O165" s="132"/>
      <c r="P165" s="132"/>
      <c r="Q165" s="132"/>
      <c r="R165" s="1">
        <v>-15</v>
      </c>
      <c r="S165" s="1">
        <f t="shared" si="72"/>
        <v>6.0091999999999999</v>
      </c>
      <c r="W165" s="143" t="s">
        <v>25</v>
      </c>
      <c r="X165" s="1">
        <v>-15</v>
      </c>
      <c r="Y165" s="1">
        <f t="shared" si="73"/>
        <v>6.0902000000000012</v>
      </c>
      <c r="AK165" s="144" t="s">
        <v>25</v>
      </c>
      <c r="AL165" s="1">
        <v>-15</v>
      </c>
      <c r="AM165" s="1">
        <f t="shared" si="74"/>
        <v>6.0428999999999995</v>
      </c>
      <c r="AT165" s="145">
        <v>12</v>
      </c>
      <c r="AU165" s="1">
        <v>-15</v>
      </c>
      <c r="AV165" s="1">
        <f t="shared" si="75"/>
        <v>6.2908000000000008</v>
      </c>
      <c r="BH165" s="146" t="s">
        <v>33</v>
      </c>
      <c r="BI165" s="1">
        <v>-15</v>
      </c>
      <c r="BJ165" s="1">
        <f t="shared" si="76"/>
        <v>6.2436999999999987</v>
      </c>
    </row>
    <row r="166" spans="2:62" x14ac:dyDescent="0.25">
      <c r="B166" s="1">
        <v>-20</v>
      </c>
      <c r="C166" s="1">
        <f t="shared" si="66"/>
        <v>6.1273519999999992</v>
      </c>
      <c r="D166" s="3">
        <v>6.0376339999999997</v>
      </c>
      <c r="E166" s="3">
        <v>6.1633740000000001</v>
      </c>
      <c r="F166" s="3">
        <v>6.1810479999999997</v>
      </c>
      <c r="O166" s="132"/>
      <c r="P166" s="132"/>
      <c r="Q166" s="132"/>
      <c r="R166" s="1">
        <v>-20</v>
      </c>
      <c r="S166" s="1">
        <f t="shared" si="72"/>
        <v>6.2206999999999999</v>
      </c>
      <c r="W166" s="143" t="s">
        <v>25</v>
      </c>
      <c r="X166" s="1">
        <v>-20</v>
      </c>
      <c r="Y166" s="1">
        <f t="shared" si="73"/>
        <v>6.2642000000000007</v>
      </c>
      <c r="AK166" s="144" t="s">
        <v>25</v>
      </c>
      <c r="AL166" s="1">
        <v>-20</v>
      </c>
      <c r="AM166" s="1">
        <f t="shared" si="74"/>
        <v>6.2403999999999993</v>
      </c>
      <c r="AT166" s="145">
        <v>12</v>
      </c>
      <c r="AU166" s="1">
        <v>-20</v>
      </c>
      <c r="AV166" s="1">
        <f t="shared" si="75"/>
        <v>6.3648000000000007</v>
      </c>
      <c r="BH166" s="146" t="s">
        <v>33</v>
      </c>
      <c r="BI166" s="1">
        <v>-20</v>
      </c>
      <c r="BJ166" s="1">
        <f t="shared" si="76"/>
        <v>6.3411999999999988</v>
      </c>
    </row>
    <row r="170" spans="2:62" x14ac:dyDescent="0.25">
      <c r="B170" s="26" t="s">
        <v>0</v>
      </c>
      <c r="C170" s="26">
        <v>2.7</v>
      </c>
      <c r="D170" s="26"/>
      <c r="E170" s="26"/>
      <c r="F170" s="26"/>
      <c r="O170" s="132"/>
      <c r="P170" s="132"/>
      <c r="Q170" s="132"/>
      <c r="R170" s="132" t="s">
        <v>0</v>
      </c>
      <c r="S170" s="132">
        <v>2.7</v>
      </c>
      <c r="W170" s="132"/>
      <c r="X170" s="132" t="s">
        <v>0</v>
      </c>
      <c r="Y170" s="132">
        <v>2.7</v>
      </c>
      <c r="AK170" s="132"/>
      <c r="AL170" s="132" t="s">
        <v>0</v>
      </c>
      <c r="AM170" s="132">
        <v>2.7</v>
      </c>
      <c r="AT170" s="132"/>
      <c r="AU170" s="132" t="s">
        <v>0</v>
      </c>
      <c r="AV170" s="132">
        <v>2.7</v>
      </c>
      <c r="BH170" s="132"/>
      <c r="BI170" s="132" t="s">
        <v>0</v>
      </c>
      <c r="BJ170" s="132">
        <v>2.7</v>
      </c>
    </row>
    <row r="171" spans="2:62" x14ac:dyDescent="0.25">
      <c r="B171" s="1" t="s">
        <v>4</v>
      </c>
      <c r="C171" s="1" t="s">
        <v>5</v>
      </c>
      <c r="D171" s="1">
        <v>1</v>
      </c>
      <c r="E171" s="1">
        <v>2</v>
      </c>
      <c r="F171" s="1">
        <v>3</v>
      </c>
      <c r="O171" s="132" t="s">
        <v>8</v>
      </c>
      <c r="P171" s="132">
        <v>5.4300000000000001E-2</v>
      </c>
      <c r="Q171" s="132" t="s">
        <v>13</v>
      </c>
      <c r="R171" s="1" t="s">
        <v>4</v>
      </c>
      <c r="S171" s="1" t="s">
        <v>5</v>
      </c>
      <c r="W171" s="143" t="s">
        <v>26</v>
      </c>
      <c r="X171" s="1" t="s">
        <v>4</v>
      </c>
      <c r="Y171" s="1" t="s">
        <v>5</v>
      </c>
      <c r="AH171" s="132" t="s">
        <v>8</v>
      </c>
      <c r="AI171">
        <v>6.08E-2</v>
      </c>
      <c r="AK171" s="144" t="s">
        <v>29</v>
      </c>
      <c r="AL171" s="1" t="s">
        <v>4</v>
      </c>
      <c r="AM171" s="1" t="s">
        <v>5</v>
      </c>
      <c r="AO171" s="132" t="s">
        <v>8</v>
      </c>
      <c r="AP171" s="132">
        <v>5.4300000000000001E-2</v>
      </c>
      <c r="AT171" s="145" t="s">
        <v>30</v>
      </c>
      <c r="AU171" s="1" t="s">
        <v>4</v>
      </c>
      <c r="AV171" s="1" t="s">
        <v>5</v>
      </c>
      <c r="BE171" s="132" t="s">
        <v>8</v>
      </c>
      <c r="BF171" s="132">
        <v>5.5100000000000003E-2</v>
      </c>
      <c r="BH171" s="146" t="s">
        <v>32</v>
      </c>
      <c r="BI171" s="1" t="s">
        <v>4</v>
      </c>
      <c r="BJ171" s="1" t="s">
        <v>5</v>
      </c>
    </row>
    <row r="172" spans="2:62" x14ac:dyDescent="0.25">
      <c r="B172" s="1">
        <v>14</v>
      </c>
      <c r="C172" s="1">
        <f>AVERAGE(E172,F172,D172)</f>
        <v>23.917695999999996</v>
      </c>
      <c r="D172" s="3">
        <v>23.838211999999999</v>
      </c>
      <c r="E172" s="3">
        <v>23.751139999999999</v>
      </c>
      <c r="F172" s="3">
        <v>24.163736</v>
      </c>
      <c r="O172" s="132" t="s">
        <v>9</v>
      </c>
      <c r="P172" s="132">
        <v>0.2994</v>
      </c>
      <c r="Q172" s="132" t="s">
        <v>15</v>
      </c>
      <c r="R172" s="1">
        <v>14</v>
      </c>
      <c r="S172" s="1">
        <f>((R172*R172)*($P$171+$Q$408))+(R172*($P$172+$S$408))+($P$173+$U$408)</f>
        <v>26.905100000000001</v>
      </c>
      <c r="W172" s="143" t="s">
        <v>25</v>
      </c>
      <c r="X172" s="1">
        <v>14</v>
      </c>
      <c r="Y172" s="1">
        <f>((X172*X172)*($P$171+$C$458))+(X172*($P$172+$C$459))+($P$173+$C$460)</f>
        <v>25.046399999999998</v>
      </c>
      <c r="AH172" s="132" t="s">
        <v>9</v>
      </c>
      <c r="AI172">
        <v>0.2676</v>
      </c>
      <c r="AK172" s="144" t="s">
        <v>25</v>
      </c>
      <c r="AL172" s="1">
        <v>14</v>
      </c>
      <c r="AM172" s="1">
        <f>((AL172*AL172)*($AI$171+$AC$24))+(AL172*($AI$172+$AE$24))+($AI$173+$AG$24)</f>
        <v>27.727800000000002</v>
      </c>
      <c r="AO172" s="132" t="s">
        <v>9</v>
      </c>
      <c r="AP172" s="132">
        <v>0.2994</v>
      </c>
      <c r="AT172" s="145">
        <v>12</v>
      </c>
      <c r="AU172" s="1">
        <v>14</v>
      </c>
      <c r="AV172" s="1">
        <f>((AU172*AU172)*($AP$171+$AP$23))+(AU172*($AP$172+$AP$24))+($AP$173+$AP$25)</f>
        <v>25.404600000000002</v>
      </c>
      <c r="BE172" s="132" t="s">
        <v>9</v>
      </c>
      <c r="BF172" s="132">
        <v>0.34089999999999998</v>
      </c>
      <c r="BH172" s="146" t="s">
        <v>33</v>
      </c>
      <c r="BI172" s="1">
        <v>14</v>
      </c>
      <c r="BJ172" s="1">
        <f>((BI172*BI172)*($BF$171+$BB$23))+(BI172*($BF$172+$BB$24))+($BF$173+$BB$25)</f>
        <v>28.092699999999994</v>
      </c>
    </row>
    <row r="173" spans="2:62" x14ac:dyDescent="0.25">
      <c r="B173" s="1">
        <v>13</v>
      </c>
      <c r="C173" s="1">
        <f t="shared" ref="C173:C190" si="77">AVERAGE(E173,F173,D173)</f>
        <v>22.556697333333332</v>
      </c>
      <c r="D173" s="3">
        <v>22.417919999999999</v>
      </c>
      <c r="E173" s="3">
        <v>22.421422</v>
      </c>
      <c r="F173" s="3">
        <v>22.830749999999998</v>
      </c>
      <c r="O173" s="132" t="s">
        <v>10</v>
      </c>
      <c r="P173" s="132">
        <v>9.3576999999999995</v>
      </c>
      <c r="Q173" s="132" t="s">
        <v>16</v>
      </c>
      <c r="R173" s="1">
        <v>13</v>
      </c>
      <c r="S173" s="1">
        <f t="shared" ref="S173:S185" si="78">((R173*R173)*($P$171+$Q$408))+(R173*($P$172+$S$408))+($P$173+$U$408)</f>
        <v>24.423199999999998</v>
      </c>
      <c r="W173" s="143" t="s">
        <v>25</v>
      </c>
      <c r="X173" s="1">
        <v>13</v>
      </c>
      <c r="Y173" s="1">
        <f t="shared" ref="Y173:Y185" si="79">((X173*X173)*($P$171+$C$458))+(X173*($P$172+$C$459))+($P$173+$C$460)</f>
        <v>23.1204</v>
      </c>
      <c r="AH173" s="132" t="s">
        <v>10</v>
      </c>
      <c r="AI173">
        <v>9.3515999999999995</v>
      </c>
      <c r="AK173" s="144" t="s">
        <v>25</v>
      </c>
      <c r="AL173" s="1">
        <v>13</v>
      </c>
      <c r="AM173" s="1">
        <f t="shared" ref="AM173:AM185" si="80">((AL173*AL173)*($AI$171+$AC$24))+(AL173*($AI$172+$AE$24))+($AI$173+$AG$24)</f>
        <v>25.102199999999996</v>
      </c>
      <c r="AO173" s="132" t="s">
        <v>10</v>
      </c>
      <c r="AP173" s="132">
        <v>9.3576999999999995</v>
      </c>
      <c r="AT173" s="145">
        <v>12</v>
      </c>
      <c r="AU173" s="1">
        <v>13</v>
      </c>
      <c r="AV173" s="1">
        <f t="shared" ref="AV173:AV185" si="81">((AU173*AU173)*($AP$171+$AP$23))+(AU173*($AP$172+$AP$24))+($AP$173+$AP$25)</f>
        <v>23.564700000000002</v>
      </c>
      <c r="BE173" s="132" t="s">
        <v>10</v>
      </c>
      <c r="BF173" s="132">
        <v>9.8074999999999992</v>
      </c>
      <c r="BH173" s="146" t="s">
        <v>33</v>
      </c>
      <c r="BI173" s="1">
        <v>13</v>
      </c>
      <c r="BJ173" s="1">
        <f t="shared" ref="BJ173:BJ185" si="82">((BI173*BI173)*($BF$171+$BB$23))+(BI173*($BF$172+$BB$24))+($BF$173+$BB$25)</f>
        <v>25.547699999999999</v>
      </c>
    </row>
    <row r="174" spans="2:62" x14ac:dyDescent="0.25">
      <c r="B174" s="1">
        <v>12</v>
      </c>
      <c r="C174" s="1">
        <f t="shared" si="77"/>
        <v>21.179490666666666</v>
      </c>
      <c r="D174" s="3">
        <v>20.976828000000001</v>
      </c>
      <c r="E174" s="3">
        <v>21.067855000000002</v>
      </c>
      <c r="F174" s="3">
        <v>21.493789</v>
      </c>
      <c r="O174" s="132"/>
      <c r="P174" s="132"/>
      <c r="Q174" s="132"/>
      <c r="R174" s="1">
        <v>12</v>
      </c>
      <c r="S174" s="1">
        <f t="shared" si="78"/>
        <v>22.136899999999997</v>
      </c>
      <c r="W174" s="143" t="s">
        <v>25</v>
      </c>
      <c r="X174" s="1">
        <v>12</v>
      </c>
      <c r="Y174" s="1">
        <f t="shared" si="79"/>
        <v>21.319400000000002</v>
      </c>
      <c r="AH174" s="132"/>
      <c r="AK174" s="144" t="s">
        <v>25</v>
      </c>
      <c r="AL174" s="1">
        <v>12</v>
      </c>
      <c r="AM174" s="1">
        <f t="shared" si="80"/>
        <v>22.685200000000002</v>
      </c>
      <c r="AO174" s="132"/>
      <c r="AP174" s="132"/>
      <c r="AT174" s="145">
        <v>12</v>
      </c>
      <c r="AU174" s="1">
        <v>12</v>
      </c>
      <c r="AV174" s="1">
        <f t="shared" si="81"/>
        <v>21.837200000000003</v>
      </c>
      <c r="BE174" s="132"/>
      <c r="BF174" s="132"/>
      <c r="BH174" s="146" t="s">
        <v>33</v>
      </c>
      <c r="BI174" s="1">
        <v>12</v>
      </c>
      <c r="BJ174" s="1">
        <f t="shared" si="82"/>
        <v>23.1999</v>
      </c>
    </row>
    <row r="175" spans="2:62" x14ac:dyDescent="0.25">
      <c r="B175" s="1">
        <v>11</v>
      </c>
      <c r="C175" s="1">
        <f t="shared" si="77"/>
        <v>19.175588000000001</v>
      </c>
      <c r="D175" s="3">
        <v>19.009488999999999</v>
      </c>
      <c r="E175" s="3">
        <v>18.925312000000002</v>
      </c>
      <c r="F175" s="3">
        <v>19.591963</v>
      </c>
      <c r="O175" s="132"/>
      <c r="P175" s="132"/>
      <c r="Q175" s="132"/>
      <c r="R175" s="1">
        <v>11</v>
      </c>
      <c r="S175" s="1">
        <f t="shared" si="78"/>
        <v>20.046199999999999</v>
      </c>
      <c r="W175" s="143" t="s">
        <v>25</v>
      </c>
      <c r="X175" s="1">
        <v>11</v>
      </c>
      <c r="Y175" s="1">
        <f t="shared" si="79"/>
        <v>19.6434</v>
      </c>
      <c r="AH175" s="132"/>
      <c r="AK175" s="144" t="s">
        <v>25</v>
      </c>
      <c r="AL175" s="1">
        <v>11</v>
      </c>
      <c r="AM175" s="1">
        <f t="shared" si="80"/>
        <v>20.476799999999997</v>
      </c>
      <c r="AO175" s="132"/>
      <c r="AP175" s="132"/>
      <c r="AT175" s="145">
        <v>12</v>
      </c>
      <c r="AU175" s="1">
        <v>11</v>
      </c>
      <c r="AV175" s="1">
        <f t="shared" si="81"/>
        <v>20.222099999999998</v>
      </c>
      <c r="BE175" s="132"/>
      <c r="BF175" s="132"/>
      <c r="BH175" s="146" t="s">
        <v>33</v>
      </c>
      <c r="BI175" s="1">
        <v>11</v>
      </c>
      <c r="BJ175" s="1">
        <f t="shared" si="82"/>
        <v>21.049299999999995</v>
      </c>
    </row>
    <row r="176" spans="2:62" x14ac:dyDescent="0.25">
      <c r="B176" s="1">
        <v>10</v>
      </c>
      <c r="C176" s="1">
        <f t="shared" si="77"/>
        <v>17.566038333333335</v>
      </c>
      <c r="D176" s="3">
        <v>17.513234000000001</v>
      </c>
      <c r="E176" s="3">
        <v>17.237348000000001</v>
      </c>
      <c r="F176" s="3">
        <v>17.947533</v>
      </c>
      <c r="O176" s="132"/>
      <c r="P176" s="132"/>
      <c r="Q176" s="132"/>
      <c r="R176" s="1">
        <v>10</v>
      </c>
      <c r="S176" s="1">
        <f t="shared" si="78"/>
        <v>18.1511</v>
      </c>
      <c r="W176" s="143" t="s">
        <v>25</v>
      </c>
      <c r="X176" s="1">
        <v>10</v>
      </c>
      <c r="Y176" s="1">
        <f t="shared" si="79"/>
        <v>18.092399999999998</v>
      </c>
      <c r="AH176" s="132"/>
      <c r="AK176" s="144" t="s">
        <v>25</v>
      </c>
      <c r="AL176" s="1">
        <v>10</v>
      </c>
      <c r="AM176" s="1">
        <f t="shared" si="80"/>
        <v>18.476999999999997</v>
      </c>
      <c r="AO176" s="132"/>
      <c r="AP176" s="132"/>
      <c r="AT176" s="145">
        <v>12</v>
      </c>
      <c r="AU176" s="1">
        <v>10</v>
      </c>
      <c r="AV176" s="1">
        <f t="shared" si="81"/>
        <v>18.7194</v>
      </c>
      <c r="BE176" s="132"/>
      <c r="BF176" s="132"/>
      <c r="BH176" s="146" t="s">
        <v>33</v>
      </c>
      <c r="BI176" s="1">
        <v>10</v>
      </c>
      <c r="BJ176" s="1">
        <f t="shared" si="82"/>
        <v>19.0959</v>
      </c>
    </row>
    <row r="177" spans="2:62" x14ac:dyDescent="0.25">
      <c r="B177" s="1">
        <v>9</v>
      </c>
      <c r="C177" s="1">
        <f t="shared" si="77"/>
        <v>16.374410999999998</v>
      </c>
      <c r="D177" s="3">
        <v>16.278203999999999</v>
      </c>
      <c r="E177" s="3">
        <v>16.049524999999999</v>
      </c>
      <c r="F177" s="3">
        <v>16.795504000000001</v>
      </c>
      <c r="O177" s="132"/>
      <c r="P177" s="132"/>
      <c r="Q177" s="132"/>
      <c r="R177" s="1">
        <v>9</v>
      </c>
      <c r="S177" s="1">
        <f t="shared" si="78"/>
        <v>16.451599999999999</v>
      </c>
      <c r="W177" s="143" t="s">
        <v>25</v>
      </c>
      <c r="X177" s="1">
        <v>9</v>
      </c>
      <c r="Y177" s="1">
        <f t="shared" si="79"/>
        <v>16.666399999999999</v>
      </c>
      <c r="AH177" s="132"/>
      <c r="AK177" s="144" t="s">
        <v>25</v>
      </c>
      <c r="AL177" s="1">
        <v>9</v>
      </c>
      <c r="AM177" s="1">
        <f t="shared" si="80"/>
        <v>16.6858</v>
      </c>
      <c r="AO177" s="132"/>
      <c r="AP177" s="132"/>
      <c r="AT177" s="145">
        <v>12</v>
      </c>
      <c r="AU177" s="1">
        <v>9</v>
      </c>
      <c r="AV177" s="1">
        <f t="shared" si="81"/>
        <v>17.3291</v>
      </c>
      <c r="BE177" s="132"/>
      <c r="BF177" s="132"/>
      <c r="BH177" s="146" t="s">
        <v>33</v>
      </c>
      <c r="BI177" s="1">
        <v>9</v>
      </c>
      <c r="BJ177" s="1">
        <f t="shared" si="82"/>
        <v>17.339700000000001</v>
      </c>
    </row>
    <row r="178" spans="2:62" x14ac:dyDescent="0.25">
      <c r="B178" s="1">
        <v>8</v>
      </c>
      <c r="C178" s="1">
        <f t="shared" si="77"/>
        <v>15.341161666666666</v>
      </c>
      <c r="D178" s="3">
        <v>15.226528999999999</v>
      </c>
      <c r="E178" s="3">
        <v>15.02815</v>
      </c>
      <c r="F178" s="3">
        <v>15.768806</v>
      </c>
      <c r="O178" s="132"/>
      <c r="P178" s="132"/>
      <c r="Q178" s="132"/>
      <c r="R178" s="1">
        <v>8</v>
      </c>
      <c r="S178" s="1">
        <f t="shared" si="78"/>
        <v>14.947699999999998</v>
      </c>
      <c r="W178" s="143" t="s">
        <v>25</v>
      </c>
      <c r="X178" s="1">
        <v>8</v>
      </c>
      <c r="Y178" s="1">
        <f t="shared" si="79"/>
        <v>15.365400000000001</v>
      </c>
      <c r="AH178" s="132"/>
      <c r="AK178" s="144" t="s">
        <v>25</v>
      </c>
      <c r="AL178" s="1">
        <v>8</v>
      </c>
      <c r="AM178" s="1">
        <f t="shared" si="80"/>
        <v>15.103199999999999</v>
      </c>
      <c r="AO178" s="132"/>
      <c r="AP178" s="132"/>
      <c r="AT178" s="145">
        <v>12</v>
      </c>
      <c r="AU178" s="1">
        <v>8</v>
      </c>
      <c r="AV178" s="1">
        <f t="shared" si="81"/>
        <v>16.051200000000001</v>
      </c>
      <c r="BE178" s="132"/>
      <c r="BF178" s="132"/>
      <c r="BH178" s="146" t="s">
        <v>33</v>
      </c>
      <c r="BI178" s="1">
        <v>8</v>
      </c>
      <c r="BJ178" s="1">
        <f t="shared" si="82"/>
        <v>15.7807</v>
      </c>
    </row>
    <row r="179" spans="2:62" x14ac:dyDescent="0.25">
      <c r="B179" s="1">
        <v>7</v>
      </c>
      <c r="C179" s="1">
        <f t="shared" si="77"/>
        <v>14.138458999999999</v>
      </c>
      <c r="D179" s="3">
        <v>13.985049999999999</v>
      </c>
      <c r="E179" s="3">
        <v>13.860825999999999</v>
      </c>
      <c r="F179" s="3">
        <v>14.569501000000001</v>
      </c>
      <c r="O179" s="132"/>
      <c r="P179" s="132"/>
      <c r="Q179" s="132"/>
      <c r="R179" s="1">
        <v>7</v>
      </c>
      <c r="S179" s="1">
        <f t="shared" si="78"/>
        <v>13.639399999999998</v>
      </c>
      <c r="W179" s="143" t="s">
        <v>25</v>
      </c>
      <c r="X179" s="1">
        <v>7</v>
      </c>
      <c r="Y179" s="1">
        <f t="shared" si="79"/>
        <v>14.189399999999999</v>
      </c>
      <c r="AH179" s="132"/>
      <c r="AK179" s="144" t="s">
        <v>25</v>
      </c>
      <c r="AL179" s="1">
        <v>7</v>
      </c>
      <c r="AM179" s="1">
        <f t="shared" si="80"/>
        <v>13.729199999999999</v>
      </c>
      <c r="AO179" s="132"/>
      <c r="AP179" s="132"/>
      <c r="AT179" s="145">
        <v>12</v>
      </c>
      <c r="AU179" s="1">
        <v>7</v>
      </c>
      <c r="AV179" s="1">
        <f t="shared" si="81"/>
        <v>14.8857</v>
      </c>
      <c r="BE179" s="132"/>
      <c r="BF179" s="132"/>
      <c r="BH179" s="146" t="s">
        <v>33</v>
      </c>
      <c r="BI179" s="1">
        <v>7</v>
      </c>
      <c r="BJ179" s="1">
        <f t="shared" si="82"/>
        <v>14.418899999999999</v>
      </c>
    </row>
    <row r="180" spans="2:62" x14ac:dyDescent="0.25">
      <c r="B180" s="1">
        <v>6</v>
      </c>
      <c r="C180" s="1">
        <f t="shared" si="77"/>
        <v>13.113214333333332</v>
      </c>
      <c r="D180" s="3">
        <v>12.914612999999999</v>
      </c>
      <c r="E180" s="3">
        <v>12.874981999999999</v>
      </c>
      <c r="F180" s="3">
        <v>13.550048</v>
      </c>
      <c r="O180" s="132"/>
      <c r="P180" s="132"/>
      <c r="Q180" s="132"/>
      <c r="R180" s="1">
        <v>6</v>
      </c>
      <c r="S180" s="1">
        <f t="shared" si="78"/>
        <v>12.526699999999998</v>
      </c>
      <c r="W180" s="143" t="s">
        <v>25</v>
      </c>
      <c r="X180" s="1">
        <v>6</v>
      </c>
      <c r="Y180" s="1">
        <f t="shared" si="79"/>
        <v>13.138400000000001</v>
      </c>
      <c r="AH180" s="132"/>
      <c r="AK180" s="144" t="s">
        <v>25</v>
      </c>
      <c r="AL180" s="1">
        <v>6</v>
      </c>
      <c r="AM180" s="1">
        <f t="shared" si="80"/>
        <v>12.563799999999999</v>
      </c>
      <c r="AO180" s="132"/>
      <c r="AP180" s="132"/>
      <c r="AT180" s="145">
        <v>12</v>
      </c>
      <c r="AU180" s="1">
        <v>6</v>
      </c>
      <c r="AV180" s="1">
        <f t="shared" si="81"/>
        <v>13.832599999999999</v>
      </c>
      <c r="BE180" s="132"/>
      <c r="BF180" s="132"/>
      <c r="BH180" s="146" t="s">
        <v>33</v>
      </c>
      <c r="BI180" s="1">
        <v>6</v>
      </c>
      <c r="BJ180" s="1">
        <f t="shared" si="82"/>
        <v>13.254299999999999</v>
      </c>
    </row>
    <row r="181" spans="2:62" x14ac:dyDescent="0.25">
      <c r="B181" s="1">
        <v>5</v>
      </c>
      <c r="C181" s="1">
        <f t="shared" si="77"/>
        <v>11.978489999999999</v>
      </c>
      <c r="D181" s="3">
        <v>11.694112000000001</v>
      </c>
      <c r="E181" s="3">
        <v>11.791765</v>
      </c>
      <c r="F181" s="3">
        <v>12.449593</v>
      </c>
      <c r="O181" s="132" t="s">
        <v>8</v>
      </c>
      <c r="P181" s="132">
        <v>1.18E-2</v>
      </c>
      <c r="Q181" s="132" t="s">
        <v>14</v>
      </c>
      <c r="R181" s="1">
        <v>5</v>
      </c>
      <c r="S181" s="1">
        <f t="shared" si="78"/>
        <v>11.609599999999999</v>
      </c>
      <c r="W181" s="143" t="s">
        <v>25</v>
      </c>
      <c r="X181" s="1">
        <v>5</v>
      </c>
      <c r="Y181" s="1">
        <f t="shared" si="79"/>
        <v>12.212399999999999</v>
      </c>
      <c r="AH181" s="132" t="s">
        <v>8</v>
      </c>
      <c r="AI181">
        <v>1.15E-2</v>
      </c>
      <c r="AK181" s="144" t="s">
        <v>25</v>
      </c>
      <c r="AL181" s="1">
        <v>5</v>
      </c>
      <c r="AM181" s="1">
        <f t="shared" si="80"/>
        <v>11.606999999999999</v>
      </c>
      <c r="AO181" s="132" t="s">
        <v>8</v>
      </c>
      <c r="AP181" s="132">
        <v>1.18E-2</v>
      </c>
      <c r="AT181" s="145">
        <v>12</v>
      </c>
      <c r="AU181" s="1">
        <v>5</v>
      </c>
      <c r="AV181" s="1">
        <f t="shared" si="81"/>
        <v>12.8919</v>
      </c>
      <c r="BE181" s="132" t="s">
        <v>8</v>
      </c>
      <c r="BF181" s="132">
        <v>1.15E-2</v>
      </c>
      <c r="BH181" s="146" t="s">
        <v>33</v>
      </c>
      <c r="BI181" s="1">
        <v>5</v>
      </c>
      <c r="BJ181" s="1">
        <f t="shared" si="82"/>
        <v>12.286899999999999</v>
      </c>
    </row>
    <row r="182" spans="2:62" x14ac:dyDescent="0.25">
      <c r="B182" s="1">
        <v>4</v>
      </c>
      <c r="C182" s="1">
        <f t="shared" si="77"/>
        <v>11.555272666666667</v>
      </c>
      <c r="D182" s="3">
        <v>11.263177000000001</v>
      </c>
      <c r="E182" s="3">
        <v>11.382167000000001</v>
      </c>
      <c r="F182" s="3">
        <v>12.020474</v>
      </c>
      <c r="O182" s="132" t="s">
        <v>9</v>
      </c>
      <c r="P182" s="132">
        <v>0.40110000000000001</v>
      </c>
      <c r="Q182" s="132" t="s">
        <v>17</v>
      </c>
      <c r="R182" s="1">
        <v>4</v>
      </c>
      <c r="S182" s="1">
        <f t="shared" si="78"/>
        <v>10.888099999999998</v>
      </c>
      <c r="W182" s="143" t="s">
        <v>25</v>
      </c>
      <c r="X182" s="1">
        <v>4</v>
      </c>
      <c r="Y182" s="1">
        <f t="shared" si="79"/>
        <v>11.4114</v>
      </c>
      <c r="AH182" s="132" t="s">
        <v>9</v>
      </c>
      <c r="AI182">
        <v>0.39340000000000003</v>
      </c>
      <c r="AK182" s="144" t="s">
        <v>25</v>
      </c>
      <c r="AL182" s="1">
        <v>4</v>
      </c>
      <c r="AM182" s="1">
        <f t="shared" si="80"/>
        <v>10.858799999999999</v>
      </c>
      <c r="AO182" s="132" t="s">
        <v>9</v>
      </c>
      <c r="AP182" s="132">
        <v>0.40110000000000001</v>
      </c>
      <c r="AT182" s="145">
        <v>12</v>
      </c>
      <c r="AU182" s="1">
        <v>4</v>
      </c>
      <c r="AV182" s="1">
        <f t="shared" si="81"/>
        <v>12.063599999999999</v>
      </c>
      <c r="BE182" s="132" t="s">
        <v>9</v>
      </c>
      <c r="BF182" s="132">
        <v>0.41339999999999999</v>
      </c>
      <c r="BH182" s="146" t="s">
        <v>33</v>
      </c>
      <c r="BI182" s="1">
        <v>4</v>
      </c>
      <c r="BJ182" s="1">
        <f t="shared" si="82"/>
        <v>11.5167</v>
      </c>
    </row>
    <row r="183" spans="2:62" x14ac:dyDescent="0.25">
      <c r="B183" s="1">
        <v>3</v>
      </c>
      <c r="C183" s="1">
        <f t="shared" si="77"/>
        <v>10.681738666666666</v>
      </c>
      <c r="D183" s="3">
        <v>10.380896</v>
      </c>
      <c r="E183" s="3">
        <v>10.514094999999999</v>
      </c>
      <c r="F183" s="3">
        <v>11.150225000000001</v>
      </c>
      <c r="O183" s="132" t="s">
        <v>10</v>
      </c>
      <c r="P183" s="132">
        <v>9.2440999999999995</v>
      </c>
      <c r="Q183" s="132" t="s">
        <v>18</v>
      </c>
      <c r="R183" s="1">
        <v>3</v>
      </c>
      <c r="S183" s="1">
        <f t="shared" si="78"/>
        <v>10.362199999999998</v>
      </c>
      <c r="W183" s="143" t="s">
        <v>25</v>
      </c>
      <c r="X183" s="1">
        <v>3</v>
      </c>
      <c r="Y183" s="1">
        <f t="shared" si="79"/>
        <v>10.7354</v>
      </c>
      <c r="AH183" s="132" t="s">
        <v>10</v>
      </c>
      <c r="AI183">
        <v>9.2297999999999991</v>
      </c>
      <c r="AK183" s="144" t="s">
        <v>25</v>
      </c>
      <c r="AL183" s="1">
        <v>3</v>
      </c>
      <c r="AM183" s="1">
        <f t="shared" si="80"/>
        <v>10.319199999999999</v>
      </c>
      <c r="AO183" s="132" t="s">
        <v>10</v>
      </c>
      <c r="AP183" s="132">
        <v>9.2440999999999995</v>
      </c>
      <c r="AT183" s="145">
        <v>12</v>
      </c>
      <c r="AU183" s="1">
        <v>3</v>
      </c>
      <c r="AV183" s="1">
        <f t="shared" si="81"/>
        <v>11.3477</v>
      </c>
      <c r="BE183" s="132" t="s">
        <v>10</v>
      </c>
      <c r="BF183" s="132">
        <v>9.7303999999999995</v>
      </c>
      <c r="BH183" s="146" t="s">
        <v>33</v>
      </c>
      <c r="BI183" s="1">
        <v>3</v>
      </c>
      <c r="BJ183" s="1">
        <f t="shared" si="82"/>
        <v>10.9437</v>
      </c>
    </row>
    <row r="184" spans="2:62" x14ac:dyDescent="0.25">
      <c r="B184" s="1">
        <v>2</v>
      </c>
      <c r="C184" s="1">
        <f t="shared" si="77"/>
        <v>10.236683666666666</v>
      </c>
      <c r="D184" s="3">
        <v>9.9033069999999999</v>
      </c>
      <c r="E184" s="3">
        <v>10.094408</v>
      </c>
      <c r="F184" s="3">
        <v>10.712336000000001</v>
      </c>
      <c r="O184" s="132"/>
      <c r="P184" s="132"/>
      <c r="Q184" s="132"/>
      <c r="R184" s="1">
        <v>2</v>
      </c>
      <c r="S184" s="1">
        <f t="shared" si="78"/>
        <v>10.031899999999998</v>
      </c>
      <c r="W184" s="143" t="s">
        <v>25</v>
      </c>
      <c r="X184" s="1">
        <v>2</v>
      </c>
      <c r="Y184" s="1">
        <f t="shared" si="79"/>
        <v>10.1844</v>
      </c>
      <c r="AK184" s="144" t="s">
        <v>25</v>
      </c>
      <c r="AL184" s="1">
        <v>2</v>
      </c>
      <c r="AM184" s="1">
        <f t="shared" si="80"/>
        <v>9.9881999999999991</v>
      </c>
      <c r="AT184" s="145">
        <v>12</v>
      </c>
      <c r="AU184" s="1">
        <v>2</v>
      </c>
      <c r="AV184" s="1">
        <f t="shared" si="81"/>
        <v>10.744199999999999</v>
      </c>
      <c r="BH184" s="146" t="s">
        <v>33</v>
      </c>
      <c r="BI184" s="1">
        <v>2</v>
      </c>
      <c r="BJ184" s="1">
        <f t="shared" si="82"/>
        <v>10.5679</v>
      </c>
    </row>
    <row r="185" spans="2:62" x14ac:dyDescent="0.25">
      <c r="B185" s="1">
        <v>1</v>
      </c>
      <c r="C185" s="1">
        <f t="shared" si="77"/>
        <v>9.767631999999999</v>
      </c>
      <c r="D185" s="3">
        <v>9.4254859999999994</v>
      </c>
      <c r="E185" s="3">
        <v>9.6448579999999993</v>
      </c>
      <c r="F185" s="3">
        <v>10.232552</v>
      </c>
      <c r="O185" s="132"/>
      <c r="P185" s="132"/>
      <c r="Q185" s="132"/>
      <c r="R185" s="1">
        <v>1</v>
      </c>
      <c r="S185" s="1">
        <f t="shared" si="78"/>
        <v>9.897199999999998</v>
      </c>
      <c r="W185" s="143" t="s">
        <v>25</v>
      </c>
      <c r="X185" s="1">
        <v>1</v>
      </c>
      <c r="Y185" s="1">
        <f t="shared" si="79"/>
        <v>9.7584</v>
      </c>
      <c r="AK185" s="144" t="s">
        <v>25</v>
      </c>
      <c r="AL185" s="1">
        <v>1</v>
      </c>
      <c r="AM185" s="1">
        <f t="shared" si="80"/>
        <v>9.8657999999999983</v>
      </c>
      <c r="AT185" s="145">
        <v>12</v>
      </c>
      <c r="AU185" s="1">
        <v>1</v>
      </c>
      <c r="AV185" s="1">
        <f t="shared" si="81"/>
        <v>10.2531</v>
      </c>
      <c r="BH185" s="146" t="s">
        <v>33</v>
      </c>
      <c r="BI185" s="1">
        <v>1</v>
      </c>
      <c r="BJ185" s="1">
        <f t="shared" si="82"/>
        <v>10.3893</v>
      </c>
    </row>
    <row r="186" spans="2:62" x14ac:dyDescent="0.25">
      <c r="B186" s="1">
        <v>0</v>
      </c>
      <c r="C186" s="1">
        <f t="shared" si="77"/>
        <v>9.3224186666666657</v>
      </c>
      <c r="D186" s="3">
        <v>9.0067599999999999</v>
      </c>
      <c r="E186" s="3">
        <v>9.1979439999999997</v>
      </c>
      <c r="F186" s="3">
        <v>9.7625519999999995</v>
      </c>
      <c r="O186" s="132"/>
      <c r="P186" s="132"/>
      <c r="Q186" s="132"/>
      <c r="R186" s="1">
        <v>0</v>
      </c>
      <c r="S186" s="1">
        <f>((R186*R186)*($P$181+$Q$409))+(R186*($P$182+$S$409))+($P$183+$U$409)</f>
        <v>9.1862999999999992</v>
      </c>
      <c r="W186" s="143" t="s">
        <v>25</v>
      </c>
      <c r="X186" s="1">
        <v>0</v>
      </c>
      <c r="Y186" s="1">
        <f>((X186*X186)*($P$181+$E$458))+(X186*($P$182+$E$459))+($P$183+$E$460)</f>
        <v>9.2298000000000009</v>
      </c>
      <c r="AK186" s="144" t="s">
        <v>25</v>
      </c>
      <c r="AL186" s="1">
        <v>0</v>
      </c>
      <c r="AM186" s="1">
        <f>((AL186*AL186)*($AI$181+$AC$25))+(AL186*($AI$182+$AE$25))+($AI$183+$AG$25)</f>
        <v>9.1719999999999988</v>
      </c>
      <c r="AT186" s="145">
        <v>12</v>
      </c>
      <c r="AU186" s="1">
        <v>0</v>
      </c>
      <c r="AV186" s="1">
        <f>((AU186*AU186)*($AP$181+$AR$23))+(AU186*($AP$182+$AR$24))+($AP$183+$AR$25)</f>
        <v>9.7303999999999995</v>
      </c>
      <c r="BH186" s="146" t="s">
        <v>33</v>
      </c>
      <c r="BI186" s="1">
        <v>0</v>
      </c>
      <c r="BJ186" s="1">
        <f>((BI186*BI186)*($BF$181+$BD$23))+(BI186*($BF$182+$BD$24))+($BF$183+$BD$25)</f>
        <v>9.6725999999999992</v>
      </c>
    </row>
    <row r="187" spans="2:62" x14ac:dyDescent="0.25">
      <c r="B187" s="1">
        <v>-5</v>
      </c>
      <c r="C187" s="1">
        <f t="shared" si="77"/>
        <v>7.3686466666666659</v>
      </c>
      <c r="D187" s="3">
        <v>7.0456909999999997</v>
      </c>
      <c r="E187" s="3">
        <v>7.2557739999999997</v>
      </c>
      <c r="F187" s="3">
        <v>7.8044750000000001</v>
      </c>
      <c r="O187" s="132"/>
      <c r="P187" s="132"/>
      <c r="Q187" s="132"/>
      <c r="R187" s="1">
        <v>-5</v>
      </c>
      <c r="S187" s="1">
        <f t="shared" ref="S187:S190" si="83">((R187*R187)*($P$181+$Q$409))+(R187*($P$182+$S$409))+($P$183+$U$409)</f>
        <v>7.4692999999999987</v>
      </c>
      <c r="W187" s="143" t="s">
        <v>25</v>
      </c>
      <c r="X187" s="1">
        <v>-5</v>
      </c>
      <c r="Y187" s="1">
        <f>((X187*X187)*($P$181+$E$458))+(X187*($P$182+$E$459))+($P$183+$E$460)</f>
        <v>7.5503000000000009</v>
      </c>
      <c r="AK187" s="144" t="s">
        <v>25</v>
      </c>
      <c r="AL187" s="1">
        <v>-5</v>
      </c>
      <c r="AM187" s="1">
        <f t="shared" ref="AM187:AM190" si="84">((AL187*AL187)*($AI$181+$AC$25))+(AL187*($AI$182+$AE$25))+($AI$183+$AG$25)</f>
        <v>7.4859999999999989</v>
      </c>
      <c r="AT187" s="145">
        <v>12</v>
      </c>
      <c r="AU187" s="1">
        <v>-5</v>
      </c>
      <c r="AV187" s="1">
        <f t="shared" ref="AV187:AV190" si="85">((AU187*AU187)*($AP$181+$AR$23))+(AU187*($AP$182+$AR$24))+($AP$183+$AR$25)</f>
        <v>7.950899999999999</v>
      </c>
      <c r="BH187" s="146" t="s">
        <v>33</v>
      </c>
      <c r="BI187" s="1">
        <v>-5</v>
      </c>
      <c r="BJ187" s="1">
        <f t="shared" ref="BJ187:BJ190" si="86">((BI187*BI187)*($BF$181+$BD$23))+(BI187*($BF$182+$BD$24))+($BF$183+$BD$25)</f>
        <v>7.8865999999999996</v>
      </c>
    </row>
    <row r="188" spans="2:62" x14ac:dyDescent="0.25">
      <c r="B188" s="1">
        <v>-10</v>
      </c>
      <c r="C188" s="1">
        <f t="shared" si="77"/>
        <v>6.438655999999999</v>
      </c>
      <c r="D188" s="3">
        <v>6.1605480000000004</v>
      </c>
      <c r="E188" s="3">
        <v>6.3357849999999996</v>
      </c>
      <c r="F188" s="3">
        <v>6.8196349999999999</v>
      </c>
      <c r="O188" s="132"/>
      <c r="P188" s="132"/>
      <c r="Q188" s="132"/>
      <c r="R188" s="1">
        <v>-10</v>
      </c>
      <c r="S188" s="1">
        <f t="shared" si="83"/>
        <v>6.3522999999999987</v>
      </c>
      <c r="W188" s="143" t="s">
        <v>25</v>
      </c>
      <c r="X188" s="1">
        <v>-10</v>
      </c>
      <c r="Y188" s="1">
        <f t="shared" ref="Y188:Y190" si="87">((X188*X188)*($P$181+$E$458))+(X188*($P$182+$E$459))+($P$183+$E$460)</f>
        <v>6.4458000000000002</v>
      </c>
      <c r="AK188" s="144" t="s">
        <v>25</v>
      </c>
      <c r="AL188" s="1">
        <v>-10</v>
      </c>
      <c r="AM188" s="1">
        <f t="shared" si="84"/>
        <v>6.384999999999998</v>
      </c>
      <c r="AT188" s="145">
        <v>12</v>
      </c>
      <c r="AU188" s="1">
        <v>-10</v>
      </c>
      <c r="AV188" s="1">
        <f t="shared" si="85"/>
        <v>6.7463999999999995</v>
      </c>
      <c r="BH188" s="146" t="s">
        <v>33</v>
      </c>
      <c r="BI188" s="1">
        <v>-10</v>
      </c>
      <c r="BJ188" s="1">
        <f t="shared" si="86"/>
        <v>6.6855999999999991</v>
      </c>
    </row>
    <row r="189" spans="2:62" x14ac:dyDescent="0.25">
      <c r="B189" s="1">
        <v>-15</v>
      </c>
      <c r="C189" s="1">
        <f t="shared" si="77"/>
        <v>6.0144833333333336</v>
      </c>
      <c r="D189" s="3">
        <v>5.7840660000000002</v>
      </c>
      <c r="E189" s="3">
        <v>5.9168830000000003</v>
      </c>
      <c r="F189" s="3">
        <v>6.3425010000000004</v>
      </c>
      <c r="O189" s="132"/>
      <c r="P189" s="132"/>
      <c r="Q189" s="132"/>
      <c r="R189" s="1">
        <v>-15</v>
      </c>
      <c r="S189" s="1">
        <f t="shared" si="83"/>
        <v>5.8352999999999993</v>
      </c>
      <c r="W189" s="143" t="s">
        <v>25</v>
      </c>
      <c r="X189" s="1">
        <v>-15</v>
      </c>
      <c r="Y189" s="1">
        <f t="shared" si="87"/>
        <v>5.9162999999999997</v>
      </c>
      <c r="AK189" s="144" t="s">
        <v>25</v>
      </c>
      <c r="AL189" s="1">
        <v>-15</v>
      </c>
      <c r="AM189" s="1">
        <f t="shared" si="84"/>
        <v>5.868999999999998</v>
      </c>
      <c r="AT189" s="145">
        <v>12</v>
      </c>
      <c r="AU189" s="1">
        <v>-15</v>
      </c>
      <c r="AV189" s="1">
        <f t="shared" si="85"/>
        <v>6.1168999999999993</v>
      </c>
      <c r="BH189" s="146" t="s">
        <v>33</v>
      </c>
      <c r="BI189" s="1">
        <v>-15</v>
      </c>
      <c r="BJ189" s="1">
        <f t="shared" si="86"/>
        <v>6.0695999999999994</v>
      </c>
    </row>
    <row r="190" spans="2:62" x14ac:dyDescent="0.25">
      <c r="B190" s="1">
        <v>-20</v>
      </c>
      <c r="C190" s="1">
        <f t="shared" si="77"/>
        <v>5.8726403333333339</v>
      </c>
      <c r="D190" s="3">
        <v>5.7847039999999996</v>
      </c>
      <c r="E190" s="3">
        <v>5.9195270000000004</v>
      </c>
      <c r="F190" s="3">
        <v>5.9136899999999999</v>
      </c>
      <c r="O190" s="132"/>
      <c r="P190" s="132"/>
      <c r="Q190" s="132"/>
      <c r="R190" s="1">
        <v>-20</v>
      </c>
      <c r="S190" s="1">
        <f t="shared" si="83"/>
        <v>5.9182999999999977</v>
      </c>
      <c r="W190" s="143" t="s">
        <v>25</v>
      </c>
      <c r="X190" s="1">
        <v>-20</v>
      </c>
      <c r="Y190" s="1">
        <f t="shared" si="87"/>
        <v>5.9618000000000002</v>
      </c>
      <c r="AK190" s="144" t="s">
        <v>25</v>
      </c>
      <c r="AL190" s="1">
        <v>-20</v>
      </c>
      <c r="AM190" s="1">
        <f t="shared" si="84"/>
        <v>5.9379999999999971</v>
      </c>
      <c r="AT190" s="145">
        <v>12</v>
      </c>
      <c r="AU190" s="1">
        <v>-20</v>
      </c>
      <c r="AV190" s="1">
        <f t="shared" si="85"/>
        <v>6.0623999999999985</v>
      </c>
      <c r="BH190" s="146" t="s">
        <v>33</v>
      </c>
      <c r="BI190" s="1">
        <v>-20</v>
      </c>
      <c r="BJ190" s="1">
        <f t="shared" si="86"/>
        <v>6.0385999999999989</v>
      </c>
    </row>
    <row r="194" spans="2:62" x14ac:dyDescent="0.25">
      <c r="B194" s="26" t="s">
        <v>0</v>
      </c>
      <c r="C194" s="26">
        <v>2.8</v>
      </c>
      <c r="D194" s="26"/>
      <c r="E194" s="26"/>
      <c r="F194" s="26"/>
      <c r="O194" s="132"/>
      <c r="P194" s="132"/>
      <c r="Q194" s="132"/>
      <c r="R194" s="132" t="s">
        <v>0</v>
      </c>
      <c r="S194" s="132">
        <v>2.8</v>
      </c>
      <c r="W194" s="132"/>
      <c r="X194" s="132" t="s">
        <v>0</v>
      </c>
      <c r="Y194" s="132">
        <v>2.8</v>
      </c>
      <c r="AK194" s="132"/>
      <c r="AL194" s="132" t="s">
        <v>0</v>
      </c>
      <c r="AM194" s="132">
        <v>2.8</v>
      </c>
      <c r="AT194" s="132"/>
      <c r="AU194" s="132" t="s">
        <v>0</v>
      </c>
      <c r="AV194" s="132">
        <v>2.8</v>
      </c>
      <c r="BH194" s="132"/>
      <c r="BI194" s="132" t="s">
        <v>0</v>
      </c>
      <c r="BJ194" s="132">
        <v>2.8</v>
      </c>
    </row>
    <row r="195" spans="2:62" x14ac:dyDescent="0.25">
      <c r="B195" s="1" t="s">
        <v>4</v>
      </c>
      <c r="C195" s="1" t="s">
        <v>5</v>
      </c>
      <c r="D195" s="1">
        <v>1</v>
      </c>
      <c r="E195" s="1">
        <v>2</v>
      </c>
      <c r="F195" s="1">
        <v>3</v>
      </c>
      <c r="O195" s="132" t="s">
        <v>8</v>
      </c>
      <c r="P195" s="132">
        <v>5.2600000000000001E-2</v>
      </c>
      <c r="Q195" s="132" t="s">
        <v>13</v>
      </c>
      <c r="R195" s="1" t="s">
        <v>4</v>
      </c>
      <c r="S195" s="1" t="s">
        <v>5</v>
      </c>
      <c r="W195" s="143" t="s">
        <v>26</v>
      </c>
      <c r="X195" s="1" t="s">
        <v>4</v>
      </c>
      <c r="Y195" s="1" t="s">
        <v>5</v>
      </c>
      <c r="AH195" s="132" t="s">
        <v>8</v>
      </c>
      <c r="AI195">
        <v>5.9200000000000003E-2</v>
      </c>
      <c r="AK195" s="144" t="s">
        <v>29</v>
      </c>
      <c r="AL195" s="1" t="s">
        <v>4</v>
      </c>
      <c r="AM195" s="1" t="s">
        <v>5</v>
      </c>
      <c r="AO195" s="132" t="s">
        <v>8</v>
      </c>
      <c r="AP195" s="132">
        <v>5.2600000000000001E-2</v>
      </c>
      <c r="AT195" s="145" t="s">
        <v>30</v>
      </c>
      <c r="AU195" s="1" t="s">
        <v>4</v>
      </c>
      <c r="AV195" s="1" t="s">
        <v>5</v>
      </c>
      <c r="BE195" s="132" t="s">
        <v>8</v>
      </c>
      <c r="BF195" s="132">
        <v>5.3499999999999999E-2</v>
      </c>
      <c r="BH195" s="146" t="s">
        <v>32</v>
      </c>
      <c r="BI195" s="1" t="s">
        <v>4</v>
      </c>
      <c r="BJ195" s="1" t="s">
        <v>5</v>
      </c>
    </row>
    <row r="196" spans="2:62" x14ac:dyDescent="0.25">
      <c r="B196" s="1">
        <v>14</v>
      </c>
      <c r="C196" s="1">
        <f>AVERAGE(E196,F196,D196)</f>
        <v>23.232158666666663</v>
      </c>
      <c r="D196" s="3">
        <v>23.180475999999999</v>
      </c>
      <c r="E196" s="3">
        <v>23.078710999999998</v>
      </c>
      <c r="F196" s="3">
        <v>23.437289</v>
      </c>
      <c r="O196" s="132" t="s">
        <v>9</v>
      </c>
      <c r="P196" s="132">
        <v>0.29239999999999999</v>
      </c>
      <c r="Q196" s="132" t="s">
        <v>15</v>
      </c>
      <c r="R196" s="1">
        <v>14</v>
      </c>
      <c r="S196" s="1">
        <f>((R196*R196)*($P$195+$Q$408))+(R196*($P$196+$S$408))+($P$197+$U$408)</f>
        <v>26.219799999999999</v>
      </c>
      <c r="W196" s="143" t="s">
        <v>25</v>
      </c>
      <c r="X196" s="1">
        <v>14</v>
      </c>
      <c r="Y196" s="1">
        <f>((X196*X196)*($P$195+$C$458))+(X196*($P$196+$C$459))+($P$197+$C$460)</f>
        <v>24.3611</v>
      </c>
      <c r="AH196" s="132" t="s">
        <v>9</v>
      </c>
      <c r="AI196">
        <v>0.26019999999999999</v>
      </c>
      <c r="AK196" s="144" t="s">
        <v>25</v>
      </c>
      <c r="AL196" s="1">
        <v>14</v>
      </c>
      <c r="AM196" s="1">
        <f>((AL196*AL196)*($AI$195+$AC$24))+(AL196*($AI$196+$AE$24))+($AI$197+$AG$24)</f>
        <v>27.058100000000003</v>
      </c>
      <c r="AO196" s="132" t="s">
        <v>9</v>
      </c>
      <c r="AP196" s="132">
        <v>0.29239999999999999</v>
      </c>
      <c r="AT196" s="145">
        <v>12</v>
      </c>
      <c r="AU196" s="1">
        <v>14</v>
      </c>
      <c r="AV196" s="1">
        <f>((AU196*AU196)*($AP$195+$AP$23))+(AU196*($AP$196+$AP$24))+($AP$197+$AP$25)</f>
        <v>24.7193</v>
      </c>
      <c r="BE196" s="132" t="s">
        <v>9</v>
      </c>
      <c r="BF196" s="132">
        <v>0.33350000000000002</v>
      </c>
      <c r="BH196" s="146" t="s">
        <v>33</v>
      </c>
      <c r="BI196" s="1">
        <v>14</v>
      </c>
      <c r="BJ196" s="1">
        <f>((BI196*BI196)*($BF$195+$BB$23))+(BI196*($BF$196+$BB$24))+($BF$197+$BB$25)</f>
        <v>27.422900000000002</v>
      </c>
    </row>
    <row r="197" spans="2:62" x14ac:dyDescent="0.25">
      <c r="B197" s="1">
        <v>13</v>
      </c>
      <c r="C197" s="1">
        <f t="shared" ref="C197:C214" si="88">AVERAGE(E197,F197,D197)</f>
        <v>21.920625999999999</v>
      </c>
      <c r="D197" s="3">
        <v>21.795103000000001</v>
      </c>
      <c r="E197" s="3">
        <v>21.790367</v>
      </c>
      <c r="F197" s="3">
        <v>22.176407999999999</v>
      </c>
      <c r="O197" s="132" t="s">
        <v>10</v>
      </c>
      <c r="P197" s="132">
        <v>9.1036000000000001</v>
      </c>
      <c r="Q197" s="132" t="s">
        <v>16</v>
      </c>
      <c r="R197" s="1">
        <v>13</v>
      </c>
      <c r="S197" s="1">
        <f t="shared" ref="S197:S209" si="89">((R197*R197)*($P$195+$Q$408))+(R197*($P$196+$S$408))+($P$197+$U$408)</f>
        <v>23.790800000000001</v>
      </c>
      <c r="W197" s="143" t="s">
        <v>25</v>
      </c>
      <c r="X197" s="1">
        <v>13</v>
      </c>
      <c r="Y197" s="1">
        <f t="shared" ref="Y197:Y209" si="90">((X197*X197)*($P$195+$C$458))+(X197*($P$196+$C$459))+($P$197+$C$460)</f>
        <v>22.488</v>
      </c>
      <c r="AH197" s="132" t="s">
        <v>10</v>
      </c>
      <c r="AI197">
        <v>9.0991</v>
      </c>
      <c r="AK197" s="144" t="s">
        <v>25</v>
      </c>
      <c r="AL197" s="1">
        <v>13</v>
      </c>
      <c r="AM197" s="1">
        <f t="shared" ref="AM197:AM209" si="91">((AL197*AL197)*($AI$195+$AC$24))+(AL197*($AI$196+$AE$24))+($AI$197+$AG$24)</f>
        <v>24.4831</v>
      </c>
      <c r="AO197" s="132" t="s">
        <v>10</v>
      </c>
      <c r="AP197" s="132">
        <v>9.1036000000000001</v>
      </c>
      <c r="AT197" s="145">
        <v>12</v>
      </c>
      <c r="AU197" s="1">
        <v>13</v>
      </c>
      <c r="AV197" s="1">
        <f t="shared" ref="AV197:AV209" si="92">((AU197*AU197)*($AP$195+$AP$23))+(AU197*($AP$196+$AP$24))+($AP$197+$AP$25)</f>
        <v>22.932299999999998</v>
      </c>
      <c r="BE197" s="132" t="s">
        <v>10</v>
      </c>
      <c r="BF197" s="132">
        <v>9.5548999999999999</v>
      </c>
      <c r="BH197" s="146" t="s">
        <v>33</v>
      </c>
      <c r="BI197" s="1">
        <v>13</v>
      </c>
      <c r="BJ197" s="1">
        <f t="shared" ref="BJ197:BJ209" si="93">((BI197*BI197)*($BF$195+$BB$23))+(BI197*($BF$196+$BB$24))+($BF$197+$BB$25)</f>
        <v>24.9285</v>
      </c>
    </row>
    <row r="198" spans="2:62" x14ac:dyDescent="0.25">
      <c r="B198" s="1">
        <v>12</v>
      </c>
      <c r="C198" s="1">
        <f t="shared" si="88"/>
        <v>20.583049666666668</v>
      </c>
      <c r="D198" s="3">
        <v>20.397169999999999</v>
      </c>
      <c r="E198" s="3">
        <v>20.471938999999999</v>
      </c>
      <c r="F198" s="3">
        <v>20.880040000000001</v>
      </c>
      <c r="O198" s="132"/>
      <c r="P198" s="132"/>
      <c r="Q198" s="132"/>
      <c r="R198" s="1">
        <v>12</v>
      </c>
      <c r="S198" s="1">
        <f t="shared" si="89"/>
        <v>21.553999999999998</v>
      </c>
      <c r="W198" s="143" t="s">
        <v>25</v>
      </c>
      <c r="X198" s="1">
        <v>12</v>
      </c>
      <c r="Y198" s="1">
        <f t="shared" si="90"/>
        <v>20.736499999999999</v>
      </c>
      <c r="AH198" s="132"/>
      <c r="AK198" s="144" t="s">
        <v>25</v>
      </c>
      <c r="AL198" s="1">
        <v>12</v>
      </c>
      <c r="AM198" s="1">
        <f t="shared" si="91"/>
        <v>22.113500000000002</v>
      </c>
      <c r="AO198" s="132"/>
      <c r="AP198" s="132"/>
      <c r="AT198" s="145">
        <v>12</v>
      </c>
      <c r="AU198" s="1">
        <v>12</v>
      </c>
      <c r="AV198" s="1">
        <f t="shared" si="92"/>
        <v>21.254300000000001</v>
      </c>
      <c r="BE198" s="132"/>
      <c r="BF198" s="132"/>
      <c r="BH198" s="146" t="s">
        <v>33</v>
      </c>
      <c r="BI198" s="1">
        <v>12</v>
      </c>
      <c r="BJ198" s="1">
        <f t="shared" si="93"/>
        <v>22.6281</v>
      </c>
    </row>
    <row r="199" spans="2:62" x14ac:dyDescent="0.25">
      <c r="B199" s="1">
        <v>11</v>
      </c>
      <c r="C199" s="1">
        <f t="shared" si="88"/>
        <v>18.642485666666669</v>
      </c>
      <c r="D199" s="3">
        <v>18.493855</v>
      </c>
      <c r="E199" s="3">
        <v>18.400534</v>
      </c>
      <c r="F199" s="3">
        <v>19.033068</v>
      </c>
      <c r="O199" s="132"/>
      <c r="P199" s="132"/>
      <c r="Q199" s="132"/>
      <c r="R199" s="1">
        <v>11</v>
      </c>
      <c r="S199" s="1">
        <f t="shared" si="89"/>
        <v>19.509399999999999</v>
      </c>
      <c r="W199" s="143" t="s">
        <v>25</v>
      </c>
      <c r="X199" s="1">
        <v>11</v>
      </c>
      <c r="Y199" s="1">
        <f t="shared" si="90"/>
        <v>19.1066</v>
      </c>
      <c r="AH199" s="132"/>
      <c r="AK199" s="144" t="s">
        <v>25</v>
      </c>
      <c r="AL199" s="1">
        <v>11</v>
      </c>
      <c r="AM199" s="1">
        <f t="shared" si="91"/>
        <v>19.949300000000001</v>
      </c>
      <c r="AO199" s="132"/>
      <c r="AP199" s="132"/>
      <c r="AT199" s="145">
        <v>12</v>
      </c>
      <c r="AU199" s="1">
        <v>11</v>
      </c>
      <c r="AV199" s="1">
        <f t="shared" si="92"/>
        <v>19.685299999999998</v>
      </c>
      <c r="BE199" s="132"/>
      <c r="BF199" s="132"/>
      <c r="BH199" s="146" t="s">
        <v>33</v>
      </c>
      <c r="BI199" s="1">
        <v>11</v>
      </c>
      <c r="BJ199" s="1">
        <f t="shared" si="93"/>
        <v>20.521700000000003</v>
      </c>
    </row>
    <row r="200" spans="2:62" x14ac:dyDescent="0.25">
      <c r="B200" s="1">
        <v>10</v>
      </c>
      <c r="C200" s="1">
        <f t="shared" si="88"/>
        <v>17.076356000000001</v>
      </c>
      <c r="D200" s="3">
        <v>17.039832000000001</v>
      </c>
      <c r="E200" s="3">
        <v>16.741517999999999</v>
      </c>
      <c r="F200" s="3">
        <v>17.447717999999998</v>
      </c>
      <c r="O200" s="132"/>
      <c r="P200" s="132"/>
      <c r="Q200" s="132"/>
      <c r="R200" s="1">
        <v>10</v>
      </c>
      <c r="S200" s="1">
        <f t="shared" si="89"/>
        <v>17.657</v>
      </c>
      <c r="W200" s="143" t="s">
        <v>25</v>
      </c>
      <c r="X200" s="1">
        <v>10</v>
      </c>
      <c r="Y200" s="1">
        <f t="shared" si="90"/>
        <v>17.598300000000002</v>
      </c>
      <c r="AH200" s="132"/>
      <c r="AK200" s="144" t="s">
        <v>25</v>
      </c>
      <c r="AL200" s="1">
        <v>10</v>
      </c>
      <c r="AM200" s="1">
        <f t="shared" si="91"/>
        <v>17.990500000000001</v>
      </c>
      <c r="AO200" s="132"/>
      <c r="AP200" s="132"/>
      <c r="AT200" s="145">
        <v>12</v>
      </c>
      <c r="AU200" s="1">
        <v>10</v>
      </c>
      <c r="AV200" s="1">
        <f t="shared" si="92"/>
        <v>18.225300000000001</v>
      </c>
      <c r="BE200" s="132"/>
      <c r="BF200" s="132"/>
      <c r="BH200" s="146" t="s">
        <v>33</v>
      </c>
      <c r="BI200" s="1">
        <v>10</v>
      </c>
      <c r="BJ200" s="1">
        <f t="shared" si="93"/>
        <v>18.609300000000001</v>
      </c>
    </row>
    <row r="201" spans="2:62" x14ac:dyDescent="0.25">
      <c r="B201" s="1">
        <v>9</v>
      </c>
      <c r="C201" s="1">
        <f t="shared" si="88"/>
        <v>15.917413000000002</v>
      </c>
      <c r="D201" s="3">
        <v>15.834314000000001</v>
      </c>
      <c r="E201" s="3">
        <v>15.592968000000001</v>
      </c>
      <c r="F201" s="3">
        <v>16.324957000000001</v>
      </c>
      <c r="O201" s="132"/>
      <c r="P201" s="132"/>
      <c r="Q201" s="132"/>
      <c r="R201" s="1">
        <v>9</v>
      </c>
      <c r="S201" s="1">
        <f t="shared" si="89"/>
        <v>15.9968</v>
      </c>
      <c r="W201" s="143" t="s">
        <v>25</v>
      </c>
      <c r="X201" s="1">
        <v>9</v>
      </c>
      <c r="Y201" s="1">
        <f t="shared" si="90"/>
        <v>16.211600000000001</v>
      </c>
      <c r="AH201" s="132"/>
      <c r="AK201" s="144" t="s">
        <v>25</v>
      </c>
      <c r="AL201" s="1">
        <v>9</v>
      </c>
      <c r="AM201" s="1">
        <f t="shared" si="91"/>
        <v>16.237100000000002</v>
      </c>
      <c r="AO201" s="132"/>
      <c r="AP201" s="132"/>
      <c r="AT201" s="145">
        <v>12</v>
      </c>
      <c r="AU201" s="1">
        <v>9</v>
      </c>
      <c r="AV201" s="1">
        <f t="shared" si="92"/>
        <v>16.874300000000002</v>
      </c>
      <c r="BE201" s="132"/>
      <c r="BF201" s="132"/>
      <c r="BH201" s="146" t="s">
        <v>33</v>
      </c>
      <c r="BI201" s="1">
        <v>9</v>
      </c>
      <c r="BJ201" s="1">
        <f t="shared" si="93"/>
        <v>16.890900000000002</v>
      </c>
    </row>
    <row r="202" spans="2:62" x14ac:dyDescent="0.25">
      <c r="B202" s="1">
        <v>8</v>
      </c>
      <c r="C202" s="1">
        <f t="shared" si="88"/>
        <v>14.916240666666667</v>
      </c>
      <c r="D202" s="3">
        <v>14.814474000000001</v>
      </c>
      <c r="E202" s="3">
        <v>14.613218</v>
      </c>
      <c r="F202" s="3">
        <v>15.32103</v>
      </c>
      <c r="O202" s="132"/>
      <c r="P202" s="132"/>
      <c r="Q202" s="132"/>
      <c r="R202" s="1">
        <v>8</v>
      </c>
      <c r="S202" s="1">
        <f t="shared" si="89"/>
        <v>14.5288</v>
      </c>
      <c r="W202" s="143" t="s">
        <v>25</v>
      </c>
      <c r="X202" s="1">
        <v>8</v>
      </c>
      <c r="Y202" s="1">
        <f t="shared" si="90"/>
        <v>14.9465</v>
      </c>
      <c r="AH202" s="132"/>
      <c r="AK202" s="144" t="s">
        <v>25</v>
      </c>
      <c r="AL202" s="1">
        <v>8</v>
      </c>
      <c r="AM202" s="1">
        <f t="shared" si="91"/>
        <v>14.6891</v>
      </c>
      <c r="AO202" s="132"/>
      <c r="AP202" s="132"/>
      <c r="AT202" s="145">
        <v>12</v>
      </c>
      <c r="AU202" s="1">
        <v>8</v>
      </c>
      <c r="AV202" s="1">
        <f t="shared" si="92"/>
        <v>15.632300000000001</v>
      </c>
      <c r="BE202" s="132"/>
      <c r="BF202" s="132"/>
      <c r="BH202" s="146" t="s">
        <v>33</v>
      </c>
      <c r="BI202" s="1">
        <v>8</v>
      </c>
      <c r="BJ202" s="1">
        <f t="shared" si="93"/>
        <v>15.3665</v>
      </c>
    </row>
    <row r="203" spans="2:62" x14ac:dyDescent="0.25">
      <c r="B203" s="1">
        <v>7</v>
      </c>
      <c r="C203" s="1">
        <f t="shared" si="88"/>
        <v>13.747217999999998</v>
      </c>
      <c r="D203" s="3">
        <v>13.606403</v>
      </c>
      <c r="E203" s="3">
        <v>13.464617000000001</v>
      </c>
      <c r="F203" s="3">
        <v>14.170634</v>
      </c>
      <c r="O203" s="132"/>
      <c r="P203" s="132"/>
      <c r="Q203" s="132"/>
      <c r="R203" s="1">
        <v>7</v>
      </c>
      <c r="S203" s="1">
        <f t="shared" si="89"/>
        <v>13.253</v>
      </c>
      <c r="W203" s="143" t="s">
        <v>25</v>
      </c>
      <c r="X203" s="1">
        <v>7</v>
      </c>
      <c r="Y203" s="1">
        <f t="shared" si="90"/>
        <v>13.803000000000001</v>
      </c>
      <c r="AH203" s="132"/>
      <c r="AK203" s="144" t="s">
        <v>25</v>
      </c>
      <c r="AL203" s="1">
        <v>7</v>
      </c>
      <c r="AM203" s="1">
        <f t="shared" si="91"/>
        <v>13.346500000000001</v>
      </c>
      <c r="AO203" s="132"/>
      <c r="AP203" s="132"/>
      <c r="AT203" s="145">
        <v>12</v>
      </c>
      <c r="AU203" s="1">
        <v>7</v>
      </c>
      <c r="AV203" s="1">
        <f t="shared" si="92"/>
        <v>14.4993</v>
      </c>
      <c r="BE203" s="132"/>
      <c r="BF203" s="132"/>
      <c r="BH203" s="146" t="s">
        <v>33</v>
      </c>
      <c r="BI203" s="1">
        <v>7</v>
      </c>
      <c r="BJ203" s="1">
        <f t="shared" si="93"/>
        <v>14.036100000000001</v>
      </c>
    </row>
    <row r="204" spans="2:62" x14ac:dyDescent="0.25">
      <c r="B204" s="1">
        <v>6</v>
      </c>
      <c r="C204" s="1">
        <f t="shared" si="88"/>
        <v>12.751970333333333</v>
      </c>
      <c r="D204" s="3">
        <v>12.571014999999999</v>
      </c>
      <c r="E204" s="3">
        <v>12.506826999999999</v>
      </c>
      <c r="F204" s="3">
        <v>13.178069000000001</v>
      </c>
      <c r="O204" s="132"/>
      <c r="P204" s="132"/>
      <c r="Q204" s="132"/>
      <c r="R204" s="1">
        <v>6</v>
      </c>
      <c r="S204" s="1">
        <f t="shared" si="89"/>
        <v>12.1694</v>
      </c>
      <c r="W204" s="143" t="s">
        <v>25</v>
      </c>
      <c r="X204" s="1">
        <v>6</v>
      </c>
      <c r="Y204" s="1">
        <f t="shared" si="90"/>
        <v>12.7811</v>
      </c>
      <c r="AH204" s="132"/>
      <c r="AK204" s="144" t="s">
        <v>25</v>
      </c>
      <c r="AL204" s="1">
        <v>6</v>
      </c>
      <c r="AM204" s="1">
        <f t="shared" si="91"/>
        <v>12.209300000000001</v>
      </c>
      <c r="AO204" s="132"/>
      <c r="AP204" s="132"/>
      <c r="AT204" s="145">
        <v>12</v>
      </c>
      <c r="AU204" s="1">
        <v>6</v>
      </c>
      <c r="AV204" s="1">
        <f t="shared" si="92"/>
        <v>13.475300000000001</v>
      </c>
      <c r="BE204" s="132"/>
      <c r="BF204" s="132"/>
      <c r="BH204" s="146" t="s">
        <v>33</v>
      </c>
      <c r="BI204" s="1">
        <v>6</v>
      </c>
      <c r="BJ204" s="1">
        <f t="shared" si="93"/>
        <v>12.899700000000001</v>
      </c>
    </row>
    <row r="205" spans="2:62" x14ac:dyDescent="0.25">
      <c r="B205" s="1">
        <v>5</v>
      </c>
      <c r="C205" s="1">
        <f t="shared" si="88"/>
        <v>11.652535666666667</v>
      </c>
      <c r="D205" s="3">
        <v>11.381785000000001</v>
      </c>
      <c r="E205" s="3">
        <v>11.458437</v>
      </c>
      <c r="F205" s="3">
        <v>12.117385000000001</v>
      </c>
      <c r="O205" s="132" t="s">
        <v>8</v>
      </c>
      <c r="P205" s="132">
        <v>1.15E-2</v>
      </c>
      <c r="Q205" s="132" t="s">
        <v>14</v>
      </c>
      <c r="R205" s="1">
        <v>5</v>
      </c>
      <c r="S205" s="1">
        <f t="shared" si="89"/>
        <v>11.278</v>
      </c>
      <c r="W205" s="143" t="s">
        <v>25</v>
      </c>
      <c r="X205" s="1">
        <v>5</v>
      </c>
      <c r="Y205" s="1">
        <f t="shared" si="90"/>
        <v>11.880800000000001</v>
      </c>
      <c r="AH205" s="132" t="s">
        <v>8</v>
      </c>
      <c r="AI205">
        <v>1.12E-2</v>
      </c>
      <c r="AK205" s="144" t="s">
        <v>25</v>
      </c>
      <c r="AL205" s="1">
        <v>5</v>
      </c>
      <c r="AM205" s="1">
        <f t="shared" si="91"/>
        <v>11.2775</v>
      </c>
      <c r="AO205" s="132" t="s">
        <v>8</v>
      </c>
      <c r="AP205" s="132">
        <v>1.15E-2</v>
      </c>
      <c r="AT205" s="145">
        <v>12</v>
      </c>
      <c r="AU205" s="1">
        <v>5</v>
      </c>
      <c r="AV205" s="1">
        <f t="shared" si="92"/>
        <v>12.560300000000002</v>
      </c>
      <c r="BE205" s="132" t="s">
        <v>8</v>
      </c>
      <c r="BF205" s="132">
        <v>1.12E-2</v>
      </c>
      <c r="BH205" s="146" t="s">
        <v>33</v>
      </c>
      <c r="BI205" s="1">
        <v>5</v>
      </c>
      <c r="BJ205" s="1">
        <f t="shared" si="93"/>
        <v>11.9573</v>
      </c>
    </row>
    <row r="206" spans="2:62" x14ac:dyDescent="0.25">
      <c r="B206" s="1">
        <v>4</v>
      </c>
      <c r="C206" s="1">
        <f t="shared" si="88"/>
        <v>11.245836666666667</v>
      </c>
      <c r="D206" s="3">
        <v>10.973272</v>
      </c>
      <c r="E206" s="3">
        <v>11.064221999999999</v>
      </c>
      <c r="F206" s="3">
        <v>11.700016</v>
      </c>
      <c r="O206" s="132" t="s">
        <v>9</v>
      </c>
      <c r="P206" s="132">
        <v>0.39140000000000003</v>
      </c>
      <c r="Q206" s="132" t="s">
        <v>17</v>
      </c>
      <c r="R206" s="1">
        <v>4</v>
      </c>
      <c r="S206" s="1">
        <f t="shared" si="89"/>
        <v>10.578800000000001</v>
      </c>
      <c r="W206" s="143" t="s">
        <v>25</v>
      </c>
      <c r="X206" s="1">
        <v>4</v>
      </c>
      <c r="Y206" s="1">
        <f t="shared" si="90"/>
        <v>11.1021</v>
      </c>
      <c r="AH206" s="132" t="s">
        <v>9</v>
      </c>
      <c r="AI206">
        <v>0.38369999999999999</v>
      </c>
      <c r="AK206" s="144" t="s">
        <v>25</v>
      </c>
      <c r="AL206" s="1">
        <v>4</v>
      </c>
      <c r="AM206" s="1">
        <f t="shared" si="91"/>
        <v>10.5511</v>
      </c>
      <c r="AO206" s="132" t="s">
        <v>9</v>
      </c>
      <c r="AP206" s="132">
        <v>0.39140000000000003</v>
      </c>
      <c r="AT206" s="145">
        <v>12</v>
      </c>
      <c r="AU206" s="1">
        <v>4</v>
      </c>
      <c r="AV206" s="1">
        <f t="shared" si="92"/>
        <v>11.754300000000001</v>
      </c>
      <c r="BE206" s="132" t="s">
        <v>9</v>
      </c>
      <c r="BF206" s="132">
        <v>0.4037</v>
      </c>
      <c r="BH206" s="146" t="s">
        <v>33</v>
      </c>
      <c r="BI206" s="1">
        <v>4</v>
      </c>
      <c r="BJ206" s="1">
        <f t="shared" si="93"/>
        <v>11.2089</v>
      </c>
    </row>
    <row r="207" spans="2:62" x14ac:dyDescent="0.25">
      <c r="B207" s="1">
        <v>3</v>
      </c>
      <c r="C207" s="1">
        <f t="shared" si="88"/>
        <v>10.40062</v>
      </c>
      <c r="D207" s="3">
        <v>10.10549</v>
      </c>
      <c r="E207" s="3">
        <v>10.231318</v>
      </c>
      <c r="F207" s="3">
        <v>10.865052</v>
      </c>
      <c r="O207" s="132" t="s">
        <v>10</v>
      </c>
      <c r="P207" s="132">
        <v>8.9932999999999996</v>
      </c>
      <c r="Q207" s="132" t="s">
        <v>18</v>
      </c>
      <c r="R207" s="1">
        <v>3</v>
      </c>
      <c r="S207" s="1">
        <f>((R207*R207)*($P$195+$Q$408))+(R207*($P$196+$S$408))+($P$197+$U$408)</f>
        <v>10.071800000000001</v>
      </c>
      <c r="W207" s="143" t="s">
        <v>25</v>
      </c>
      <c r="X207" s="1">
        <v>3</v>
      </c>
      <c r="Y207" s="1">
        <f t="shared" si="90"/>
        <v>10.445</v>
      </c>
      <c r="AH207" s="132" t="s">
        <v>10</v>
      </c>
      <c r="AI207">
        <v>8.9789999999999992</v>
      </c>
      <c r="AK207" s="144" t="s">
        <v>25</v>
      </c>
      <c r="AL207" s="1">
        <v>3</v>
      </c>
      <c r="AM207" s="1">
        <f t="shared" si="91"/>
        <v>10.030100000000001</v>
      </c>
      <c r="AO207" s="132" t="s">
        <v>10</v>
      </c>
      <c r="AP207" s="132">
        <v>8.9932999999999996</v>
      </c>
      <c r="AT207" s="145">
        <v>12</v>
      </c>
      <c r="AU207" s="1">
        <v>3</v>
      </c>
      <c r="AV207" s="1">
        <f t="shared" si="92"/>
        <v>11.0573</v>
      </c>
      <c r="BE207" s="132" t="s">
        <v>10</v>
      </c>
      <c r="BF207" s="132">
        <v>9.4795999999999996</v>
      </c>
      <c r="BH207" s="146" t="s">
        <v>33</v>
      </c>
      <c r="BI207" s="1">
        <v>3</v>
      </c>
      <c r="BJ207" s="1">
        <f t="shared" si="93"/>
        <v>10.654500000000001</v>
      </c>
    </row>
    <row r="208" spans="2:62" x14ac:dyDescent="0.25">
      <c r="B208" s="1">
        <v>2</v>
      </c>
      <c r="C208" s="1">
        <f t="shared" si="88"/>
        <v>9.9538626666666676</v>
      </c>
      <c r="D208" s="3">
        <v>9.6453640000000007</v>
      </c>
      <c r="E208" s="3">
        <v>9.7863640000000007</v>
      </c>
      <c r="F208" s="3">
        <v>10.42986</v>
      </c>
      <c r="O208" s="132"/>
      <c r="P208" s="132"/>
      <c r="Q208" s="132"/>
      <c r="R208" s="1">
        <v>2</v>
      </c>
      <c r="S208" s="1">
        <f t="shared" si="89"/>
        <v>9.7570000000000014</v>
      </c>
      <c r="W208" s="143" t="s">
        <v>25</v>
      </c>
      <c r="X208" s="1">
        <v>2</v>
      </c>
      <c r="Y208" s="1">
        <f t="shared" si="90"/>
        <v>9.9095000000000013</v>
      </c>
      <c r="AK208" s="144" t="s">
        <v>25</v>
      </c>
      <c r="AL208" s="1">
        <v>2</v>
      </c>
      <c r="AM208" s="1">
        <f t="shared" si="91"/>
        <v>9.714500000000001</v>
      </c>
      <c r="AT208" s="145">
        <v>12</v>
      </c>
      <c r="AU208" s="1">
        <v>2</v>
      </c>
      <c r="AV208" s="1">
        <f t="shared" si="92"/>
        <v>10.4693</v>
      </c>
      <c r="BH208" s="146" t="s">
        <v>33</v>
      </c>
      <c r="BI208" s="1">
        <v>2</v>
      </c>
      <c r="BJ208" s="1">
        <f t="shared" si="93"/>
        <v>10.2941</v>
      </c>
    </row>
    <row r="209" spans="2:62" x14ac:dyDescent="0.25">
      <c r="B209" s="1">
        <v>1</v>
      </c>
      <c r="C209" s="1">
        <f t="shared" si="88"/>
        <v>9.5032476666666668</v>
      </c>
      <c r="D209" s="3">
        <v>9.1808160000000001</v>
      </c>
      <c r="E209" s="3">
        <v>9.3654519999999994</v>
      </c>
      <c r="F209" s="3">
        <v>9.9634750000000007</v>
      </c>
      <c r="O209" s="132"/>
      <c r="P209" s="132"/>
      <c r="Q209" s="132"/>
      <c r="R209" s="1">
        <v>1</v>
      </c>
      <c r="S209" s="1">
        <f t="shared" si="89"/>
        <v>9.6344000000000012</v>
      </c>
      <c r="W209" s="143" t="s">
        <v>25</v>
      </c>
      <c r="X209" s="1">
        <v>1</v>
      </c>
      <c r="Y209" s="1">
        <f t="shared" si="90"/>
        <v>9.4955999999999996</v>
      </c>
      <c r="AK209" s="144" t="s">
        <v>25</v>
      </c>
      <c r="AL209" s="1">
        <v>1</v>
      </c>
      <c r="AM209" s="1">
        <f t="shared" si="91"/>
        <v>9.6043000000000003</v>
      </c>
      <c r="AT209" s="145">
        <v>12</v>
      </c>
      <c r="AU209" s="1">
        <v>1</v>
      </c>
      <c r="AV209" s="1">
        <f t="shared" si="92"/>
        <v>9.9902999999999995</v>
      </c>
      <c r="BH209" s="146" t="s">
        <v>33</v>
      </c>
      <c r="BI209" s="1">
        <v>1</v>
      </c>
      <c r="BJ209" s="1">
        <f t="shared" si="93"/>
        <v>10.127700000000001</v>
      </c>
    </row>
    <row r="210" spans="2:62" x14ac:dyDescent="0.25">
      <c r="B210" s="1">
        <v>0</v>
      </c>
      <c r="C210" s="1">
        <f t="shared" si="88"/>
        <v>9.0690499999999989</v>
      </c>
      <c r="D210" s="3">
        <v>8.7636850000000006</v>
      </c>
      <c r="E210" s="3">
        <v>8.9309969999999996</v>
      </c>
      <c r="F210" s="3">
        <v>9.5124680000000001</v>
      </c>
      <c r="O210" s="132"/>
      <c r="P210" s="132"/>
      <c r="Q210" s="132"/>
      <c r="R210" s="1">
        <v>0</v>
      </c>
      <c r="S210" s="1">
        <f>((R210*R210)*($P$205+$Q$409))+(R210*($P$206+$S$409))+($P$207+$U$409)</f>
        <v>8.9354999999999993</v>
      </c>
      <c r="W210" s="143" t="s">
        <v>25</v>
      </c>
      <c r="X210" s="1">
        <v>0</v>
      </c>
      <c r="Y210" s="1">
        <f>((X210*X210)*($P$205+$E$458))+(X210*($P$206+$E$459))+($P$207+$E$460)</f>
        <v>8.9789999999999992</v>
      </c>
      <c r="AK210" s="144" t="s">
        <v>25</v>
      </c>
      <c r="AL210" s="1">
        <v>0</v>
      </c>
      <c r="AM210" s="1">
        <f>((AL210*AL210)*($AI$205+$AC$25))+(AL210*($AI$206+$AE$25))+($AI$207+$AG$25)</f>
        <v>8.9211999999999989</v>
      </c>
      <c r="AT210" s="145">
        <v>12</v>
      </c>
      <c r="AU210" s="1">
        <v>0</v>
      </c>
      <c r="AV210" s="1">
        <f>((AU210*AU210)*($AP$205+$AR$23))+(AU210*($AP$206+$AR$24))+($AP$207+$AR$25)</f>
        <v>9.4795999999999996</v>
      </c>
      <c r="BH210" s="146" t="s">
        <v>33</v>
      </c>
      <c r="BI210" s="1">
        <v>0</v>
      </c>
      <c r="BJ210" s="1">
        <f>((BI210*BI210)*($BF$205+$BD$23))+(BI210*($BF$206+$BD$24))+($BF$207+$BD$25)</f>
        <v>9.4217999999999993</v>
      </c>
    </row>
    <row r="211" spans="2:62" x14ac:dyDescent="0.25">
      <c r="B211" s="1">
        <v>-5</v>
      </c>
      <c r="C211" s="1">
        <f t="shared" si="88"/>
        <v>7.1632083333333334</v>
      </c>
      <c r="D211" s="3">
        <v>6.8498489999999999</v>
      </c>
      <c r="E211" s="3">
        <v>7.0561860000000003</v>
      </c>
      <c r="F211" s="3">
        <v>7.5835900000000001</v>
      </c>
      <c r="O211" s="132"/>
      <c r="P211" s="132"/>
      <c r="Q211" s="132"/>
      <c r="R211" s="1">
        <v>-5</v>
      </c>
      <c r="S211" s="1">
        <f t="shared" ref="S211:S214" si="94">((R211*R211)*($P$205+$Q$409))+(R211*($P$206+$S$409))+($P$207+$U$409)</f>
        <v>7.2594999999999992</v>
      </c>
      <c r="W211" s="143" t="s">
        <v>25</v>
      </c>
      <c r="X211" s="1">
        <v>-5</v>
      </c>
      <c r="Y211" s="1">
        <f t="shared" ref="Y211:Y214" si="95">((X211*X211)*($P$205+$E$458))+(X211*($P$206+$E$459))+($P$207+$E$460)</f>
        <v>7.3404999999999987</v>
      </c>
      <c r="AK211" s="144" t="s">
        <v>25</v>
      </c>
      <c r="AL211" s="1">
        <v>-5</v>
      </c>
      <c r="AM211" s="1">
        <f t="shared" ref="AM211:AM214" si="96">((AL211*AL211)*($AI$205+$AC$25))+(AL211*($AI$206+$AE$25))+($AI$207+$AG$25)</f>
        <v>7.2761999999999993</v>
      </c>
      <c r="AT211" s="145">
        <v>12</v>
      </c>
      <c r="AU211" s="1">
        <v>-5</v>
      </c>
      <c r="AV211" s="1">
        <f t="shared" ref="AV211:AV214" si="97">((AU211*AU211)*($AP$205+$AR$23))+(AU211*($AP$206+$AR$24))+($AP$207+$AR$25)</f>
        <v>7.7410999999999994</v>
      </c>
      <c r="BH211" s="146" t="s">
        <v>33</v>
      </c>
      <c r="BI211" s="1">
        <v>-5</v>
      </c>
      <c r="BJ211" s="1">
        <f t="shared" ref="BJ211:BJ214" si="98">((BI211*BI211)*($BF$205+$BD$23))+(BI211*($BF$206+$BD$24))+($BF$207+$BD$25)</f>
        <v>7.6767999999999992</v>
      </c>
    </row>
    <row r="212" spans="2:62" x14ac:dyDescent="0.25">
      <c r="B212" s="1">
        <v>-10</v>
      </c>
      <c r="C212" s="1">
        <f t="shared" si="88"/>
        <v>6.2588986666666671</v>
      </c>
      <c r="D212" s="3">
        <v>5.98644</v>
      </c>
      <c r="E212" s="3">
        <v>6.1716350000000002</v>
      </c>
      <c r="F212" s="3">
        <v>6.6186210000000001</v>
      </c>
      <c r="O212" s="132"/>
      <c r="P212" s="132"/>
      <c r="Q212" s="132"/>
      <c r="R212" s="1">
        <v>-10</v>
      </c>
      <c r="S212" s="1">
        <f t="shared" si="94"/>
        <v>6.168499999999999</v>
      </c>
      <c r="W212" s="143" t="s">
        <v>25</v>
      </c>
      <c r="X212" s="1">
        <v>-10</v>
      </c>
      <c r="Y212" s="1">
        <f t="shared" si="95"/>
        <v>6.2619999999999987</v>
      </c>
      <c r="AK212" s="144" t="s">
        <v>25</v>
      </c>
      <c r="AL212" s="1">
        <v>-10</v>
      </c>
      <c r="AM212" s="1">
        <f t="shared" si="96"/>
        <v>6.2011999999999983</v>
      </c>
      <c r="AT212" s="145">
        <v>12</v>
      </c>
      <c r="AU212" s="1">
        <v>-10</v>
      </c>
      <c r="AV212" s="1">
        <f t="shared" si="97"/>
        <v>6.5625999999999998</v>
      </c>
      <c r="BH212" s="146" t="s">
        <v>33</v>
      </c>
      <c r="BI212" s="1">
        <v>-10</v>
      </c>
      <c r="BJ212" s="1">
        <f t="shared" si="98"/>
        <v>6.5017999999999994</v>
      </c>
    </row>
    <row r="213" spans="2:62" x14ac:dyDescent="0.25">
      <c r="B213" s="1">
        <v>-15</v>
      </c>
      <c r="C213" s="1">
        <f t="shared" si="88"/>
        <v>5.8370239999999995</v>
      </c>
      <c r="D213" s="3">
        <v>5.6234599999999997</v>
      </c>
      <c r="E213" s="3">
        <v>5.7478730000000002</v>
      </c>
      <c r="F213" s="3">
        <v>6.1397389999999996</v>
      </c>
      <c r="O213" s="132"/>
      <c r="P213" s="132"/>
      <c r="Q213" s="132"/>
      <c r="R213" s="1">
        <v>-15</v>
      </c>
      <c r="S213" s="1">
        <f t="shared" si="94"/>
        <v>5.6624999999999988</v>
      </c>
      <c r="W213" s="143" t="s">
        <v>25</v>
      </c>
      <c r="X213" s="1">
        <v>-15</v>
      </c>
      <c r="Y213" s="1">
        <f t="shared" si="95"/>
        <v>5.7434999999999992</v>
      </c>
      <c r="AK213" s="144" t="s">
        <v>25</v>
      </c>
      <c r="AL213" s="1">
        <v>-15</v>
      </c>
      <c r="AM213" s="1">
        <f t="shared" si="96"/>
        <v>5.6961999999999993</v>
      </c>
      <c r="AT213" s="145">
        <v>12</v>
      </c>
      <c r="AU213" s="1">
        <v>-15</v>
      </c>
      <c r="AV213" s="1">
        <f t="shared" si="97"/>
        <v>5.9440999999999988</v>
      </c>
      <c r="BH213" s="146" t="s">
        <v>33</v>
      </c>
      <c r="BI213" s="1">
        <v>-15</v>
      </c>
      <c r="BJ213" s="1">
        <f t="shared" si="98"/>
        <v>5.8967999999999989</v>
      </c>
    </row>
    <row r="214" spans="2:62" x14ac:dyDescent="0.25">
      <c r="B214" s="1">
        <v>-20</v>
      </c>
      <c r="C214" s="1">
        <f t="shared" si="88"/>
        <v>5.7054853333333329</v>
      </c>
      <c r="D214" s="3">
        <v>5.6237019999999998</v>
      </c>
      <c r="E214" s="3">
        <v>5.7542400000000002</v>
      </c>
      <c r="F214" s="3">
        <v>5.7385140000000003</v>
      </c>
      <c r="O214" s="132"/>
      <c r="P214" s="132"/>
      <c r="Q214" s="132"/>
      <c r="R214" s="1">
        <v>-20</v>
      </c>
      <c r="S214" s="1">
        <f t="shared" si="94"/>
        <v>5.7414999999999985</v>
      </c>
      <c r="W214" s="143" t="s">
        <v>25</v>
      </c>
      <c r="X214" s="1">
        <v>-20</v>
      </c>
      <c r="Y214" s="1">
        <f t="shared" si="95"/>
        <v>5.7849999999999975</v>
      </c>
      <c r="AK214" s="144" t="s">
        <v>25</v>
      </c>
      <c r="AL214" s="1">
        <v>-20</v>
      </c>
      <c r="AM214" s="1">
        <f t="shared" si="96"/>
        <v>5.7611999999999988</v>
      </c>
      <c r="AT214" s="145">
        <v>12</v>
      </c>
      <c r="AU214" s="1">
        <v>-20</v>
      </c>
      <c r="AV214" s="1">
        <f t="shared" si="97"/>
        <v>5.8855999999999993</v>
      </c>
      <c r="BH214" s="146" t="s">
        <v>33</v>
      </c>
      <c r="BI214" s="1">
        <v>-20</v>
      </c>
      <c r="BJ214" s="1">
        <f t="shared" si="98"/>
        <v>5.8617999999999988</v>
      </c>
    </row>
    <row r="218" spans="2:62" x14ac:dyDescent="0.25">
      <c r="B218" s="26" t="s">
        <v>0</v>
      </c>
      <c r="C218" s="26">
        <v>2.9</v>
      </c>
      <c r="D218" s="26"/>
      <c r="E218" s="26"/>
      <c r="F218" s="26"/>
      <c r="O218" s="132"/>
      <c r="P218" s="132"/>
      <c r="Q218" s="132"/>
      <c r="R218" s="132" t="s">
        <v>0</v>
      </c>
      <c r="S218" s="132">
        <v>2.9</v>
      </c>
      <c r="W218" s="132"/>
      <c r="X218" s="132" t="s">
        <v>0</v>
      </c>
      <c r="Y218" s="132">
        <v>2.9</v>
      </c>
      <c r="AK218" s="132"/>
      <c r="AL218" s="132" t="s">
        <v>0</v>
      </c>
      <c r="AM218" s="132">
        <v>2.9</v>
      </c>
      <c r="AT218" s="132"/>
      <c r="AU218" s="132" t="s">
        <v>0</v>
      </c>
      <c r="AV218" s="132">
        <v>2.9</v>
      </c>
      <c r="BH218" s="132"/>
      <c r="BI218" s="132" t="s">
        <v>0</v>
      </c>
      <c r="BJ218" s="132">
        <v>2.9</v>
      </c>
    </row>
    <row r="219" spans="2:62" x14ac:dyDescent="0.25">
      <c r="B219" s="1" t="s">
        <v>4</v>
      </c>
      <c r="C219" s="1" t="s">
        <v>5</v>
      </c>
      <c r="D219" s="1">
        <v>1</v>
      </c>
      <c r="E219" s="1">
        <v>2</v>
      </c>
      <c r="F219" s="1">
        <v>3</v>
      </c>
      <c r="O219" s="132" t="s">
        <v>8</v>
      </c>
      <c r="P219" s="132">
        <v>5.16E-2</v>
      </c>
      <c r="Q219" s="132" t="s">
        <v>13</v>
      </c>
      <c r="R219" s="1" t="s">
        <v>4</v>
      </c>
      <c r="S219" s="1" t="s">
        <v>5</v>
      </c>
      <c r="W219" s="143" t="s">
        <v>26</v>
      </c>
      <c r="X219" s="1" t="s">
        <v>4</v>
      </c>
      <c r="Y219" s="1" t="s">
        <v>5</v>
      </c>
      <c r="AH219" s="132" t="s">
        <v>8</v>
      </c>
      <c r="AI219">
        <v>5.8099999999999999E-2</v>
      </c>
      <c r="AK219" s="144" t="s">
        <v>29</v>
      </c>
      <c r="AL219" s="1" t="s">
        <v>4</v>
      </c>
      <c r="AM219" s="1" t="s">
        <v>5</v>
      </c>
      <c r="AO219" s="132" t="s">
        <v>8</v>
      </c>
      <c r="AP219" s="132">
        <v>5.16E-2</v>
      </c>
      <c r="AT219" s="145" t="s">
        <v>30</v>
      </c>
      <c r="AU219" s="1" t="s">
        <v>4</v>
      </c>
      <c r="AV219" s="1" t="s">
        <v>5</v>
      </c>
      <c r="BE219" s="132" t="s">
        <v>8</v>
      </c>
      <c r="BF219" s="132">
        <v>5.2400000000000002E-2</v>
      </c>
      <c r="BH219" s="146" t="s">
        <v>32</v>
      </c>
      <c r="BI219" s="1" t="s">
        <v>4</v>
      </c>
      <c r="BJ219" s="1" t="s">
        <v>5</v>
      </c>
    </row>
    <row r="220" spans="2:62" x14ac:dyDescent="0.25">
      <c r="B220" s="1">
        <v>14</v>
      </c>
      <c r="C220" s="1">
        <f>AVERAGE(E220,F220,D220)</f>
        <v>22.402557666666667</v>
      </c>
      <c r="D220" s="3">
        <v>22.225159000000001</v>
      </c>
      <c r="E220" s="3">
        <v>22.159488</v>
      </c>
      <c r="F220" s="3">
        <v>22.823025999999999</v>
      </c>
      <c r="O220" s="132" t="s">
        <v>9</v>
      </c>
      <c r="P220" s="132">
        <v>0.27210000000000001</v>
      </c>
      <c r="Q220" s="132" t="s">
        <v>15</v>
      </c>
      <c r="R220" s="1">
        <v>14</v>
      </c>
      <c r="S220" s="1">
        <f>((R220*R220)*($P$219+$Q$408))+(R220*($P$220+$S$408))+($P$221+$U$408)</f>
        <v>25.386099999999999</v>
      </c>
      <c r="W220" s="143" t="s">
        <v>25</v>
      </c>
      <c r="X220" s="1">
        <v>14</v>
      </c>
      <c r="Y220" s="1">
        <f>((X220*X220)*($P$219+$C$458))+(X220*($P$220+$C$459))+($P$221+$C$460)</f>
        <v>23.5274</v>
      </c>
      <c r="AH220" s="132" t="s">
        <v>9</v>
      </c>
      <c r="AI220">
        <v>0.2407</v>
      </c>
      <c r="AK220" s="144" t="s">
        <v>25</v>
      </c>
      <c r="AL220" s="1">
        <v>14</v>
      </c>
      <c r="AM220" s="1">
        <f>((AL220*AL220)*($AI$219+$AC$24))+(AL220*($AI$220+$AE$24))+($AI$221+$AG$24)</f>
        <v>26.212900000000001</v>
      </c>
      <c r="AO220" s="132" t="s">
        <v>9</v>
      </c>
      <c r="AP220" s="132">
        <v>0.27210000000000001</v>
      </c>
      <c r="AT220" s="145">
        <v>12</v>
      </c>
      <c r="AU220" s="1">
        <v>14</v>
      </c>
      <c r="AV220" s="1">
        <f>((AU220*AU220)*($AP$219+$AP$23))+(AU220*($AP$220+$AP$24))+($AP$221+$AP$25)</f>
        <v>23.8856</v>
      </c>
      <c r="BE220" s="132" t="s">
        <v>9</v>
      </c>
      <c r="BF220" s="132">
        <v>0.314</v>
      </c>
      <c r="BH220" s="146" t="s">
        <v>33</v>
      </c>
      <c r="BI220" s="1">
        <v>14</v>
      </c>
      <c r="BJ220" s="1">
        <f>((BI220*BI220)*($BF$219+$BB$23))+(BI220*($BF$220+$BB$24))+($BF$221+$BB$25)</f>
        <v>26.577699999999997</v>
      </c>
    </row>
    <row r="221" spans="2:62" x14ac:dyDescent="0.25">
      <c r="B221" s="1">
        <v>13</v>
      </c>
      <c r="C221" s="1">
        <f t="shared" ref="C221:C238" si="99">AVERAGE(E221,F221,D221)</f>
        <v>21.136591999999997</v>
      </c>
      <c r="D221" s="3">
        <v>20.901467</v>
      </c>
      <c r="E221" s="3">
        <v>20.920093000000001</v>
      </c>
      <c r="F221" s="3">
        <v>21.588215999999999</v>
      </c>
      <c r="O221" s="132" t="s">
        <v>10</v>
      </c>
      <c r="P221" s="132">
        <v>8.7500999999999998</v>
      </c>
      <c r="Q221" s="132" t="s">
        <v>16</v>
      </c>
      <c r="R221" s="1">
        <v>13</v>
      </c>
      <c r="S221" s="1">
        <f t="shared" ref="S221:S233" si="100">((R221*R221)*($P$219+$Q$408))+(R221*($P$220+$S$408))+($P$221+$U$408)</f>
        <v>23.0044</v>
      </c>
      <c r="W221" s="143" t="s">
        <v>25</v>
      </c>
      <c r="X221" s="1">
        <v>13</v>
      </c>
      <c r="Y221" s="1">
        <f t="shared" ref="Y221:Y233" si="101">((X221*X221)*($P$219+$C$458))+(X221*($P$220+$C$459))+($P$221+$C$460)</f>
        <v>21.701599999999999</v>
      </c>
      <c r="AH221" s="132" t="s">
        <v>10</v>
      </c>
      <c r="AI221">
        <v>8.7424999999999997</v>
      </c>
      <c r="AK221" s="144" t="s">
        <v>25</v>
      </c>
      <c r="AL221" s="1">
        <v>13</v>
      </c>
      <c r="AM221" s="1">
        <f t="shared" ref="AM221:AM233" si="102">((AL221*AL221)*($AI$219+$AC$24))+(AL221*($AI$220+$AE$24))+($AI$221+$AG$24)</f>
        <v>23.687100000000001</v>
      </c>
      <c r="AO221" s="132" t="s">
        <v>10</v>
      </c>
      <c r="AP221" s="132">
        <v>8.7500999999999998</v>
      </c>
      <c r="AT221" s="145">
        <v>12</v>
      </c>
      <c r="AU221" s="1">
        <v>13</v>
      </c>
      <c r="AV221" s="1">
        <f t="shared" ref="AV221:AV233" si="103">((AU221*AU221)*($AP$219+$AP$23))+(AU221*($AP$220+$AP$24))+($AP$221+$AP$25)</f>
        <v>22.145899999999997</v>
      </c>
      <c r="BE221" s="132" t="s">
        <v>10</v>
      </c>
      <c r="BF221" s="132">
        <v>9.1982999999999997</v>
      </c>
      <c r="BH221" s="146" t="s">
        <v>33</v>
      </c>
      <c r="BI221" s="1">
        <v>13</v>
      </c>
      <c r="BJ221" s="1">
        <f t="shared" ref="BJ221:BJ233" si="104">((BI221*BI221)*($BF$219+$BB$23))+(BI221*($BF$220+$BB$24))+($BF$221+$BB$25)</f>
        <v>24.1325</v>
      </c>
    </row>
    <row r="222" spans="2:62" x14ac:dyDescent="0.25">
      <c r="B222" s="1">
        <v>12</v>
      </c>
      <c r="C222" s="1">
        <f t="shared" si="99"/>
        <v>19.844711666666665</v>
      </c>
      <c r="D222" s="3">
        <v>19.560517999999998</v>
      </c>
      <c r="E222" s="3">
        <v>19.657644999999999</v>
      </c>
      <c r="F222" s="3">
        <v>20.315971999999999</v>
      </c>
      <c r="O222" s="132"/>
      <c r="P222" s="132"/>
      <c r="Q222" s="132"/>
      <c r="R222" s="1">
        <v>12</v>
      </c>
      <c r="S222" s="1">
        <f t="shared" si="100"/>
        <v>20.812899999999999</v>
      </c>
      <c r="W222" s="143" t="s">
        <v>25</v>
      </c>
      <c r="X222" s="1">
        <v>12</v>
      </c>
      <c r="Y222" s="1">
        <f t="shared" si="101"/>
        <v>19.9954</v>
      </c>
      <c r="AH222" s="132"/>
      <c r="AK222" s="144" t="s">
        <v>25</v>
      </c>
      <c r="AL222" s="1">
        <v>12</v>
      </c>
      <c r="AM222" s="1">
        <f t="shared" si="102"/>
        <v>21.3645</v>
      </c>
      <c r="AO222" s="132"/>
      <c r="AP222" s="132"/>
      <c r="AT222" s="145">
        <v>12</v>
      </c>
      <c r="AU222" s="1">
        <v>12</v>
      </c>
      <c r="AV222" s="1">
        <f t="shared" si="103"/>
        <v>20.513199999999998</v>
      </c>
      <c r="BE222" s="132"/>
      <c r="BF222" s="132"/>
      <c r="BH222" s="146" t="s">
        <v>33</v>
      </c>
      <c r="BI222" s="1">
        <v>12</v>
      </c>
      <c r="BJ222" s="1">
        <f t="shared" si="104"/>
        <v>21.879100000000001</v>
      </c>
    </row>
    <row r="223" spans="2:62" x14ac:dyDescent="0.25">
      <c r="B223" s="1">
        <v>11</v>
      </c>
      <c r="C223" s="1">
        <f t="shared" si="99"/>
        <v>17.892671333333336</v>
      </c>
      <c r="D223" s="3">
        <v>17.740943000000001</v>
      </c>
      <c r="E223" s="3">
        <v>17.671842000000002</v>
      </c>
      <c r="F223" s="3">
        <v>18.265229000000001</v>
      </c>
      <c r="O223" s="132"/>
      <c r="P223" s="132"/>
      <c r="Q223" s="132"/>
      <c r="R223" s="1">
        <v>11</v>
      </c>
      <c r="S223" s="1">
        <f t="shared" si="100"/>
        <v>18.811599999999999</v>
      </c>
      <c r="W223" s="143" t="s">
        <v>25</v>
      </c>
      <c r="X223" s="1">
        <v>11</v>
      </c>
      <c r="Y223" s="1">
        <f t="shared" si="101"/>
        <v>18.408799999999999</v>
      </c>
      <c r="AH223" s="132"/>
      <c r="AK223" s="144" t="s">
        <v>25</v>
      </c>
      <c r="AL223" s="1">
        <v>11</v>
      </c>
      <c r="AM223" s="1">
        <f t="shared" si="102"/>
        <v>19.245100000000001</v>
      </c>
      <c r="AO223" s="132"/>
      <c r="AP223" s="132"/>
      <c r="AT223" s="145">
        <v>12</v>
      </c>
      <c r="AU223" s="1">
        <v>11</v>
      </c>
      <c r="AV223" s="1">
        <f t="shared" si="103"/>
        <v>18.987500000000001</v>
      </c>
      <c r="BE223" s="132"/>
      <c r="BF223" s="132"/>
      <c r="BH223" s="146" t="s">
        <v>33</v>
      </c>
      <c r="BI223" s="1">
        <v>11</v>
      </c>
      <c r="BJ223" s="1">
        <f t="shared" si="104"/>
        <v>19.817499999999999</v>
      </c>
    </row>
    <row r="224" spans="2:62" x14ac:dyDescent="0.25">
      <c r="B224" s="1">
        <v>10</v>
      </c>
      <c r="C224" s="1">
        <f t="shared" si="99"/>
        <v>16.463489333333332</v>
      </c>
      <c r="D224" s="3">
        <v>16.336521000000001</v>
      </c>
      <c r="E224" s="3">
        <v>16.072711000000002</v>
      </c>
      <c r="F224" s="3">
        <v>16.981235999999999</v>
      </c>
      <c r="O224" s="132"/>
      <c r="P224" s="132"/>
      <c r="Q224" s="132"/>
      <c r="R224" s="1">
        <v>10</v>
      </c>
      <c r="S224" s="1">
        <f t="shared" si="100"/>
        <v>17.000500000000002</v>
      </c>
      <c r="W224" s="143" t="s">
        <v>25</v>
      </c>
      <c r="X224" s="1">
        <v>10</v>
      </c>
      <c r="Y224" s="1">
        <f t="shared" si="101"/>
        <v>16.941800000000001</v>
      </c>
      <c r="AH224" s="132"/>
      <c r="AK224" s="144" t="s">
        <v>25</v>
      </c>
      <c r="AL224" s="1">
        <v>10</v>
      </c>
      <c r="AM224" s="1">
        <f t="shared" si="102"/>
        <v>17.328900000000001</v>
      </c>
      <c r="AO224" s="132"/>
      <c r="AP224" s="132"/>
      <c r="AT224" s="145">
        <v>12</v>
      </c>
      <c r="AU224" s="1">
        <v>10</v>
      </c>
      <c r="AV224" s="1">
        <f t="shared" si="103"/>
        <v>17.5688</v>
      </c>
      <c r="BE224" s="132"/>
      <c r="BF224" s="132"/>
      <c r="BH224" s="146" t="s">
        <v>33</v>
      </c>
      <c r="BI224" s="1">
        <v>10</v>
      </c>
      <c r="BJ224" s="1">
        <f t="shared" si="104"/>
        <v>17.947699999999998</v>
      </c>
    </row>
    <row r="225" spans="2:62" x14ac:dyDescent="0.25">
      <c r="B225" s="1">
        <v>9</v>
      </c>
      <c r="C225" s="1">
        <f t="shared" si="99"/>
        <v>15.282762333333332</v>
      </c>
      <c r="D225" s="3">
        <v>15.19415</v>
      </c>
      <c r="E225" s="3">
        <v>14.974503</v>
      </c>
      <c r="F225" s="3">
        <v>15.679634</v>
      </c>
      <c r="O225" s="132"/>
      <c r="P225" s="132"/>
      <c r="Q225" s="132"/>
      <c r="R225" s="1">
        <v>9</v>
      </c>
      <c r="S225" s="1">
        <f t="shared" si="100"/>
        <v>15.3796</v>
      </c>
      <c r="W225" s="143" t="s">
        <v>25</v>
      </c>
      <c r="X225" s="1">
        <v>9</v>
      </c>
      <c r="Y225" s="1">
        <f t="shared" si="101"/>
        <v>15.5944</v>
      </c>
      <c r="AH225" s="132"/>
      <c r="AK225" s="144" t="s">
        <v>25</v>
      </c>
      <c r="AL225" s="1">
        <v>9</v>
      </c>
      <c r="AM225" s="1">
        <f t="shared" si="102"/>
        <v>15.6159</v>
      </c>
      <c r="AO225" s="132"/>
      <c r="AP225" s="132"/>
      <c r="AT225" s="145">
        <v>12</v>
      </c>
      <c r="AU225" s="1">
        <v>9</v>
      </c>
      <c r="AV225" s="1">
        <f t="shared" si="103"/>
        <v>16.257100000000001</v>
      </c>
      <c r="BE225" s="132"/>
      <c r="BF225" s="132"/>
      <c r="BH225" s="146" t="s">
        <v>33</v>
      </c>
      <c r="BI225" s="1">
        <v>9</v>
      </c>
      <c r="BJ225" s="1">
        <f t="shared" si="104"/>
        <v>16.2697</v>
      </c>
    </row>
    <row r="226" spans="2:62" x14ac:dyDescent="0.25">
      <c r="B226" s="1">
        <v>8</v>
      </c>
      <c r="C226" s="1">
        <f t="shared" si="99"/>
        <v>14.322709666666666</v>
      </c>
      <c r="D226" s="3">
        <v>14.221216</v>
      </c>
      <c r="E226" s="3">
        <v>14.033687</v>
      </c>
      <c r="F226" s="3">
        <v>14.713226000000001</v>
      </c>
      <c r="O226" s="132"/>
      <c r="P226" s="132"/>
      <c r="Q226" s="132"/>
      <c r="R226" s="1">
        <v>8</v>
      </c>
      <c r="S226" s="1">
        <f t="shared" si="100"/>
        <v>13.9489</v>
      </c>
      <c r="W226" s="143" t="s">
        <v>25</v>
      </c>
      <c r="X226" s="1">
        <v>8</v>
      </c>
      <c r="Y226" s="1">
        <f t="shared" si="101"/>
        <v>14.3666</v>
      </c>
      <c r="AH226" s="132"/>
      <c r="AK226" s="144" t="s">
        <v>25</v>
      </c>
      <c r="AL226" s="1">
        <v>8</v>
      </c>
      <c r="AM226" s="1">
        <f t="shared" si="102"/>
        <v>14.106100000000001</v>
      </c>
      <c r="AO226" s="132"/>
      <c r="AP226" s="132"/>
      <c r="AT226" s="145">
        <v>12</v>
      </c>
      <c r="AU226" s="1">
        <v>8</v>
      </c>
      <c r="AV226" s="1">
        <f t="shared" si="103"/>
        <v>15.0524</v>
      </c>
      <c r="BE226" s="132"/>
      <c r="BF226" s="132"/>
      <c r="BH226" s="146" t="s">
        <v>33</v>
      </c>
      <c r="BI226" s="1">
        <v>8</v>
      </c>
      <c r="BJ226" s="1">
        <f t="shared" si="104"/>
        <v>14.7835</v>
      </c>
    </row>
    <row r="227" spans="2:62" x14ac:dyDescent="0.25">
      <c r="B227" s="1">
        <v>7</v>
      </c>
      <c r="C227" s="1">
        <f t="shared" si="99"/>
        <v>13.202461333333332</v>
      </c>
      <c r="D227" s="3">
        <v>13.061404</v>
      </c>
      <c r="E227" s="3">
        <v>12.932575</v>
      </c>
      <c r="F227" s="3">
        <v>13.613405</v>
      </c>
      <c r="O227" s="132"/>
      <c r="P227" s="132"/>
      <c r="Q227" s="132"/>
      <c r="R227" s="1">
        <v>7</v>
      </c>
      <c r="S227" s="1">
        <f t="shared" si="100"/>
        <v>12.708400000000001</v>
      </c>
      <c r="W227" s="143" t="s">
        <v>25</v>
      </c>
      <c r="X227" s="1">
        <v>7</v>
      </c>
      <c r="Y227" s="1">
        <f t="shared" si="101"/>
        <v>13.2584</v>
      </c>
      <c r="AH227" s="132"/>
      <c r="AK227" s="144" t="s">
        <v>25</v>
      </c>
      <c r="AL227" s="1">
        <v>7</v>
      </c>
      <c r="AM227" s="1">
        <f t="shared" si="102"/>
        <v>12.7995</v>
      </c>
      <c r="AO227" s="132"/>
      <c r="AP227" s="132"/>
      <c r="AT227" s="145">
        <v>12</v>
      </c>
      <c r="AU227" s="1">
        <v>7</v>
      </c>
      <c r="AV227" s="1">
        <f t="shared" si="103"/>
        <v>13.954700000000001</v>
      </c>
      <c r="BE227" s="132"/>
      <c r="BF227" s="132"/>
      <c r="BH227" s="146" t="s">
        <v>33</v>
      </c>
      <c r="BI227" s="1">
        <v>7</v>
      </c>
      <c r="BJ227" s="1">
        <f t="shared" si="104"/>
        <v>13.489100000000001</v>
      </c>
    </row>
    <row r="228" spans="2:62" x14ac:dyDescent="0.25">
      <c r="B228" s="1">
        <v>6</v>
      </c>
      <c r="C228" s="1">
        <f t="shared" si="99"/>
        <v>12.244930000000002</v>
      </c>
      <c r="D228" s="3">
        <v>12.066139</v>
      </c>
      <c r="E228" s="3">
        <v>12.017286</v>
      </c>
      <c r="F228" s="3">
        <v>12.651365</v>
      </c>
      <c r="O228" s="132"/>
      <c r="P228" s="132"/>
      <c r="Q228" s="132"/>
      <c r="R228" s="1">
        <v>6</v>
      </c>
      <c r="S228" s="1">
        <f t="shared" si="100"/>
        <v>11.658100000000001</v>
      </c>
      <c r="W228" s="143" t="s">
        <v>25</v>
      </c>
      <c r="X228" s="1">
        <v>6</v>
      </c>
      <c r="Y228" s="1">
        <f t="shared" si="101"/>
        <v>12.2698</v>
      </c>
      <c r="AH228" s="132"/>
      <c r="AK228" s="144" t="s">
        <v>25</v>
      </c>
      <c r="AL228" s="1">
        <v>6</v>
      </c>
      <c r="AM228" s="1">
        <f t="shared" si="102"/>
        <v>11.696100000000001</v>
      </c>
      <c r="AO228" s="132"/>
      <c r="AP228" s="132"/>
      <c r="AT228" s="145">
        <v>12</v>
      </c>
      <c r="AU228" s="1">
        <v>6</v>
      </c>
      <c r="AV228" s="1">
        <f t="shared" si="103"/>
        <v>12.964</v>
      </c>
      <c r="BE228" s="132"/>
      <c r="BF228" s="132"/>
      <c r="BH228" s="146" t="s">
        <v>33</v>
      </c>
      <c r="BI228" s="1">
        <v>6</v>
      </c>
      <c r="BJ228" s="1">
        <f t="shared" si="104"/>
        <v>12.3865</v>
      </c>
    </row>
    <row r="229" spans="2:62" x14ac:dyDescent="0.25">
      <c r="B229" s="1">
        <v>5</v>
      </c>
      <c r="C229" s="1">
        <f t="shared" si="99"/>
        <v>11.184448333333334</v>
      </c>
      <c r="D229" s="3">
        <v>10.913219</v>
      </c>
      <c r="E229" s="3">
        <v>11.008929999999999</v>
      </c>
      <c r="F229" s="3">
        <v>11.631195999999999</v>
      </c>
      <c r="O229" s="132" t="s">
        <v>8</v>
      </c>
      <c r="P229" s="132">
        <v>1.0999999999999999E-2</v>
      </c>
      <c r="Q229" s="132" t="s">
        <v>14</v>
      </c>
      <c r="R229" s="1">
        <v>5</v>
      </c>
      <c r="S229" s="1">
        <f t="shared" si="100"/>
        <v>10.798</v>
      </c>
      <c r="W229" s="143" t="s">
        <v>25</v>
      </c>
      <c r="X229" s="1">
        <v>5</v>
      </c>
      <c r="Y229" s="1">
        <f t="shared" si="101"/>
        <v>11.4008</v>
      </c>
      <c r="AH229" s="132" t="s">
        <v>8</v>
      </c>
      <c r="AI229">
        <v>1.0699999999999999E-2</v>
      </c>
      <c r="AK229" s="144" t="s">
        <v>25</v>
      </c>
      <c r="AL229" s="1">
        <v>5</v>
      </c>
      <c r="AM229" s="1">
        <f t="shared" si="102"/>
        <v>10.7959</v>
      </c>
      <c r="AO229" s="132" t="s">
        <v>8</v>
      </c>
      <c r="AP229" s="132">
        <v>1.0999999999999999E-2</v>
      </c>
      <c r="AT229" s="145">
        <v>12</v>
      </c>
      <c r="AU229" s="1">
        <v>5</v>
      </c>
      <c r="AV229" s="1">
        <f t="shared" si="103"/>
        <v>12.080299999999999</v>
      </c>
      <c r="BE229" s="132" t="s">
        <v>8</v>
      </c>
      <c r="BF229" s="132">
        <v>1.0699999999999999E-2</v>
      </c>
      <c r="BH229" s="146" t="s">
        <v>33</v>
      </c>
      <c r="BI229" s="1">
        <v>5</v>
      </c>
      <c r="BJ229" s="1">
        <f t="shared" si="104"/>
        <v>11.4757</v>
      </c>
    </row>
    <row r="230" spans="2:62" x14ac:dyDescent="0.25">
      <c r="B230" s="1">
        <v>4</v>
      </c>
      <c r="C230" s="1">
        <f t="shared" si="99"/>
        <v>10.793852333333334</v>
      </c>
      <c r="D230" s="3">
        <v>10.520180999999999</v>
      </c>
      <c r="E230" s="3">
        <v>10.624332000000001</v>
      </c>
      <c r="F230" s="3">
        <v>11.237043999999999</v>
      </c>
      <c r="O230" s="132" t="s">
        <v>9</v>
      </c>
      <c r="P230" s="132">
        <v>0.37509999999999999</v>
      </c>
      <c r="Q230" s="132" t="s">
        <v>17</v>
      </c>
      <c r="R230" s="1">
        <v>4</v>
      </c>
      <c r="S230" s="1">
        <f t="shared" si="100"/>
        <v>10.1281</v>
      </c>
      <c r="W230" s="143" t="s">
        <v>25</v>
      </c>
      <c r="X230" s="1">
        <v>4</v>
      </c>
      <c r="Y230" s="1">
        <f t="shared" si="101"/>
        <v>10.651400000000001</v>
      </c>
      <c r="AH230" s="132" t="s">
        <v>9</v>
      </c>
      <c r="AI230">
        <v>0.3674</v>
      </c>
      <c r="AK230" s="144" t="s">
        <v>25</v>
      </c>
      <c r="AL230" s="1">
        <v>4</v>
      </c>
      <c r="AM230" s="1">
        <f t="shared" si="102"/>
        <v>10.0989</v>
      </c>
      <c r="AO230" s="132" t="s">
        <v>9</v>
      </c>
      <c r="AP230" s="132">
        <v>0.37509999999999999</v>
      </c>
      <c r="AT230" s="145">
        <v>12</v>
      </c>
      <c r="AU230" s="1">
        <v>4</v>
      </c>
      <c r="AV230" s="1">
        <f t="shared" si="103"/>
        <v>11.303599999999999</v>
      </c>
      <c r="BE230" s="132" t="s">
        <v>9</v>
      </c>
      <c r="BF230" s="132">
        <v>0.38740000000000002</v>
      </c>
      <c r="BH230" s="146" t="s">
        <v>33</v>
      </c>
      <c r="BI230" s="1">
        <v>4</v>
      </c>
      <c r="BJ230" s="1">
        <f t="shared" si="104"/>
        <v>10.7567</v>
      </c>
    </row>
    <row r="231" spans="2:62" x14ac:dyDescent="0.25">
      <c r="B231" s="1">
        <v>3</v>
      </c>
      <c r="C231" s="1">
        <f t="shared" si="99"/>
        <v>9.979846666666667</v>
      </c>
      <c r="D231" s="3">
        <v>9.6934149999999999</v>
      </c>
      <c r="E231" s="3">
        <v>9.8249709999999997</v>
      </c>
      <c r="F231" s="3">
        <v>10.421154</v>
      </c>
      <c r="O231" s="132" t="s">
        <v>10</v>
      </c>
      <c r="P231" s="132">
        <v>8.6332000000000004</v>
      </c>
      <c r="Q231" s="132" t="s">
        <v>18</v>
      </c>
      <c r="R231" s="1">
        <v>3</v>
      </c>
      <c r="S231" s="1">
        <f t="shared" si="100"/>
        <v>9.6484000000000005</v>
      </c>
      <c r="W231" s="143" t="s">
        <v>25</v>
      </c>
      <c r="X231" s="1">
        <v>3</v>
      </c>
      <c r="Y231" s="1">
        <f t="shared" si="101"/>
        <v>10.021599999999999</v>
      </c>
      <c r="AH231" s="132" t="s">
        <v>10</v>
      </c>
      <c r="AI231">
        <v>8.6189</v>
      </c>
      <c r="AK231" s="144" t="s">
        <v>25</v>
      </c>
      <c r="AL231" s="1">
        <v>3</v>
      </c>
      <c r="AM231" s="1">
        <f t="shared" si="102"/>
        <v>9.6051000000000002</v>
      </c>
      <c r="AO231" s="132" t="s">
        <v>10</v>
      </c>
      <c r="AP231" s="132">
        <v>8.6332000000000004</v>
      </c>
      <c r="AT231" s="145">
        <v>12</v>
      </c>
      <c r="AU231" s="1">
        <v>3</v>
      </c>
      <c r="AV231" s="1">
        <f t="shared" si="103"/>
        <v>10.633900000000001</v>
      </c>
      <c r="BE231" s="132" t="s">
        <v>10</v>
      </c>
      <c r="BF231" s="132">
        <v>9.1195000000000004</v>
      </c>
      <c r="BH231" s="146" t="s">
        <v>33</v>
      </c>
      <c r="BI231" s="1">
        <v>3</v>
      </c>
      <c r="BJ231" s="1">
        <f t="shared" si="104"/>
        <v>10.2295</v>
      </c>
    </row>
    <row r="232" spans="2:62" x14ac:dyDescent="0.25">
      <c r="B232" s="1">
        <v>2</v>
      </c>
      <c r="C232" s="1">
        <f t="shared" si="99"/>
        <v>9.5610400000000002</v>
      </c>
      <c r="D232" s="3">
        <v>9.2553629999999991</v>
      </c>
      <c r="E232" s="3">
        <v>9.4239169999999994</v>
      </c>
      <c r="F232" s="3">
        <v>10.00384</v>
      </c>
      <c r="O232" s="132"/>
      <c r="P232" s="132"/>
      <c r="Q232" s="132"/>
      <c r="R232" s="1">
        <v>2</v>
      </c>
      <c r="S232" s="1">
        <f t="shared" si="100"/>
        <v>9.3589000000000002</v>
      </c>
      <c r="W232" s="143" t="s">
        <v>25</v>
      </c>
      <c r="X232" s="1">
        <v>2</v>
      </c>
      <c r="Y232" s="1">
        <f t="shared" si="101"/>
        <v>9.5114000000000001</v>
      </c>
      <c r="AK232" s="144" t="s">
        <v>25</v>
      </c>
      <c r="AL232" s="1">
        <v>2</v>
      </c>
      <c r="AM232" s="1">
        <f t="shared" si="102"/>
        <v>9.3145000000000007</v>
      </c>
      <c r="AT232" s="145">
        <v>12</v>
      </c>
      <c r="AU232" s="1">
        <v>2</v>
      </c>
      <c r="AV232" s="1">
        <f t="shared" si="103"/>
        <v>10.071199999999999</v>
      </c>
      <c r="BH232" s="146" t="s">
        <v>33</v>
      </c>
      <c r="BI232" s="1">
        <v>2</v>
      </c>
      <c r="BJ232" s="1">
        <f t="shared" si="104"/>
        <v>9.8940999999999999</v>
      </c>
    </row>
    <row r="233" spans="2:62" x14ac:dyDescent="0.25">
      <c r="B233" s="1">
        <v>1</v>
      </c>
      <c r="C233" s="1">
        <f t="shared" si="99"/>
        <v>9.1285726666666669</v>
      </c>
      <c r="D233" s="3">
        <v>8.8114530000000002</v>
      </c>
      <c r="E233" s="3">
        <v>9.0122350000000004</v>
      </c>
      <c r="F233" s="3">
        <v>9.56203</v>
      </c>
      <c r="O233" s="132"/>
      <c r="P233" s="132"/>
      <c r="Q233" s="132"/>
      <c r="R233" s="1">
        <v>1</v>
      </c>
      <c r="S233" s="1">
        <f t="shared" si="100"/>
        <v>9.2596000000000007</v>
      </c>
      <c r="W233" s="143" t="s">
        <v>25</v>
      </c>
      <c r="X233" s="1">
        <v>1</v>
      </c>
      <c r="Y233" s="1">
        <f t="shared" si="101"/>
        <v>9.1208000000000009</v>
      </c>
      <c r="AK233" s="144" t="s">
        <v>25</v>
      </c>
      <c r="AL233" s="1">
        <v>1</v>
      </c>
      <c r="AM233" s="1">
        <f t="shared" si="102"/>
        <v>9.2271000000000001</v>
      </c>
      <c r="AT233" s="145">
        <v>12</v>
      </c>
      <c r="AU233" s="1">
        <v>1</v>
      </c>
      <c r="AV233" s="1">
        <f t="shared" si="103"/>
        <v>9.6155000000000008</v>
      </c>
      <c r="BH233" s="146" t="s">
        <v>33</v>
      </c>
      <c r="BI233" s="1">
        <v>1</v>
      </c>
      <c r="BJ233" s="1">
        <f t="shared" si="104"/>
        <v>9.7505000000000006</v>
      </c>
    </row>
    <row r="234" spans="2:62" x14ac:dyDescent="0.25">
      <c r="B234" s="1">
        <v>0</v>
      </c>
      <c r="C234" s="1">
        <f t="shared" si="99"/>
        <v>8.7066976666666651</v>
      </c>
      <c r="D234" s="3">
        <v>8.4068039999999993</v>
      </c>
      <c r="E234" s="3">
        <v>8.5953520000000001</v>
      </c>
      <c r="F234" s="3">
        <v>9.1179369999999995</v>
      </c>
      <c r="O234" s="132"/>
      <c r="P234" s="132"/>
      <c r="Q234" s="132"/>
      <c r="R234" s="1">
        <v>0</v>
      </c>
      <c r="S234" s="1">
        <f>((R234*R234)*($P$229+$Q$409))+(R234*($P$230+$S$409))+($P$231+$U$409)</f>
        <v>8.5754000000000001</v>
      </c>
      <c r="W234" s="143" t="s">
        <v>25</v>
      </c>
      <c r="X234" s="1">
        <v>0</v>
      </c>
      <c r="Y234" s="1">
        <f>((X234*X234)*($P$229+$E$458))+(X234*($P$230+$E$459))+($P$231+$E$460)</f>
        <v>8.6189</v>
      </c>
      <c r="AK234" s="144" t="s">
        <v>25</v>
      </c>
      <c r="AL234" s="1">
        <v>0</v>
      </c>
      <c r="AM234" s="1">
        <f>((AL234*AL234)*($AI$229+$AC$25))+(AL234*($AI$230+$AE$25))+($AI$231+$AG$25)</f>
        <v>8.5610999999999997</v>
      </c>
      <c r="AT234" s="145">
        <v>12</v>
      </c>
      <c r="AU234" s="1">
        <v>0</v>
      </c>
      <c r="AV234" s="1">
        <f>((AU234*AU234)*($AP$229+$AR$23))+(AU234*($AP$230+$AR$24))+($AP$231+$AR$25)</f>
        <v>9.1195000000000004</v>
      </c>
      <c r="BH234" s="146" t="s">
        <v>33</v>
      </c>
      <c r="BI234" s="1">
        <v>0</v>
      </c>
      <c r="BJ234" s="1">
        <f>((BI234*BI234)*($BF$229+$BD$23))+(BI234*($BF$230+$BD$24))+($BF$231+$BD$25)</f>
        <v>9.0617000000000001</v>
      </c>
    </row>
    <row r="235" spans="2:62" x14ac:dyDescent="0.25">
      <c r="B235" s="1">
        <v>-5</v>
      </c>
      <c r="C235" s="1">
        <f t="shared" si="99"/>
        <v>6.8776066666666678</v>
      </c>
      <c r="D235" s="3">
        <v>6.5844579999999997</v>
      </c>
      <c r="E235" s="3">
        <v>6.781263</v>
      </c>
      <c r="F235" s="3">
        <v>7.267099</v>
      </c>
      <c r="O235" s="132"/>
      <c r="P235" s="132"/>
      <c r="Q235" s="132"/>
      <c r="R235" s="1">
        <v>-5</v>
      </c>
      <c r="S235" s="1">
        <f t="shared" ref="S235:S238" si="105">((R235*R235)*($P$229+$Q$409))+(R235*($P$230+$S$409))+($P$231+$U$409)</f>
        <v>6.9683999999999999</v>
      </c>
      <c r="W235" s="143" t="s">
        <v>25</v>
      </c>
      <c r="X235" s="1">
        <v>-5</v>
      </c>
      <c r="Y235" s="1">
        <f t="shared" ref="Y235:Y238" si="106">((X235*X235)*($P$229+$E$458))+(X235*($P$230+$E$459))+($P$231+$E$460)</f>
        <v>7.0494000000000003</v>
      </c>
      <c r="AK235" s="144" t="s">
        <v>25</v>
      </c>
      <c r="AL235" s="1">
        <v>-5</v>
      </c>
      <c r="AM235" s="1">
        <f t="shared" ref="AM235:AM238" si="107">((AL235*AL235)*($AI$229+$AC$25))+(AL235*($AI$230+$AE$25))+($AI$231+$AG$25)</f>
        <v>6.9850999999999992</v>
      </c>
      <c r="AT235" s="145">
        <v>12</v>
      </c>
      <c r="AU235" s="1">
        <v>-5</v>
      </c>
      <c r="AV235" s="1">
        <f t="shared" ref="AV235:AV238" si="108">((AU235*AU235)*($AP$229+$AR$23))+(AU235*($AP$230+$AR$24))+($AP$231+$AR$25)</f>
        <v>7.4500000000000011</v>
      </c>
      <c r="BH235" s="146" t="s">
        <v>33</v>
      </c>
      <c r="BI235" s="1">
        <v>-5</v>
      </c>
      <c r="BJ235" s="1">
        <f t="shared" ref="BJ235:BJ238" si="109">((BI235*BI235)*($BF$229+$BD$23))+(BI235*($BF$230+$BD$24))+($BF$231+$BD$25)</f>
        <v>7.3856999999999999</v>
      </c>
    </row>
    <row r="236" spans="2:62" x14ac:dyDescent="0.25">
      <c r="B236" s="1">
        <v>-10</v>
      </c>
      <c r="C236" s="1">
        <f t="shared" si="99"/>
        <v>6.0103343333333328</v>
      </c>
      <c r="D236" s="3">
        <v>5.7498230000000001</v>
      </c>
      <c r="E236" s="3">
        <v>5.9251560000000003</v>
      </c>
      <c r="F236" s="3">
        <v>6.3560239999999997</v>
      </c>
      <c r="O236" s="132"/>
      <c r="P236" s="132"/>
      <c r="Q236" s="132"/>
      <c r="R236" s="1">
        <v>-10</v>
      </c>
      <c r="S236" s="1">
        <f t="shared" si="105"/>
        <v>5.9214000000000002</v>
      </c>
      <c r="W236" s="143" t="s">
        <v>25</v>
      </c>
      <c r="X236" s="1">
        <v>-10</v>
      </c>
      <c r="Y236" s="1">
        <f t="shared" si="106"/>
        <v>6.0148999999999999</v>
      </c>
      <c r="AK236" s="144" t="s">
        <v>25</v>
      </c>
      <c r="AL236" s="1">
        <v>-10</v>
      </c>
      <c r="AM236" s="1">
        <f t="shared" si="107"/>
        <v>5.9540999999999995</v>
      </c>
      <c r="AT236" s="145">
        <v>12</v>
      </c>
      <c r="AU236" s="1">
        <v>-10</v>
      </c>
      <c r="AV236" s="1">
        <f t="shared" si="108"/>
        <v>6.3155000000000001</v>
      </c>
      <c r="BH236" s="146" t="s">
        <v>33</v>
      </c>
      <c r="BI236" s="1">
        <v>-10</v>
      </c>
      <c r="BJ236" s="1">
        <f t="shared" si="109"/>
        <v>6.2546999999999997</v>
      </c>
    </row>
    <row r="237" spans="2:62" x14ac:dyDescent="0.25">
      <c r="B237" s="1">
        <v>-15</v>
      </c>
      <c r="C237" s="1">
        <f t="shared" si="99"/>
        <v>5.6068619999999996</v>
      </c>
      <c r="D237" s="3">
        <v>5.3963099999999997</v>
      </c>
      <c r="E237" s="3">
        <v>5.5244600000000004</v>
      </c>
      <c r="F237" s="3">
        <v>5.8998160000000004</v>
      </c>
      <c r="O237" s="132"/>
      <c r="P237" s="132"/>
      <c r="Q237" s="132"/>
      <c r="R237" s="1">
        <v>-15</v>
      </c>
      <c r="S237" s="1">
        <f t="shared" si="105"/>
        <v>5.4344000000000001</v>
      </c>
      <c r="W237" s="143" t="s">
        <v>25</v>
      </c>
      <c r="X237" s="1">
        <v>-15</v>
      </c>
      <c r="Y237" s="1">
        <f t="shared" si="106"/>
        <v>5.5153999999999996</v>
      </c>
      <c r="Z237" s="132"/>
      <c r="AA237" s="132"/>
      <c r="AB237" s="132"/>
      <c r="AC237" s="132"/>
      <c r="AK237" s="144" t="s">
        <v>25</v>
      </c>
      <c r="AL237" s="1">
        <v>-15</v>
      </c>
      <c r="AM237" s="1">
        <f t="shared" si="107"/>
        <v>5.4680999999999997</v>
      </c>
      <c r="AT237" s="145">
        <v>12</v>
      </c>
      <c r="AU237" s="1">
        <v>-15</v>
      </c>
      <c r="AV237" s="1">
        <f t="shared" si="108"/>
        <v>5.7160000000000002</v>
      </c>
      <c r="BH237" s="146" t="s">
        <v>33</v>
      </c>
      <c r="BI237" s="1">
        <v>-15</v>
      </c>
      <c r="BJ237" s="1">
        <f t="shared" si="109"/>
        <v>5.6686999999999994</v>
      </c>
    </row>
    <row r="238" spans="2:62" x14ac:dyDescent="0.25">
      <c r="B238" s="1">
        <v>-20</v>
      </c>
      <c r="C238" s="1">
        <f t="shared" si="99"/>
        <v>5.4742256666666664</v>
      </c>
      <c r="D238" s="3">
        <v>5.3885529999999999</v>
      </c>
      <c r="E238" s="3">
        <v>5.5297749999999999</v>
      </c>
      <c r="F238" s="3">
        <v>5.5043490000000004</v>
      </c>
      <c r="O238" s="132"/>
      <c r="P238" s="132"/>
      <c r="Q238" s="132"/>
      <c r="R238" s="1">
        <v>-20</v>
      </c>
      <c r="S238" s="1">
        <f t="shared" si="105"/>
        <v>5.5073999999999996</v>
      </c>
      <c r="W238" s="143" t="s">
        <v>25</v>
      </c>
      <c r="X238" s="1">
        <v>-20</v>
      </c>
      <c r="Y238" s="1">
        <f t="shared" si="106"/>
        <v>5.5508999999999995</v>
      </c>
      <c r="AK238" s="144" t="s">
        <v>25</v>
      </c>
      <c r="AL238" s="1">
        <v>-20</v>
      </c>
      <c r="AM238" s="1">
        <f t="shared" si="107"/>
        <v>5.5270999999999999</v>
      </c>
      <c r="AT238" s="145">
        <v>12</v>
      </c>
      <c r="AU238" s="1">
        <v>-20</v>
      </c>
      <c r="AV238" s="1">
        <f t="shared" si="108"/>
        <v>5.6515000000000004</v>
      </c>
      <c r="BH238" s="146" t="s">
        <v>33</v>
      </c>
      <c r="BI238" s="1">
        <v>-20</v>
      </c>
      <c r="BJ238" s="1">
        <f t="shared" si="109"/>
        <v>5.6276999999999999</v>
      </c>
    </row>
    <row r="240" spans="2:62" x14ac:dyDescent="0.25">
      <c r="AA240" s="132"/>
      <c r="AB240" s="132"/>
      <c r="AC240" s="132"/>
      <c r="AD240" s="132"/>
      <c r="AE240" s="132"/>
    </row>
    <row r="241" spans="2:62" x14ac:dyDescent="0.25">
      <c r="AA241" s="132"/>
      <c r="AB241" s="132"/>
      <c r="AC241" s="132"/>
      <c r="AD241" s="132"/>
      <c r="AE241" s="132"/>
    </row>
    <row r="242" spans="2:62" x14ac:dyDescent="0.25">
      <c r="B242" s="26" t="s">
        <v>0</v>
      </c>
      <c r="C242" s="26">
        <v>3</v>
      </c>
      <c r="D242" s="26"/>
      <c r="E242" s="26"/>
      <c r="F242" s="26"/>
      <c r="O242" s="132"/>
      <c r="P242" s="132"/>
      <c r="Q242" s="132"/>
      <c r="R242" s="132" t="s">
        <v>0</v>
      </c>
      <c r="S242" s="132">
        <v>3</v>
      </c>
      <c r="W242" s="132"/>
      <c r="X242" s="132" t="s">
        <v>0</v>
      </c>
      <c r="Y242" s="132">
        <v>3</v>
      </c>
      <c r="AA242" s="132"/>
      <c r="AB242" s="132"/>
      <c r="AC242" s="132"/>
      <c r="AD242" s="132"/>
      <c r="AE242" s="132"/>
      <c r="AK242" s="132"/>
      <c r="AL242" s="132" t="s">
        <v>0</v>
      </c>
      <c r="AM242" s="132">
        <v>3</v>
      </c>
      <c r="AT242" s="132"/>
      <c r="AU242" s="132" t="s">
        <v>0</v>
      </c>
      <c r="AV242" s="132">
        <v>3</v>
      </c>
      <c r="BH242" s="132"/>
      <c r="BI242" s="132" t="s">
        <v>0</v>
      </c>
      <c r="BJ242" s="132">
        <v>3</v>
      </c>
    </row>
    <row r="243" spans="2:62" x14ac:dyDescent="0.25">
      <c r="B243" s="1" t="s">
        <v>4</v>
      </c>
      <c r="C243" s="1" t="s">
        <v>5</v>
      </c>
      <c r="D243" s="1">
        <v>1</v>
      </c>
      <c r="E243" s="1">
        <v>2</v>
      </c>
      <c r="F243" s="1">
        <v>3</v>
      </c>
      <c r="O243" s="132" t="s">
        <v>8</v>
      </c>
      <c r="P243" s="132">
        <v>4.8399999999999999E-2</v>
      </c>
      <c r="Q243" s="132" t="s">
        <v>13</v>
      </c>
      <c r="R243" s="1" t="s">
        <v>4</v>
      </c>
      <c r="S243" s="1" t="s">
        <v>5</v>
      </c>
      <c r="W243" s="143" t="s">
        <v>26</v>
      </c>
      <c r="X243" s="1" t="s">
        <v>4</v>
      </c>
      <c r="Y243" s="1" t="s">
        <v>5</v>
      </c>
      <c r="AH243" s="132" t="s">
        <v>8</v>
      </c>
      <c r="AI243">
        <v>5.4899999999999997E-2</v>
      </c>
      <c r="AK243" s="144" t="s">
        <v>29</v>
      </c>
      <c r="AL243" s="1" t="s">
        <v>4</v>
      </c>
      <c r="AM243" s="1" t="s">
        <v>5</v>
      </c>
      <c r="AO243" s="132" t="s">
        <v>8</v>
      </c>
      <c r="AP243" s="132">
        <v>4.8399999999999999E-2</v>
      </c>
      <c r="AT243" s="145" t="s">
        <v>30</v>
      </c>
      <c r="AU243" s="1" t="s">
        <v>4</v>
      </c>
      <c r="AV243" s="1" t="s">
        <v>5</v>
      </c>
      <c r="BE243" s="132" t="s">
        <v>8</v>
      </c>
      <c r="BF243" s="132">
        <v>4.9299999999999997E-2</v>
      </c>
      <c r="BH243" s="146" t="s">
        <v>32</v>
      </c>
      <c r="BI243" s="1" t="s">
        <v>4</v>
      </c>
      <c r="BJ243" s="1" t="s">
        <v>5</v>
      </c>
    </row>
    <row r="244" spans="2:62" x14ac:dyDescent="0.25">
      <c r="B244" s="1">
        <v>14</v>
      </c>
      <c r="C244" s="1">
        <f>AVERAGE(E244,F244,D244)</f>
        <v>21.686786000000001</v>
      </c>
      <c r="D244" s="3">
        <v>21.620612000000001</v>
      </c>
      <c r="E244" s="3">
        <v>21.561235</v>
      </c>
      <c r="F244" s="3">
        <v>21.878511</v>
      </c>
      <c r="O244" s="132" t="s">
        <v>9</v>
      </c>
      <c r="P244" s="132">
        <v>0.27100000000000002</v>
      </c>
      <c r="Q244" s="132" t="s">
        <v>15</v>
      </c>
      <c r="R244" s="1">
        <v>14</v>
      </c>
      <c r="S244" s="1">
        <f>((R244*R244)*($P$243+$Q$408))+(R244*($P$244+$S$408))+($P$245+$U$408)</f>
        <v>24.640599999999999</v>
      </c>
      <c r="W244" s="143" t="s">
        <v>25</v>
      </c>
      <c r="X244" s="1">
        <v>14</v>
      </c>
      <c r="Y244" s="1">
        <f>((X244*X244)*($P$243+$C$458))+(X244*($P$244+$C$459))+($P$245+$C$460)</f>
        <v>22.7819</v>
      </c>
      <c r="AH244" s="132" t="s">
        <v>9</v>
      </c>
      <c r="AI244">
        <v>0.23880000000000001</v>
      </c>
      <c r="AK244" s="144" t="s">
        <v>25</v>
      </c>
      <c r="AL244" s="1">
        <v>14</v>
      </c>
      <c r="AM244" s="1">
        <f>((AL244*AL244)*($AI$243+$AC$24))+(AL244*($AI$244+$AE$24))+($AI$245+$AG$24)</f>
        <v>25.459199999999996</v>
      </c>
      <c r="AO244" s="132" t="s">
        <v>9</v>
      </c>
      <c r="AP244" s="132">
        <v>0.27100000000000002</v>
      </c>
      <c r="AT244" s="145">
        <v>12</v>
      </c>
      <c r="AU244" s="1">
        <v>14</v>
      </c>
      <c r="AV244" s="1">
        <f>((AU244*AU244)*($AP$243+$AP$23))+(AU244*($AP$244+$AP$24))+($AP$245+$AP$25)</f>
        <v>23.140099999999997</v>
      </c>
      <c r="BE244" s="132" t="s">
        <v>9</v>
      </c>
      <c r="BF244" s="132">
        <v>0.31209999999999999</v>
      </c>
      <c r="BH244" s="146" t="s">
        <v>33</v>
      </c>
      <c r="BI244" s="1">
        <v>14</v>
      </c>
      <c r="BJ244" s="1">
        <f>((BI244*BI244)*($BF$243+$BB$23))+(BI244*($BF$244+$BB$24))+($BF$245+$BB$25)</f>
        <v>25.843699999999998</v>
      </c>
    </row>
    <row r="245" spans="2:62" x14ac:dyDescent="0.25">
      <c r="B245" s="1">
        <v>13</v>
      </c>
      <c r="C245" s="1">
        <f t="shared" ref="C245:C262" si="110">AVERAGE(E245,F245,D245)</f>
        <v>20.473337333333333</v>
      </c>
      <c r="D245" s="3">
        <v>20.338740000000001</v>
      </c>
      <c r="E245" s="3">
        <v>20.392372999999999</v>
      </c>
      <c r="F245" s="3">
        <v>20.688898999999999</v>
      </c>
      <c r="O245" s="132" t="s">
        <v>10</v>
      </c>
      <c r="P245" s="132">
        <v>8.6471999999999998</v>
      </c>
      <c r="Q245" s="132" t="s">
        <v>16</v>
      </c>
      <c r="R245" s="1">
        <v>13</v>
      </c>
      <c r="S245" s="1">
        <f t="shared" ref="S245:S257" si="111">((R245*R245)*($P$243+$Q$408))+(R245*($P$244+$S$408))+($P$245+$U$408)</f>
        <v>22.346399999999996</v>
      </c>
      <c r="W245" s="143" t="s">
        <v>25</v>
      </c>
      <c r="X245" s="1">
        <v>13</v>
      </c>
      <c r="Y245" s="1">
        <f t="shared" ref="Y245:Y257" si="112">((X245*X245)*($P$243+$C$458))+(X245*($P$244+$C$459))+($P$245+$C$460)</f>
        <v>21.043600000000001</v>
      </c>
      <c r="AH245" s="132" t="s">
        <v>10</v>
      </c>
      <c r="AI245">
        <v>8.6425999999999998</v>
      </c>
      <c r="AK245" s="144" t="s">
        <v>25</v>
      </c>
      <c r="AL245" s="1">
        <v>13</v>
      </c>
      <c r="AM245" s="1">
        <f t="shared" ref="AM245:AM257" si="113">((AL245*AL245)*($AI$243+$AC$24))+(AL245*($AI$244+$AE$24))+($AI$245+$AG$24)</f>
        <v>23.021699999999996</v>
      </c>
      <c r="AO245" s="132" t="s">
        <v>10</v>
      </c>
      <c r="AP245" s="132">
        <v>8.6471999999999998</v>
      </c>
      <c r="AT245" s="145">
        <v>12</v>
      </c>
      <c r="AU245" s="1">
        <v>13</v>
      </c>
      <c r="AV245" s="1">
        <f t="shared" ref="AV245:AV257" si="114">((AU245*AU245)*($AP$243+$AP$23))+(AU245*($AP$244+$AP$24))+($AP$245+$AP$25)</f>
        <v>21.487900000000003</v>
      </c>
      <c r="BE245" s="132" t="s">
        <v>10</v>
      </c>
      <c r="BF245" s="132">
        <v>9.0984999999999996</v>
      </c>
      <c r="BH245" s="146" t="s">
        <v>33</v>
      </c>
      <c r="BI245" s="1">
        <v>13</v>
      </c>
      <c r="BJ245" s="1">
        <f t="shared" ref="BJ245:BJ257" si="115">((BI245*BI245)*($BF$243+$BB$23))+(BI245*($BF$244+$BB$24))+($BF$245+$BB$25)</f>
        <v>23.484099999999998</v>
      </c>
    </row>
    <row r="246" spans="2:62" x14ac:dyDescent="0.25">
      <c r="B246" s="1">
        <v>12</v>
      </c>
      <c r="C246" s="1">
        <f t="shared" si="110"/>
        <v>19.239754666666666</v>
      </c>
      <c r="D246" s="3">
        <v>19.036653999999999</v>
      </c>
      <c r="E246" s="3">
        <v>19.217129</v>
      </c>
      <c r="F246" s="3">
        <v>19.465481</v>
      </c>
      <c r="O246" s="132"/>
      <c r="P246" s="132"/>
      <c r="Q246" s="132"/>
      <c r="R246" s="1">
        <v>12</v>
      </c>
      <c r="S246" s="1">
        <f t="shared" si="111"/>
        <v>20.235999999999997</v>
      </c>
      <c r="W246" s="143" t="s">
        <v>25</v>
      </c>
      <c r="X246" s="1">
        <v>12</v>
      </c>
      <c r="Y246" s="1">
        <f t="shared" si="112"/>
        <v>19.418500000000002</v>
      </c>
      <c r="AH246" s="132"/>
      <c r="AK246" s="144" t="s">
        <v>25</v>
      </c>
      <c r="AL246" s="1">
        <v>12</v>
      </c>
      <c r="AM246" s="1">
        <f t="shared" si="113"/>
        <v>20.780999999999999</v>
      </c>
      <c r="AO246" s="132"/>
      <c r="AP246" s="132"/>
      <c r="AT246" s="145">
        <v>12</v>
      </c>
      <c r="AU246" s="1">
        <v>12</v>
      </c>
      <c r="AV246" s="1">
        <f t="shared" si="114"/>
        <v>19.936300000000003</v>
      </c>
      <c r="BE246" s="132"/>
      <c r="BF246" s="132"/>
      <c r="BH246" s="146" t="s">
        <v>33</v>
      </c>
      <c r="BI246" s="1">
        <v>12</v>
      </c>
      <c r="BJ246" s="1">
        <f t="shared" si="115"/>
        <v>21.310099999999998</v>
      </c>
    </row>
    <row r="247" spans="2:62" x14ac:dyDescent="0.25">
      <c r="B247" s="1">
        <v>11</v>
      </c>
      <c r="C247" s="1">
        <f t="shared" si="110"/>
        <v>17.454620666666667</v>
      </c>
      <c r="D247" s="3">
        <v>17.261749999999999</v>
      </c>
      <c r="E247" s="3">
        <v>17.340948999999998</v>
      </c>
      <c r="F247" s="3">
        <v>17.761163</v>
      </c>
      <c r="O247" s="132"/>
      <c r="P247" s="132"/>
      <c r="Q247" s="132"/>
      <c r="R247" s="1">
        <v>11</v>
      </c>
      <c r="S247" s="1">
        <f t="shared" si="111"/>
        <v>18.309399999999997</v>
      </c>
      <c r="W247" s="143" t="s">
        <v>25</v>
      </c>
      <c r="X247" s="1">
        <v>11</v>
      </c>
      <c r="Y247" s="1">
        <f t="shared" si="112"/>
        <v>17.906600000000001</v>
      </c>
      <c r="AH247" s="132"/>
      <c r="AK247" s="144" t="s">
        <v>25</v>
      </c>
      <c r="AL247" s="1">
        <v>11</v>
      </c>
      <c r="AM247" s="1">
        <f t="shared" si="113"/>
        <v>18.737099999999998</v>
      </c>
      <c r="AO247" s="132"/>
      <c r="AP247" s="132"/>
      <c r="AT247" s="145">
        <v>12</v>
      </c>
      <c r="AU247" s="1">
        <v>11</v>
      </c>
      <c r="AV247" s="1">
        <f t="shared" si="114"/>
        <v>18.485300000000002</v>
      </c>
      <c r="BE247" s="132"/>
      <c r="BF247" s="132"/>
      <c r="BH247" s="146" t="s">
        <v>33</v>
      </c>
      <c r="BI247" s="1">
        <v>11</v>
      </c>
      <c r="BJ247" s="1">
        <f t="shared" si="115"/>
        <v>19.3217</v>
      </c>
    </row>
    <row r="248" spans="2:62" x14ac:dyDescent="0.25">
      <c r="B248" s="1">
        <v>10</v>
      </c>
      <c r="C248" s="1">
        <f t="shared" si="110"/>
        <v>16.025889333333335</v>
      </c>
      <c r="D248" s="3">
        <v>15.910712</v>
      </c>
      <c r="E248" s="3">
        <v>15.888960000000001</v>
      </c>
      <c r="F248" s="3">
        <v>16.277996000000002</v>
      </c>
      <c r="O248" s="132"/>
      <c r="P248" s="132"/>
      <c r="Q248" s="132"/>
      <c r="R248" s="1">
        <v>10</v>
      </c>
      <c r="S248" s="1">
        <f t="shared" si="111"/>
        <v>16.566599999999998</v>
      </c>
      <c r="W248" s="143" t="s">
        <v>25</v>
      </c>
      <c r="X248" s="1">
        <v>10</v>
      </c>
      <c r="Y248" s="1">
        <f t="shared" si="112"/>
        <v>16.507899999999999</v>
      </c>
      <c r="AH248" s="132"/>
      <c r="AK248" s="144" t="s">
        <v>25</v>
      </c>
      <c r="AL248" s="1">
        <v>10</v>
      </c>
      <c r="AM248" s="1">
        <f t="shared" si="113"/>
        <v>16.889999999999997</v>
      </c>
      <c r="AO248" s="132"/>
      <c r="AP248" s="132"/>
      <c r="AT248" s="145">
        <v>12</v>
      </c>
      <c r="AU248" s="1">
        <v>10</v>
      </c>
      <c r="AV248" s="1">
        <f t="shared" si="114"/>
        <v>17.134900000000002</v>
      </c>
      <c r="BE248" s="132"/>
      <c r="BF248" s="132"/>
      <c r="BH248" s="146" t="s">
        <v>33</v>
      </c>
      <c r="BI248" s="1">
        <v>10</v>
      </c>
      <c r="BJ248" s="1">
        <f t="shared" si="115"/>
        <v>17.518899999999999</v>
      </c>
    </row>
    <row r="249" spans="2:62" x14ac:dyDescent="0.25">
      <c r="B249" s="1">
        <v>9</v>
      </c>
      <c r="C249" s="1">
        <f t="shared" si="110"/>
        <v>14.937897333333334</v>
      </c>
      <c r="D249" s="3">
        <v>14.79204</v>
      </c>
      <c r="E249" s="3">
        <v>14.796916</v>
      </c>
      <c r="F249" s="3">
        <v>15.224736</v>
      </c>
      <c r="O249" s="132"/>
      <c r="P249" s="132"/>
      <c r="Q249" s="132"/>
      <c r="R249" s="1">
        <v>9</v>
      </c>
      <c r="S249" s="1">
        <f t="shared" si="111"/>
        <v>15.007599999999998</v>
      </c>
      <c r="W249" s="143" t="s">
        <v>25</v>
      </c>
      <c r="X249" s="1">
        <v>9</v>
      </c>
      <c r="Y249" s="1">
        <f t="shared" si="112"/>
        <v>15.2224</v>
      </c>
      <c r="AH249" s="132"/>
      <c r="AK249" s="144" t="s">
        <v>25</v>
      </c>
      <c r="AL249" s="1">
        <v>9</v>
      </c>
      <c r="AM249" s="1">
        <f t="shared" si="113"/>
        <v>15.239699999999997</v>
      </c>
      <c r="AO249" s="132"/>
      <c r="AP249" s="132"/>
      <c r="AT249" s="145">
        <v>12</v>
      </c>
      <c r="AU249" s="1">
        <v>9</v>
      </c>
      <c r="AV249" s="1">
        <f t="shared" si="114"/>
        <v>15.885100000000001</v>
      </c>
      <c r="BE249" s="132"/>
      <c r="BF249" s="132"/>
      <c r="BH249" s="146" t="s">
        <v>33</v>
      </c>
      <c r="BI249" s="1">
        <v>9</v>
      </c>
      <c r="BJ249" s="1">
        <f t="shared" si="115"/>
        <v>15.9017</v>
      </c>
    </row>
    <row r="250" spans="2:62" x14ac:dyDescent="0.25">
      <c r="B250" s="1">
        <v>8</v>
      </c>
      <c r="C250" s="1">
        <f t="shared" si="110"/>
        <v>14.006478333333334</v>
      </c>
      <c r="D250" s="3">
        <v>13.843565</v>
      </c>
      <c r="E250" s="3">
        <v>13.888183</v>
      </c>
      <c r="F250" s="3">
        <v>14.287687</v>
      </c>
      <c r="O250" s="132"/>
      <c r="P250" s="132"/>
      <c r="Q250" s="132"/>
      <c r="R250" s="1">
        <v>8</v>
      </c>
      <c r="S250" s="1">
        <f t="shared" si="111"/>
        <v>13.632399999999999</v>
      </c>
      <c r="W250" s="143" t="s">
        <v>25</v>
      </c>
      <c r="X250" s="1">
        <v>8</v>
      </c>
      <c r="Y250" s="1">
        <f t="shared" si="112"/>
        <v>14.0501</v>
      </c>
      <c r="AH250" s="132"/>
      <c r="AK250" s="144" t="s">
        <v>25</v>
      </c>
      <c r="AL250" s="1">
        <v>8</v>
      </c>
      <c r="AM250" s="1">
        <f t="shared" si="113"/>
        <v>13.786199999999997</v>
      </c>
      <c r="AO250" s="132"/>
      <c r="AP250" s="132"/>
      <c r="AT250" s="145">
        <v>12</v>
      </c>
      <c r="AU250" s="1">
        <v>8</v>
      </c>
      <c r="AV250" s="1">
        <f t="shared" si="114"/>
        <v>14.735900000000001</v>
      </c>
      <c r="BE250" s="132"/>
      <c r="BF250" s="132"/>
      <c r="BH250" s="146" t="s">
        <v>33</v>
      </c>
      <c r="BI250" s="1">
        <v>8</v>
      </c>
      <c r="BJ250" s="1">
        <f t="shared" si="115"/>
        <v>14.470099999999999</v>
      </c>
    </row>
    <row r="251" spans="2:62" x14ac:dyDescent="0.25">
      <c r="B251" s="1">
        <v>7</v>
      </c>
      <c r="C251" s="1">
        <f t="shared" si="110"/>
        <v>12.939681666666667</v>
      </c>
      <c r="D251" s="3">
        <v>12.712617</v>
      </c>
      <c r="E251" s="3">
        <v>12.884022</v>
      </c>
      <c r="F251" s="3">
        <v>13.222405999999999</v>
      </c>
      <c r="O251" s="132"/>
      <c r="P251" s="132"/>
      <c r="Q251" s="132"/>
      <c r="R251" s="1">
        <v>7</v>
      </c>
      <c r="S251" s="1">
        <f t="shared" si="111"/>
        <v>12.440999999999999</v>
      </c>
      <c r="W251" s="143" t="s">
        <v>25</v>
      </c>
      <c r="X251" s="1">
        <v>7</v>
      </c>
      <c r="Y251" s="1">
        <f t="shared" si="112"/>
        <v>12.991</v>
      </c>
      <c r="AH251" s="132"/>
      <c r="AK251" s="144" t="s">
        <v>25</v>
      </c>
      <c r="AL251" s="1">
        <v>7</v>
      </c>
      <c r="AM251" s="1">
        <f t="shared" si="113"/>
        <v>12.529499999999999</v>
      </c>
      <c r="AO251" s="132"/>
      <c r="AP251" s="132"/>
      <c r="AT251" s="145">
        <v>12</v>
      </c>
      <c r="AU251" s="1">
        <v>7</v>
      </c>
      <c r="AV251" s="1">
        <f t="shared" si="114"/>
        <v>13.6873</v>
      </c>
      <c r="BE251" s="132"/>
      <c r="BF251" s="132"/>
      <c r="BH251" s="146" t="s">
        <v>33</v>
      </c>
      <c r="BI251" s="1">
        <v>7</v>
      </c>
      <c r="BJ251" s="1">
        <f t="shared" si="115"/>
        <v>13.2241</v>
      </c>
    </row>
    <row r="252" spans="2:62" x14ac:dyDescent="0.25">
      <c r="B252" s="1">
        <v>6</v>
      </c>
      <c r="C252" s="1">
        <f t="shared" si="110"/>
        <v>12.017670666666666</v>
      </c>
      <c r="D252" s="3">
        <v>11.751261</v>
      </c>
      <c r="E252" s="3">
        <v>12.009883</v>
      </c>
      <c r="F252" s="3">
        <v>12.291867999999999</v>
      </c>
      <c r="O252" s="132"/>
      <c r="P252" s="132"/>
      <c r="Q252" s="132"/>
      <c r="R252" s="1">
        <v>6</v>
      </c>
      <c r="S252" s="1">
        <f t="shared" si="111"/>
        <v>11.433399999999999</v>
      </c>
      <c r="W252" s="143" t="s">
        <v>25</v>
      </c>
      <c r="X252" s="1">
        <v>6</v>
      </c>
      <c r="Y252" s="1">
        <f t="shared" si="112"/>
        <v>12.0451</v>
      </c>
      <c r="AH252" s="132"/>
      <c r="AK252" s="144" t="s">
        <v>25</v>
      </c>
      <c r="AL252" s="1">
        <v>6</v>
      </c>
      <c r="AM252" s="1">
        <f t="shared" si="113"/>
        <v>11.4696</v>
      </c>
      <c r="AO252" s="132"/>
      <c r="AP252" s="132"/>
      <c r="AT252" s="145">
        <v>12</v>
      </c>
      <c r="AU252" s="1">
        <v>6</v>
      </c>
      <c r="AV252" s="1">
        <f t="shared" si="114"/>
        <v>12.7393</v>
      </c>
      <c r="BE252" s="132"/>
      <c r="BF252" s="132"/>
      <c r="BH252" s="146" t="s">
        <v>33</v>
      </c>
      <c r="BI252" s="1">
        <v>6</v>
      </c>
      <c r="BJ252" s="1">
        <f t="shared" si="115"/>
        <v>12.163699999999999</v>
      </c>
    </row>
    <row r="253" spans="2:62" x14ac:dyDescent="0.25">
      <c r="B253" s="1">
        <v>5</v>
      </c>
      <c r="C253" s="1">
        <f t="shared" si="110"/>
        <v>10.995321333333335</v>
      </c>
      <c r="D253" s="3">
        <v>10.632604000000001</v>
      </c>
      <c r="E253" s="3">
        <v>11.038537</v>
      </c>
      <c r="F253" s="3">
        <v>11.314823000000001</v>
      </c>
      <c r="O253" s="132" t="s">
        <v>8</v>
      </c>
      <c r="P253" s="132">
        <v>9.7999999999999997E-3</v>
      </c>
      <c r="Q253" s="132" t="s">
        <v>14</v>
      </c>
      <c r="R253" s="1">
        <v>5</v>
      </c>
      <c r="S253" s="1">
        <f t="shared" si="111"/>
        <v>10.609599999999999</v>
      </c>
      <c r="W253" s="143" t="s">
        <v>25</v>
      </c>
      <c r="X253" s="1">
        <v>5</v>
      </c>
      <c r="Y253" s="1">
        <f t="shared" si="112"/>
        <v>11.212400000000001</v>
      </c>
      <c r="AH253" s="132" t="s">
        <v>8</v>
      </c>
      <c r="AI253">
        <v>9.4999999999999998E-3</v>
      </c>
      <c r="AK253" s="144" t="s">
        <v>25</v>
      </c>
      <c r="AL253" s="1">
        <v>5</v>
      </c>
      <c r="AM253" s="1">
        <f t="shared" si="113"/>
        <v>10.606499999999999</v>
      </c>
      <c r="AO253" s="132" t="s">
        <v>8</v>
      </c>
      <c r="AP253" s="132">
        <v>9.7999999999999997E-3</v>
      </c>
      <c r="AT253" s="145">
        <v>12</v>
      </c>
      <c r="AU253" s="1">
        <v>5</v>
      </c>
      <c r="AV253" s="1">
        <f t="shared" si="114"/>
        <v>11.8919</v>
      </c>
      <c r="BE253" s="132" t="s">
        <v>8</v>
      </c>
      <c r="BF253" s="132">
        <v>9.4999999999999998E-3</v>
      </c>
      <c r="BH253" s="146" t="s">
        <v>33</v>
      </c>
      <c r="BI253" s="1">
        <v>5</v>
      </c>
      <c r="BJ253" s="1">
        <f t="shared" si="115"/>
        <v>11.2889</v>
      </c>
    </row>
    <row r="254" spans="2:62" x14ac:dyDescent="0.25">
      <c r="B254" s="1">
        <v>4</v>
      </c>
      <c r="C254" s="1">
        <f t="shared" si="110"/>
        <v>10.626788666666668</v>
      </c>
      <c r="D254" s="3">
        <v>10.243226</v>
      </c>
      <c r="E254" s="3">
        <v>10.71233</v>
      </c>
      <c r="F254" s="3">
        <v>10.924810000000001</v>
      </c>
      <c r="O254" s="132" t="s">
        <v>9</v>
      </c>
      <c r="P254" s="132">
        <v>0.35320000000000001</v>
      </c>
      <c r="Q254" s="132" t="s">
        <v>17</v>
      </c>
      <c r="R254" s="1">
        <v>4</v>
      </c>
      <c r="S254" s="1">
        <f t="shared" si="111"/>
        <v>9.969599999999998</v>
      </c>
      <c r="W254" s="143" t="s">
        <v>25</v>
      </c>
      <c r="X254" s="1">
        <v>4</v>
      </c>
      <c r="Y254" s="1">
        <f t="shared" si="112"/>
        <v>10.492900000000001</v>
      </c>
      <c r="AH254" s="132" t="s">
        <v>9</v>
      </c>
      <c r="AI254">
        <v>0.34549999999999997</v>
      </c>
      <c r="AK254" s="144" t="s">
        <v>25</v>
      </c>
      <c r="AL254" s="1">
        <v>4</v>
      </c>
      <c r="AM254" s="1">
        <f t="shared" si="113"/>
        <v>9.940199999999999</v>
      </c>
      <c r="AO254" s="132" t="s">
        <v>9</v>
      </c>
      <c r="AP254" s="132">
        <v>0.35320000000000001</v>
      </c>
      <c r="AT254" s="145">
        <v>12</v>
      </c>
      <c r="AU254" s="1">
        <v>4</v>
      </c>
      <c r="AV254" s="1">
        <f t="shared" si="114"/>
        <v>11.145099999999999</v>
      </c>
      <c r="BE254" s="132" t="s">
        <v>9</v>
      </c>
      <c r="BF254" s="132">
        <v>0.36549999999999999</v>
      </c>
      <c r="BH254" s="146" t="s">
        <v>33</v>
      </c>
      <c r="BI254" s="1">
        <v>4</v>
      </c>
      <c r="BJ254" s="1">
        <f t="shared" si="115"/>
        <v>10.5997</v>
      </c>
    </row>
    <row r="255" spans="2:62" x14ac:dyDescent="0.25">
      <c r="B255" s="1">
        <v>3</v>
      </c>
      <c r="C255" s="1">
        <f t="shared" si="110"/>
        <v>9.8475196666666669</v>
      </c>
      <c r="D255" s="3">
        <v>9.4494760000000007</v>
      </c>
      <c r="E255" s="3">
        <v>9.954129</v>
      </c>
      <c r="F255" s="3">
        <v>10.138954</v>
      </c>
      <c r="O255" s="132" t="s">
        <v>10</v>
      </c>
      <c r="P255" s="132">
        <v>8.5367999999999995</v>
      </c>
      <c r="Q255" s="132" t="s">
        <v>18</v>
      </c>
      <c r="R255" s="1">
        <v>3</v>
      </c>
      <c r="S255" s="1">
        <f t="shared" si="111"/>
        <v>9.513399999999999</v>
      </c>
      <c r="W255" s="143" t="s">
        <v>25</v>
      </c>
      <c r="X255" s="1">
        <v>3</v>
      </c>
      <c r="Y255" s="1">
        <f t="shared" si="112"/>
        <v>9.8865999999999996</v>
      </c>
      <c r="AH255" s="132" t="s">
        <v>10</v>
      </c>
      <c r="AI255">
        <v>8.5225000000000009</v>
      </c>
      <c r="AK255" s="144" t="s">
        <v>25</v>
      </c>
      <c r="AL255" s="1">
        <v>3</v>
      </c>
      <c r="AM255" s="1">
        <f t="shared" si="113"/>
        <v>9.470699999999999</v>
      </c>
      <c r="AO255" s="132" t="s">
        <v>10</v>
      </c>
      <c r="AP255" s="132">
        <v>8.5367999999999995</v>
      </c>
      <c r="AT255" s="145">
        <v>12</v>
      </c>
      <c r="AU255" s="1">
        <v>3</v>
      </c>
      <c r="AV255" s="1">
        <f t="shared" si="114"/>
        <v>10.498899999999999</v>
      </c>
      <c r="BE255" s="132" t="s">
        <v>10</v>
      </c>
      <c r="BF255" s="132">
        <v>9.0230999999999995</v>
      </c>
      <c r="BH255" s="146" t="s">
        <v>33</v>
      </c>
      <c r="BI255" s="1">
        <v>3</v>
      </c>
      <c r="BJ255" s="1">
        <f t="shared" si="115"/>
        <v>10.0961</v>
      </c>
    </row>
    <row r="256" spans="2:62" x14ac:dyDescent="0.25">
      <c r="B256" s="1">
        <v>2</v>
      </c>
      <c r="C256" s="1">
        <f t="shared" si="110"/>
        <v>9.4383896666666676</v>
      </c>
      <c r="D256" s="3">
        <v>9.0122669999999996</v>
      </c>
      <c r="E256" s="3">
        <v>9.5554520000000007</v>
      </c>
      <c r="F256" s="3">
        <v>9.7474500000000006</v>
      </c>
      <c r="O256" s="132"/>
      <c r="P256" s="132"/>
      <c r="Q256" s="132"/>
      <c r="R256" s="1">
        <v>2</v>
      </c>
      <c r="S256" s="1">
        <f t="shared" si="111"/>
        <v>9.2409999999999979</v>
      </c>
      <c r="W256" s="143" t="s">
        <v>25</v>
      </c>
      <c r="X256" s="1">
        <v>2</v>
      </c>
      <c r="Y256" s="1">
        <f t="shared" si="112"/>
        <v>9.3934999999999995</v>
      </c>
      <c r="AK256" s="144" t="s">
        <v>25</v>
      </c>
      <c r="AL256" s="1">
        <v>2</v>
      </c>
      <c r="AM256" s="1">
        <f t="shared" si="113"/>
        <v>9.1979999999999986</v>
      </c>
      <c r="AT256" s="145">
        <v>12</v>
      </c>
      <c r="AU256" s="1">
        <v>2</v>
      </c>
      <c r="AV256" s="1">
        <f t="shared" si="114"/>
        <v>9.9533000000000005</v>
      </c>
      <c r="BH256" s="146" t="s">
        <v>33</v>
      </c>
      <c r="BI256" s="1">
        <v>2</v>
      </c>
      <c r="BJ256" s="1">
        <f t="shared" si="115"/>
        <v>9.7781000000000002</v>
      </c>
    </row>
    <row r="257" spans="2:62" x14ac:dyDescent="0.25">
      <c r="B257" s="1">
        <v>1</v>
      </c>
      <c r="C257" s="1">
        <f t="shared" si="110"/>
        <v>9.0205183333333334</v>
      </c>
      <c r="D257" s="3">
        <v>8.5769369999999991</v>
      </c>
      <c r="E257" s="3">
        <v>9.1705620000000003</v>
      </c>
      <c r="F257" s="3">
        <v>9.3140560000000008</v>
      </c>
      <c r="O257" s="132"/>
      <c r="P257" s="132"/>
      <c r="Q257" s="132"/>
      <c r="R257" s="1">
        <v>1</v>
      </c>
      <c r="S257" s="1">
        <f t="shared" si="111"/>
        <v>9.1523999999999983</v>
      </c>
      <c r="W257" s="143" t="s">
        <v>25</v>
      </c>
      <c r="X257" s="1">
        <v>1</v>
      </c>
      <c r="Y257" s="1">
        <f t="shared" si="112"/>
        <v>9.0136000000000003</v>
      </c>
      <c r="AK257" s="144" t="s">
        <v>25</v>
      </c>
      <c r="AL257" s="1">
        <v>1</v>
      </c>
      <c r="AM257" s="1">
        <f t="shared" si="113"/>
        <v>9.1220999999999979</v>
      </c>
      <c r="AT257" s="145">
        <v>12</v>
      </c>
      <c r="AU257" s="1">
        <v>1</v>
      </c>
      <c r="AV257" s="1">
        <f t="shared" si="114"/>
        <v>9.5083000000000002</v>
      </c>
      <c r="BH257" s="146" t="s">
        <v>33</v>
      </c>
      <c r="BI257" s="1">
        <v>1</v>
      </c>
      <c r="BJ257" s="1">
        <f t="shared" si="115"/>
        <v>9.6456999999999997</v>
      </c>
    </row>
    <row r="258" spans="2:62" x14ac:dyDescent="0.25">
      <c r="B258" s="1">
        <v>0</v>
      </c>
      <c r="C258" s="1">
        <f t="shared" si="110"/>
        <v>8.6122426666666669</v>
      </c>
      <c r="D258" s="3">
        <v>8.1921689999999998</v>
      </c>
      <c r="E258" s="3">
        <v>8.7614699999999992</v>
      </c>
      <c r="F258" s="3">
        <v>8.883089</v>
      </c>
      <c r="O258" s="132"/>
      <c r="P258" s="132"/>
      <c r="Q258" s="132"/>
      <c r="R258" s="1">
        <v>0</v>
      </c>
      <c r="S258" s="1">
        <f>((R258*R258)*($P$253+$Q$409))+(R258*($P$254+$S$409))+($P$255+$U$409)</f>
        <v>8.4789999999999992</v>
      </c>
      <c r="W258" s="143" t="s">
        <v>25</v>
      </c>
      <c r="X258" s="1">
        <v>0</v>
      </c>
      <c r="Y258" s="1">
        <f>((X258*X258)*($P$253+$E$458))+(X258*($P$254+$E$459))+($P$255+$E$460)</f>
        <v>8.5225000000000009</v>
      </c>
      <c r="AK258" s="144" t="s">
        <v>25</v>
      </c>
      <c r="AL258" s="1">
        <v>0</v>
      </c>
      <c r="AM258" s="1">
        <f>((AL258*AL258)*($AI$253+$AC$25))+(AL258*($AI$254+$AE$25))+($AI$255+$AG$25)</f>
        <v>8.4647000000000006</v>
      </c>
      <c r="AT258" s="145">
        <v>12</v>
      </c>
      <c r="AU258" s="1">
        <v>0</v>
      </c>
      <c r="AV258" s="1">
        <f>((AU258*AU258)*($AP$253+$AR$23))+(AU258*($AP$254+$AR$24))+($AP$255+$AR$25)</f>
        <v>9.0230999999999995</v>
      </c>
      <c r="BH258" s="146" t="s">
        <v>33</v>
      </c>
      <c r="BI258" s="1">
        <v>0</v>
      </c>
      <c r="BJ258" s="1">
        <f>((BI258*BI258)*($BF$253+$BD$23))+(BI258*($BF$254+$BD$24))+($BF$255+$BD$25)</f>
        <v>8.9652999999999992</v>
      </c>
    </row>
    <row r="259" spans="2:62" x14ac:dyDescent="0.25">
      <c r="B259" s="1">
        <v>-5</v>
      </c>
      <c r="C259" s="1">
        <f t="shared" si="110"/>
        <v>6.8648746666666662</v>
      </c>
      <c r="D259" s="3">
        <v>6.4181520000000001</v>
      </c>
      <c r="E259" s="3">
        <v>7.069064</v>
      </c>
      <c r="F259" s="3">
        <v>7.1074080000000004</v>
      </c>
      <c r="O259" s="132"/>
      <c r="P259" s="132"/>
      <c r="Q259" s="132"/>
      <c r="R259" s="1">
        <v>-5</v>
      </c>
      <c r="S259" s="1">
        <f t="shared" ref="S259:S262" si="116">((R259*R259)*($P$253+$Q$409))+(R259*($P$254+$S$409))+($P$255+$U$409)</f>
        <v>6.9514999999999993</v>
      </c>
      <c r="W259" s="143" t="s">
        <v>25</v>
      </c>
      <c r="X259" s="1">
        <v>-5</v>
      </c>
      <c r="Y259" s="1">
        <f t="shared" ref="Y259:Y262" si="117">((X259*X259)*($P$253+$E$458))+(X259*($P$254+$E$459))+($P$255+$E$460)</f>
        <v>7.0325000000000006</v>
      </c>
      <c r="AK259" s="144" t="s">
        <v>25</v>
      </c>
      <c r="AL259" s="1">
        <v>-5</v>
      </c>
      <c r="AM259" s="1">
        <f t="shared" ref="AM259:AM262" si="118">((AL259*AL259)*($AI$253+$AC$25))+(AL259*($AI$254+$AE$25))+($AI$255+$AG$25)</f>
        <v>6.9682000000000004</v>
      </c>
      <c r="AT259" s="145">
        <v>12</v>
      </c>
      <c r="AU259" s="1">
        <v>-5</v>
      </c>
      <c r="AV259" s="1">
        <f t="shared" ref="AV259:AV262" si="119">((AU259*AU259)*($AP$253+$AR$23))+(AU259*($AP$254+$AR$24))+($AP$255+$AR$25)</f>
        <v>7.4330999999999996</v>
      </c>
      <c r="BH259" s="146" t="s">
        <v>33</v>
      </c>
      <c r="BI259" s="1">
        <v>-5</v>
      </c>
      <c r="BJ259" s="1">
        <f t="shared" ref="BJ259:BJ262" si="120">((BI259*BI259)*($BF$253+$BD$23))+(BI259*($BF$254+$BD$24))+($BF$255+$BD$25)</f>
        <v>7.3687999999999994</v>
      </c>
    </row>
    <row r="260" spans="2:62" x14ac:dyDescent="0.25">
      <c r="B260" s="1">
        <v>-10</v>
      </c>
      <c r="C260" s="1">
        <f t="shared" si="110"/>
        <v>5.9933369999999995</v>
      </c>
      <c r="D260" s="3">
        <v>5.60656</v>
      </c>
      <c r="E260" s="3">
        <v>6.1668520000000004</v>
      </c>
      <c r="F260" s="3">
        <v>6.2065989999999998</v>
      </c>
      <c r="O260" s="132"/>
      <c r="P260" s="132"/>
      <c r="Q260" s="132"/>
      <c r="R260" s="1">
        <v>-10</v>
      </c>
      <c r="S260" s="1">
        <f t="shared" si="116"/>
        <v>5.9239999999999986</v>
      </c>
      <c r="W260" s="143" t="s">
        <v>25</v>
      </c>
      <c r="X260" s="1">
        <v>-10</v>
      </c>
      <c r="Y260" s="1">
        <f t="shared" si="117"/>
        <v>6.017500000000001</v>
      </c>
      <c r="AK260" s="144" t="s">
        <v>25</v>
      </c>
      <c r="AL260" s="1">
        <v>-10</v>
      </c>
      <c r="AM260" s="1">
        <f t="shared" si="118"/>
        <v>5.9567000000000005</v>
      </c>
      <c r="AT260" s="145">
        <v>12</v>
      </c>
      <c r="AU260" s="1">
        <v>-10</v>
      </c>
      <c r="AV260" s="1">
        <f t="shared" si="119"/>
        <v>6.3180999999999994</v>
      </c>
      <c r="BH260" s="146" t="s">
        <v>33</v>
      </c>
      <c r="BI260" s="1">
        <v>-10</v>
      </c>
      <c r="BJ260" s="1">
        <f t="shared" si="120"/>
        <v>6.257299999999999</v>
      </c>
    </row>
    <row r="261" spans="2:62" x14ac:dyDescent="0.25">
      <c r="B261" s="1">
        <v>-15</v>
      </c>
      <c r="C261" s="1">
        <f t="shared" si="110"/>
        <v>5.6019949999999996</v>
      </c>
      <c r="D261" s="3">
        <v>5.2647130000000004</v>
      </c>
      <c r="E261" s="3">
        <v>5.7728549999999998</v>
      </c>
      <c r="F261" s="3">
        <v>5.7684170000000003</v>
      </c>
      <c r="O261" s="132"/>
      <c r="P261" s="132"/>
      <c r="Q261" s="132"/>
      <c r="R261" s="1">
        <v>-15</v>
      </c>
      <c r="S261" s="1">
        <f t="shared" si="116"/>
        <v>5.3964999999999987</v>
      </c>
      <c r="W261" s="143" t="s">
        <v>25</v>
      </c>
      <c r="X261" s="1">
        <v>-15</v>
      </c>
      <c r="Y261" s="1">
        <f t="shared" si="117"/>
        <v>5.4775000000000009</v>
      </c>
      <c r="AK261" s="144" t="s">
        <v>25</v>
      </c>
      <c r="AL261" s="1">
        <v>-15</v>
      </c>
      <c r="AM261" s="1">
        <f t="shared" si="118"/>
        <v>5.430200000000001</v>
      </c>
      <c r="AT261" s="145">
        <v>12</v>
      </c>
      <c r="AU261" s="1">
        <v>-15</v>
      </c>
      <c r="AV261" s="1">
        <f t="shared" si="119"/>
        <v>5.6780999999999988</v>
      </c>
      <c r="BH261" s="146" t="s">
        <v>33</v>
      </c>
      <c r="BI261" s="1">
        <v>-15</v>
      </c>
      <c r="BJ261" s="1">
        <f t="shared" si="120"/>
        <v>5.6307999999999989</v>
      </c>
    </row>
    <row r="262" spans="2:62" x14ac:dyDescent="0.25">
      <c r="B262" s="1">
        <v>-20</v>
      </c>
      <c r="C262" s="1">
        <f t="shared" si="110"/>
        <v>5.3379599999999998</v>
      </c>
      <c r="D262" s="3">
        <v>5.2623879999999996</v>
      </c>
      <c r="E262" s="3">
        <v>5.3768469999999997</v>
      </c>
      <c r="F262" s="3">
        <v>5.3746450000000001</v>
      </c>
      <c r="O262" s="132"/>
      <c r="P262" s="132"/>
      <c r="Q262" s="132"/>
      <c r="R262" s="1">
        <v>-20</v>
      </c>
      <c r="S262" s="1">
        <f t="shared" si="116"/>
        <v>5.368999999999998</v>
      </c>
      <c r="W262" s="143" t="s">
        <v>25</v>
      </c>
      <c r="X262" s="1">
        <v>-20</v>
      </c>
      <c r="Y262" s="1">
        <f t="shared" si="117"/>
        <v>5.4125000000000005</v>
      </c>
      <c r="AK262" s="144" t="s">
        <v>25</v>
      </c>
      <c r="AL262" s="1">
        <v>-20</v>
      </c>
      <c r="AM262" s="1">
        <f t="shared" si="118"/>
        <v>5.3887000000000009</v>
      </c>
      <c r="AT262" s="145">
        <v>12</v>
      </c>
      <c r="AU262" s="1">
        <v>-20</v>
      </c>
      <c r="AV262" s="1">
        <f t="shared" si="119"/>
        <v>5.5130999999999997</v>
      </c>
      <c r="BH262" s="146" t="s">
        <v>33</v>
      </c>
      <c r="BI262" s="1">
        <v>-20</v>
      </c>
      <c r="BJ262" s="1">
        <f t="shared" si="120"/>
        <v>5.4892999999999992</v>
      </c>
    </row>
    <row r="266" spans="2:62" x14ac:dyDescent="0.25">
      <c r="B266" s="26" t="s">
        <v>0</v>
      </c>
      <c r="C266" s="26">
        <v>3.1</v>
      </c>
      <c r="D266" s="26"/>
      <c r="E266" s="26"/>
      <c r="F266" s="26"/>
      <c r="O266" s="132"/>
      <c r="P266" s="132"/>
      <c r="Q266" s="132"/>
      <c r="R266" s="132" t="s">
        <v>0</v>
      </c>
      <c r="S266" s="132">
        <v>3.1</v>
      </c>
      <c r="W266" s="132"/>
      <c r="X266" s="132" t="s">
        <v>0</v>
      </c>
      <c r="Y266" s="132">
        <v>3.1</v>
      </c>
      <c r="AK266" s="132"/>
      <c r="AL266" s="132" t="s">
        <v>0</v>
      </c>
      <c r="AM266" s="132">
        <v>3.1</v>
      </c>
      <c r="AT266" s="132"/>
      <c r="AU266" s="132" t="s">
        <v>0</v>
      </c>
      <c r="AV266" s="132">
        <v>3.1</v>
      </c>
      <c r="BH266" s="132"/>
      <c r="BI266" s="132" t="s">
        <v>0</v>
      </c>
      <c r="BJ266" s="132">
        <v>3.1</v>
      </c>
    </row>
    <row r="267" spans="2:62" x14ac:dyDescent="0.25">
      <c r="B267" s="1" t="s">
        <v>4</v>
      </c>
      <c r="C267" s="1" t="s">
        <v>5</v>
      </c>
      <c r="D267" s="1">
        <v>1</v>
      </c>
      <c r="E267" s="1">
        <v>2</v>
      </c>
      <c r="F267" s="1">
        <v>3</v>
      </c>
      <c r="O267" s="132" t="s">
        <v>8</v>
      </c>
      <c r="P267" s="132">
        <v>4.7100000000000003E-2</v>
      </c>
      <c r="Q267" s="132" t="s">
        <v>13</v>
      </c>
      <c r="R267" s="1" t="s">
        <v>4</v>
      </c>
      <c r="S267" s="1" t="s">
        <v>5</v>
      </c>
      <c r="W267" s="143" t="s">
        <v>26</v>
      </c>
      <c r="X267" s="1" t="s">
        <v>4</v>
      </c>
      <c r="Y267" s="1" t="s">
        <v>5</v>
      </c>
      <c r="AH267" s="132" t="s">
        <v>8</v>
      </c>
      <c r="AI267">
        <v>5.3699999999999998E-2</v>
      </c>
      <c r="AK267" s="144" t="s">
        <v>29</v>
      </c>
      <c r="AL267" s="1" t="s">
        <v>4</v>
      </c>
      <c r="AM267" s="1" t="s">
        <v>5</v>
      </c>
      <c r="AO267" s="132" t="s">
        <v>8</v>
      </c>
      <c r="AP267" s="132">
        <v>4.7100000000000003E-2</v>
      </c>
      <c r="AT267" s="145" t="s">
        <v>30</v>
      </c>
      <c r="AU267" s="1" t="s">
        <v>4</v>
      </c>
      <c r="AV267" s="1" t="s">
        <v>5</v>
      </c>
      <c r="BE267" s="132" t="s">
        <v>8</v>
      </c>
      <c r="BF267" s="132">
        <v>4.8000000000000001E-2</v>
      </c>
      <c r="BH267" s="146" t="s">
        <v>32</v>
      </c>
      <c r="BI267" s="1" t="s">
        <v>4</v>
      </c>
      <c r="BJ267" s="1" t="s">
        <v>5</v>
      </c>
    </row>
    <row r="268" spans="2:62" x14ac:dyDescent="0.25">
      <c r="B268" s="1">
        <v>14</v>
      </c>
      <c r="C268" s="1">
        <f>AVERAGE(E268,F268,D268)</f>
        <v>21.124721999999998</v>
      </c>
      <c r="D268" s="3">
        <v>21.075865</v>
      </c>
      <c r="E268" s="3">
        <v>20.985336</v>
      </c>
      <c r="F268" s="3">
        <v>21.312964999999998</v>
      </c>
      <c r="O268" s="132" t="s">
        <v>9</v>
      </c>
      <c r="P268" s="132">
        <v>0.26629999999999998</v>
      </c>
      <c r="Q268" s="132" t="s">
        <v>15</v>
      </c>
      <c r="R268" s="1">
        <v>14</v>
      </c>
      <c r="S268" s="1">
        <f>((R268*R268)*(P$267+$Q$408))+(R268*(P$268+$S$408))+(P$269+$U$408)</f>
        <v>24.090499999999999</v>
      </c>
      <c r="W268" s="143" t="s">
        <v>25</v>
      </c>
      <c r="X268" s="1">
        <v>14</v>
      </c>
      <c r="Y268" s="1">
        <f>((X268*X268)*($P$267+$C$458))+(X268*($P$268+$C$459))+($P$269+$C$460)</f>
        <v>22.2318</v>
      </c>
      <c r="AH268" s="132" t="s">
        <v>9</v>
      </c>
      <c r="AI268">
        <v>0.23350000000000001</v>
      </c>
      <c r="AK268" s="144" t="s">
        <v>25</v>
      </c>
      <c r="AL268" s="1">
        <v>14</v>
      </c>
      <c r="AM268" s="1">
        <f>((AL268*AL268)*($AI$267+$AC$24))+(AL268*($AI$268+$AE$24))+($AI$269+$AG$24)</f>
        <v>24.922699999999999</v>
      </c>
      <c r="AO268" s="132" t="s">
        <v>9</v>
      </c>
      <c r="AP268" s="132">
        <v>0.26629999999999998</v>
      </c>
      <c r="AT268" s="145">
        <v>12</v>
      </c>
      <c r="AU268" s="1">
        <v>14</v>
      </c>
      <c r="AV268" s="1">
        <f>((AU268*AU268)*($AP$267+$AP$23))+(AU268*($AP$268+$AP$24))+($AP$269+$AP$25)</f>
        <v>22.59</v>
      </c>
      <c r="BE268" s="132" t="s">
        <v>9</v>
      </c>
      <c r="BF268" s="132">
        <v>0.30680000000000002</v>
      </c>
      <c r="BH268" s="146" t="s">
        <v>33</v>
      </c>
      <c r="BI268" s="1">
        <v>14</v>
      </c>
      <c r="BJ268" s="1">
        <f>((BI268*BI268)*($BF$267+$BB$23))+(BI268*($BF$268+$BB$24))+($BF$269+$BB$25)</f>
        <v>25.287500000000001</v>
      </c>
    </row>
    <row r="269" spans="2:62" x14ac:dyDescent="0.25">
      <c r="B269" s="1">
        <v>13</v>
      </c>
      <c r="C269" s="1">
        <f t="shared" ref="C269:C286" si="121">AVERAGE(E269,F269,D269)</f>
        <v>19.951739333333332</v>
      </c>
      <c r="D269" s="3">
        <v>19.827407000000001</v>
      </c>
      <c r="E269" s="3">
        <v>19.863101</v>
      </c>
      <c r="F269" s="3">
        <v>20.164709999999999</v>
      </c>
      <c r="O269" s="132" t="s">
        <v>10</v>
      </c>
      <c r="P269" s="132">
        <v>8.4177</v>
      </c>
      <c r="Q269" s="132" t="s">
        <v>16</v>
      </c>
      <c r="R269" s="1">
        <v>13</v>
      </c>
      <c r="S269" s="1">
        <f>((R269*R269)*($P267+$Q$408))+(R269*($P268+$S$408))+($P269+$U$408)</f>
        <v>21.836100000000002</v>
      </c>
      <c r="W269" s="143" t="s">
        <v>25</v>
      </c>
      <c r="X269" s="1">
        <v>13</v>
      </c>
      <c r="Y269" s="1">
        <f t="shared" ref="Y269:Y281" si="122">((X269*X269)*($P$267+$C$458))+(X269*($P$268+$C$459))+($P$269+$C$460)</f>
        <v>20.533300000000001</v>
      </c>
      <c r="AH269" s="132" t="s">
        <v>10</v>
      </c>
      <c r="AI269">
        <v>8.4154999999999998</v>
      </c>
      <c r="AK269" s="144" t="s">
        <v>25</v>
      </c>
      <c r="AL269" s="1">
        <v>13</v>
      </c>
      <c r="AM269" s="1">
        <f t="shared" ref="AM269:AM281" si="123">((AL269*AL269)*($AI$267+$AC$24))+(AL269*($AI$268+$AE$24))+($AI$269+$AG$24)</f>
        <v>22.5229</v>
      </c>
      <c r="AO269" s="132" t="s">
        <v>10</v>
      </c>
      <c r="AP269" s="132">
        <v>8.4177</v>
      </c>
      <c r="AT269" s="145">
        <v>12</v>
      </c>
      <c r="AU269" s="1">
        <v>13</v>
      </c>
      <c r="AV269" s="1">
        <f t="shared" ref="AV269:AV281" si="124">((AU269*AU269)*($AP$267+$AP$23))+(AU269*($AP$268+$AP$24))+($AP$269+$AP$25)</f>
        <v>20.977600000000002</v>
      </c>
      <c r="BE269" s="132" t="s">
        <v>10</v>
      </c>
      <c r="BF269" s="132">
        <v>8.8712999999999997</v>
      </c>
      <c r="BH269" s="146" t="s">
        <v>33</v>
      </c>
      <c r="BI269" s="1">
        <v>13</v>
      </c>
      <c r="BJ269" s="1">
        <f t="shared" ref="BJ269:BJ281" si="125">((BI269*BI269)*($BF$267+$BB$23))+(BI269*($BF$268+$BB$24))+($BF$269+$BB$25)</f>
        <v>22.968299999999999</v>
      </c>
    </row>
    <row r="270" spans="2:62" x14ac:dyDescent="0.25">
      <c r="B270" s="1">
        <v>12</v>
      </c>
      <c r="C270" s="1">
        <f t="shared" si="121"/>
        <v>18.746918666666666</v>
      </c>
      <c r="D270" s="3">
        <v>18.544215000000001</v>
      </c>
      <c r="E270" s="3">
        <v>18.710933000000001</v>
      </c>
      <c r="F270" s="3">
        <v>18.985607999999999</v>
      </c>
      <c r="O270" s="132"/>
      <c r="P270" s="132"/>
      <c r="Q270" s="132"/>
      <c r="R270" s="1">
        <v>12</v>
      </c>
      <c r="S270" s="1">
        <f t="shared" ref="S270:S281" si="126">((R270*R270)*(P$267+$Q$408))+(R270*(P$268+$S$408))+(P$269+$U$408)</f>
        <v>19.762900000000002</v>
      </c>
      <c r="W270" s="143" t="s">
        <v>25</v>
      </c>
      <c r="X270" s="1">
        <v>12</v>
      </c>
      <c r="Y270" s="1">
        <f t="shared" si="122"/>
        <v>18.945399999999999</v>
      </c>
      <c r="AH270" s="132"/>
      <c r="AK270" s="144" t="s">
        <v>25</v>
      </c>
      <c r="AL270" s="1">
        <v>12</v>
      </c>
      <c r="AM270" s="1">
        <f t="shared" si="123"/>
        <v>20.317499999999995</v>
      </c>
      <c r="AO270" s="132"/>
      <c r="AP270" s="132"/>
      <c r="AT270" s="145">
        <v>12</v>
      </c>
      <c r="AU270" s="1">
        <v>12</v>
      </c>
      <c r="AV270" s="1">
        <f t="shared" si="124"/>
        <v>19.463200000000001</v>
      </c>
      <c r="BE270" s="132"/>
      <c r="BF270" s="132"/>
      <c r="BH270" s="146" t="s">
        <v>33</v>
      </c>
      <c r="BI270" s="1">
        <v>12</v>
      </c>
      <c r="BJ270" s="1">
        <f t="shared" si="125"/>
        <v>20.832100000000001</v>
      </c>
    </row>
    <row r="271" spans="2:62" x14ac:dyDescent="0.25">
      <c r="B271" s="1">
        <v>11</v>
      </c>
      <c r="C271" s="1">
        <f t="shared" si="121"/>
        <v>17.059552666666665</v>
      </c>
      <c r="D271" s="3">
        <v>16.973806</v>
      </c>
      <c r="E271" s="3">
        <v>16.890446000000001</v>
      </c>
      <c r="F271" s="3">
        <v>17.314406000000002</v>
      </c>
      <c r="O271" s="132"/>
      <c r="P271" s="132"/>
      <c r="Q271" s="132"/>
      <c r="R271" s="1">
        <v>11</v>
      </c>
      <c r="S271" s="1">
        <f t="shared" si="126"/>
        <v>17.870899999999999</v>
      </c>
      <c r="W271" s="143" t="s">
        <v>25</v>
      </c>
      <c r="X271" s="1">
        <v>11</v>
      </c>
      <c r="Y271" s="1">
        <f t="shared" si="122"/>
        <v>17.4681</v>
      </c>
      <c r="AH271" s="132"/>
      <c r="AK271" s="144" t="s">
        <v>25</v>
      </c>
      <c r="AL271" s="1">
        <v>11</v>
      </c>
      <c r="AM271" s="1">
        <f t="shared" si="123"/>
        <v>18.3065</v>
      </c>
      <c r="AO271" s="132"/>
      <c r="AP271" s="132"/>
      <c r="AT271" s="145">
        <v>12</v>
      </c>
      <c r="AU271" s="1">
        <v>11</v>
      </c>
      <c r="AV271" s="1">
        <f t="shared" si="124"/>
        <v>18.046800000000001</v>
      </c>
      <c r="BE271" s="132"/>
      <c r="BF271" s="132"/>
      <c r="BH271" s="146" t="s">
        <v>33</v>
      </c>
      <c r="BI271" s="1">
        <v>11</v>
      </c>
      <c r="BJ271" s="1">
        <f t="shared" si="125"/>
        <v>18.878900000000002</v>
      </c>
    </row>
    <row r="272" spans="2:62" x14ac:dyDescent="0.25">
      <c r="B272" s="1">
        <v>10</v>
      </c>
      <c r="C272" s="1">
        <f t="shared" si="121"/>
        <v>15.610906333333332</v>
      </c>
      <c r="D272" s="3">
        <v>15.502136</v>
      </c>
      <c r="E272" s="3">
        <v>15.460748000000001</v>
      </c>
      <c r="F272" s="3">
        <v>15.869835</v>
      </c>
      <c r="O272" s="132"/>
      <c r="P272" s="132"/>
      <c r="Q272" s="132"/>
      <c r="R272" s="1">
        <v>10</v>
      </c>
      <c r="S272" s="1">
        <f t="shared" si="126"/>
        <v>16.1601</v>
      </c>
      <c r="W272" s="143" t="s">
        <v>25</v>
      </c>
      <c r="X272" s="1">
        <v>10</v>
      </c>
      <c r="Y272" s="1">
        <f t="shared" si="122"/>
        <v>16.101399999999998</v>
      </c>
      <c r="AH272" s="132"/>
      <c r="AK272" s="144" t="s">
        <v>25</v>
      </c>
      <c r="AL272" s="1">
        <v>10</v>
      </c>
      <c r="AM272" s="1">
        <f t="shared" si="123"/>
        <v>16.489899999999999</v>
      </c>
      <c r="AO272" s="132"/>
      <c r="AP272" s="132"/>
      <c r="AT272" s="145">
        <v>12</v>
      </c>
      <c r="AU272" s="1">
        <v>10</v>
      </c>
      <c r="AV272" s="1">
        <f t="shared" si="124"/>
        <v>16.728400000000001</v>
      </c>
      <c r="BE272" s="132"/>
      <c r="BF272" s="132"/>
      <c r="BH272" s="146" t="s">
        <v>33</v>
      </c>
      <c r="BI272" s="1">
        <v>10</v>
      </c>
      <c r="BJ272" s="1">
        <f t="shared" si="125"/>
        <v>17.108699999999999</v>
      </c>
    </row>
    <row r="273" spans="2:62" x14ac:dyDescent="0.25">
      <c r="B273" s="1">
        <v>9</v>
      </c>
      <c r="C273" s="1">
        <f t="shared" si="121"/>
        <v>14.561148333333334</v>
      </c>
      <c r="D273" s="3">
        <v>14.410496</v>
      </c>
      <c r="E273" s="3">
        <v>14.422356000000001</v>
      </c>
      <c r="F273" s="3">
        <v>14.850593</v>
      </c>
      <c r="O273" s="132"/>
      <c r="P273" s="132"/>
      <c r="Q273" s="132"/>
      <c r="R273" s="1">
        <v>9</v>
      </c>
      <c r="S273" s="1">
        <f t="shared" si="126"/>
        <v>14.630500000000001</v>
      </c>
      <c r="W273" s="143" t="s">
        <v>25</v>
      </c>
      <c r="X273" s="1">
        <v>9</v>
      </c>
      <c r="Y273" s="1">
        <f t="shared" si="122"/>
        <v>14.845300000000002</v>
      </c>
      <c r="AH273" s="132"/>
      <c r="AK273" s="144" t="s">
        <v>25</v>
      </c>
      <c r="AL273" s="1">
        <v>9</v>
      </c>
      <c r="AM273" s="1">
        <f t="shared" si="123"/>
        <v>14.867699999999999</v>
      </c>
      <c r="AO273" s="132"/>
      <c r="AP273" s="132"/>
      <c r="AT273" s="145">
        <v>12</v>
      </c>
      <c r="AU273" s="1">
        <v>9</v>
      </c>
      <c r="AV273" s="1">
        <f t="shared" si="124"/>
        <v>15.508000000000001</v>
      </c>
      <c r="BE273" s="132"/>
      <c r="BF273" s="132"/>
      <c r="BH273" s="146" t="s">
        <v>33</v>
      </c>
      <c r="BI273" s="1">
        <v>9</v>
      </c>
      <c r="BJ273" s="1">
        <f t="shared" si="125"/>
        <v>15.5215</v>
      </c>
    </row>
    <row r="274" spans="2:62" x14ac:dyDescent="0.25">
      <c r="B274" s="1">
        <v>8</v>
      </c>
      <c r="C274" s="1">
        <f t="shared" si="121"/>
        <v>13.655964333333332</v>
      </c>
      <c r="D274" s="3">
        <v>13.490043999999999</v>
      </c>
      <c r="E274" s="3">
        <v>13.534852000000001</v>
      </c>
      <c r="F274" s="3">
        <v>13.942997</v>
      </c>
      <c r="O274" s="132"/>
      <c r="P274" s="132"/>
      <c r="Q274" s="132"/>
      <c r="R274" s="1">
        <v>8</v>
      </c>
      <c r="S274" s="1">
        <f t="shared" si="126"/>
        <v>13.2821</v>
      </c>
      <c r="W274" s="143" t="s">
        <v>25</v>
      </c>
      <c r="X274" s="1">
        <v>8</v>
      </c>
      <c r="Y274" s="1">
        <f t="shared" si="122"/>
        <v>13.6998</v>
      </c>
      <c r="AH274" s="132"/>
      <c r="AK274" s="144" t="s">
        <v>25</v>
      </c>
      <c r="AL274" s="1">
        <v>8</v>
      </c>
      <c r="AM274" s="1">
        <f t="shared" si="123"/>
        <v>13.439899999999998</v>
      </c>
      <c r="AO274" s="132"/>
      <c r="AP274" s="132"/>
      <c r="AT274" s="145">
        <v>12</v>
      </c>
      <c r="AU274" s="1">
        <v>8</v>
      </c>
      <c r="AV274" s="1">
        <f t="shared" si="124"/>
        <v>14.3856</v>
      </c>
      <c r="BE274" s="132"/>
      <c r="BF274" s="132"/>
      <c r="BH274" s="146" t="s">
        <v>33</v>
      </c>
      <c r="BI274" s="1">
        <v>8</v>
      </c>
      <c r="BJ274" s="1">
        <f t="shared" si="125"/>
        <v>14.1173</v>
      </c>
    </row>
    <row r="275" spans="2:62" x14ac:dyDescent="0.25">
      <c r="B275" s="1">
        <v>7</v>
      </c>
      <c r="C275" s="1">
        <f t="shared" si="121"/>
        <v>12.605503666666669</v>
      </c>
      <c r="D275" s="3">
        <v>12.382485000000001</v>
      </c>
      <c r="E275" s="3">
        <v>12.550734</v>
      </c>
      <c r="F275" s="3">
        <v>12.883292000000001</v>
      </c>
      <c r="O275" s="132"/>
      <c r="P275" s="132"/>
      <c r="Q275" s="132"/>
      <c r="R275" s="1">
        <v>7</v>
      </c>
      <c r="S275" s="1">
        <f t="shared" si="126"/>
        <v>12.1149</v>
      </c>
      <c r="W275" s="143" t="s">
        <v>25</v>
      </c>
      <c r="X275" s="1">
        <v>7</v>
      </c>
      <c r="Y275" s="1">
        <f t="shared" si="122"/>
        <v>12.664899999999999</v>
      </c>
      <c r="AH275" s="132"/>
      <c r="AK275" s="144" t="s">
        <v>25</v>
      </c>
      <c r="AL275" s="1">
        <v>7</v>
      </c>
      <c r="AM275" s="1">
        <f t="shared" si="123"/>
        <v>12.206499999999998</v>
      </c>
      <c r="AO275" s="132"/>
      <c r="AP275" s="132"/>
      <c r="AT275" s="145">
        <v>12</v>
      </c>
      <c r="AU275" s="1">
        <v>7</v>
      </c>
      <c r="AV275" s="1">
        <f t="shared" si="124"/>
        <v>13.3612</v>
      </c>
      <c r="BE275" s="132"/>
      <c r="BF275" s="132"/>
      <c r="BH275" s="146" t="s">
        <v>33</v>
      </c>
      <c r="BI275" s="1">
        <v>7</v>
      </c>
      <c r="BJ275" s="1">
        <f t="shared" si="125"/>
        <v>12.896100000000001</v>
      </c>
    </row>
    <row r="276" spans="2:62" x14ac:dyDescent="0.25">
      <c r="B276" s="1">
        <v>6</v>
      </c>
      <c r="C276" s="1">
        <f t="shared" si="121"/>
        <v>11.706249</v>
      </c>
      <c r="D276" s="3">
        <v>11.446049</v>
      </c>
      <c r="E276" s="3">
        <v>11.702277</v>
      </c>
      <c r="F276" s="3">
        <v>11.970421</v>
      </c>
      <c r="O276" s="132"/>
      <c r="P276" s="132"/>
      <c r="Q276" s="132"/>
      <c r="R276" s="1">
        <v>6</v>
      </c>
      <c r="S276" s="1">
        <f t="shared" si="126"/>
        <v>11.128900000000002</v>
      </c>
      <c r="W276" s="143" t="s">
        <v>25</v>
      </c>
      <c r="X276" s="1">
        <v>6</v>
      </c>
      <c r="Y276" s="1">
        <f t="shared" si="122"/>
        <v>11.740600000000001</v>
      </c>
      <c r="AH276" s="132"/>
      <c r="AK276" s="144" t="s">
        <v>25</v>
      </c>
      <c r="AL276" s="1">
        <v>6</v>
      </c>
      <c r="AM276" s="1">
        <f t="shared" si="123"/>
        <v>11.167499999999999</v>
      </c>
      <c r="AO276" s="132"/>
      <c r="AP276" s="132"/>
      <c r="AT276" s="145">
        <v>12</v>
      </c>
      <c r="AU276" s="1">
        <v>6</v>
      </c>
      <c r="AV276" s="1">
        <f t="shared" si="124"/>
        <v>12.434799999999999</v>
      </c>
      <c r="BE276" s="132"/>
      <c r="BF276" s="132"/>
      <c r="BH276" s="146" t="s">
        <v>33</v>
      </c>
      <c r="BI276" s="1">
        <v>6</v>
      </c>
      <c r="BJ276" s="1">
        <f t="shared" si="125"/>
        <v>11.857900000000001</v>
      </c>
    </row>
    <row r="277" spans="2:62" x14ac:dyDescent="0.25">
      <c r="B277" s="1">
        <v>5</v>
      </c>
      <c r="C277" s="1">
        <f t="shared" si="121"/>
        <v>10.711290666666665</v>
      </c>
      <c r="D277" s="3">
        <v>10.361355</v>
      </c>
      <c r="E277" s="3">
        <v>10.761614</v>
      </c>
      <c r="F277" s="3">
        <v>11.010903000000001</v>
      </c>
      <c r="O277" s="132" t="s">
        <v>8</v>
      </c>
      <c r="P277" s="132">
        <v>9.5999999999999992E-3</v>
      </c>
      <c r="Q277" s="132" t="s">
        <v>14</v>
      </c>
      <c r="R277" s="1">
        <v>5</v>
      </c>
      <c r="S277" s="1">
        <f t="shared" si="126"/>
        <v>10.324100000000001</v>
      </c>
      <c r="W277" s="143" t="s">
        <v>25</v>
      </c>
      <c r="X277" s="1">
        <v>5</v>
      </c>
      <c r="Y277" s="1">
        <f t="shared" si="122"/>
        <v>10.9269</v>
      </c>
      <c r="AH277" s="132" t="s">
        <v>8</v>
      </c>
      <c r="AI277">
        <v>9.2999999999999992E-3</v>
      </c>
      <c r="AK277" s="144" t="s">
        <v>25</v>
      </c>
      <c r="AL277" s="1">
        <v>5</v>
      </c>
      <c r="AM277" s="1">
        <f t="shared" si="123"/>
        <v>10.322899999999999</v>
      </c>
      <c r="AO277" s="132" t="s">
        <v>8</v>
      </c>
      <c r="AP277" s="132">
        <v>9.5999999999999992E-3</v>
      </c>
      <c r="AT277" s="145">
        <v>12</v>
      </c>
      <c r="AU277" s="1">
        <v>5</v>
      </c>
      <c r="AV277" s="1">
        <f t="shared" si="124"/>
        <v>11.606400000000001</v>
      </c>
      <c r="BE277" s="132" t="s">
        <v>8</v>
      </c>
      <c r="BF277" s="132">
        <v>9.2999999999999992E-3</v>
      </c>
      <c r="BH277" s="146" t="s">
        <v>33</v>
      </c>
      <c r="BI277" s="1">
        <v>5</v>
      </c>
      <c r="BJ277" s="1">
        <f t="shared" si="125"/>
        <v>11.002700000000001</v>
      </c>
    </row>
    <row r="278" spans="2:62" x14ac:dyDescent="0.25">
      <c r="B278" s="1">
        <v>4</v>
      </c>
      <c r="C278" s="1">
        <f t="shared" si="121"/>
        <v>10.351469</v>
      </c>
      <c r="D278" s="3">
        <v>9.9865259999999996</v>
      </c>
      <c r="E278" s="3">
        <v>10.432214999999999</v>
      </c>
      <c r="F278" s="3">
        <v>10.635666000000001</v>
      </c>
      <c r="O278" s="132" t="s">
        <v>9</v>
      </c>
      <c r="P278" s="132">
        <v>0.34420000000000001</v>
      </c>
      <c r="Q278" s="132" t="s">
        <v>17</v>
      </c>
      <c r="R278" s="1">
        <v>4</v>
      </c>
      <c r="S278" s="1">
        <f t="shared" si="126"/>
        <v>9.7004999999999999</v>
      </c>
      <c r="W278" s="143" t="s">
        <v>25</v>
      </c>
      <c r="X278" s="1">
        <v>4</v>
      </c>
      <c r="Y278" s="1">
        <f t="shared" si="122"/>
        <v>10.223800000000001</v>
      </c>
      <c r="AH278" s="132" t="s">
        <v>9</v>
      </c>
      <c r="AI278">
        <v>0.33650000000000002</v>
      </c>
      <c r="AK278" s="144" t="s">
        <v>25</v>
      </c>
      <c r="AL278" s="1">
        <v>4</v>
      </c>
      <c r="AM278" s="1">
        <f t="shared" si="123"/>
        <v>9.672699999999999</v>
      </c>
      <c r="AO278" s="132" t="s">
        <v>9</v>
      </c>
      <c r="AP278" s="132">
        <v>0.34420000000000001</v>
      </c>
      <c r="AT278" s="145">
        <v>12</v>
      </c>
      <c r="AU278" s="1">
        <v>4</v>
      </c>
      <c r="AV278" s="1">
        <f t="shared" si="124"/>
        <v>10.875999999999999</v>
      </c>
      <c r="BE278" s="132" t="s">
        <v>9</v>
      </c>
      <c r="BF278" s="132">
        <v>0.35649999999999998</v>
      </c>
      <c r="BH278" s="146" t="s">
        <v>33</v>
      </c>
      <c r="BI278" s="1">
        <v>4</v>
      </c>
      <c r="BJ278" s="1">
        <f t="shared" si="125"/>
        <v>10.330500000000001</v>
      </c>
    </row>
    <row r="279" spans="2:62" x14ac:dyDescent="0.25">
      <c r="B279" s="1">
        <v>3</v>
      </c>
      <c r="C279" s="1">
        <f t="shared" si="121"/>
        <v>9.5843013333333342</v>
      </c>
      <c r="D279" s="3">
        <v>9.1927590000000006</v>
      </c>
      <c r="E279" s="3">
        <v>9.6828400000000006</v>
      </c>
      <c r="F279" s="3">
        <v>9.8773049999999998</v>
      </c>
      <c r="O279" s="132" t="s">
        <v>10</v>
      </c>
      <c r="P279" s="132">
        <v>8.3124000000000002</v>
      </c>
      <c r="Q279" s="132" t="s">
        <v>18</v>
      </c>
      <c r="R279" s="1">
        <v>3</v>
      </c>
      <c r="S279" s="1">
        <f t="shared" si="126"/>
        <v>9.2581000000000007</v>
      </c>
      <c r="W279" s="143" t="s">
        <v>25</v>
      </c>
      <c r="X279" s="1">
        <v>3</v>
      </c>
      <c r="Y279" s="1">
        <f t="shared" si="122"/>
        <v>9.6312999999999995</v>
      </c>
      <c r="AH279" s="132" t="s">
        <v>10</v>
      </c>
      <c r="AI279">
        <v>8.2980999999999998</v>
      </c>
      <c r="AK279" s="144" t="s">
        <v>25</v>
      </c>
      <c r="AL279" s="1">
        <v>3</v>
      </c>
      <c r="AM279" s="1">
        <f t="shared" si="123"/>
        <v>9.216899999999999</v>
      </c>
      <c r="AO279" s="132" t="s">
        <v>10</v>
      </c>
      <c r="AP279" s="132">
        <v>8.3124000000000002</v>
      </c>
      <c r="AT279" s="145">
        <v>12</v>
      </c>
      <c r="AU279" s="1">
        <v>3</v>
      </c>
      <c r="AV279" s="1">
        <f t="shared" si="124"/>
        <v>10.243600000000001</v>
      </c>
      <c r="BE279" s="132" t="s">
        <v>10</v>
      </c>
      <c r="BF279" s="132">
        <v>8.7987000000000002</v>
      </c>
      <c r="BH279" s="146" t="s">
        <v>33</v>
      </c>
      <c r="BI279" s="1">
        <v>3</v>
      </c>
      <c r="BJ279" s="1">
        <f t="shared" si="125"/>
        <v>9.8413000000000004</v>
      </c>
    </row>
    <row r="280" spans="2:62" x14ac:dyDescent="0.25">
      <c r="B280" s="1">
        <v>2</v>
      </c>
      <c r="C280" s="1">
        <f t="shared" si="121"/>
        <v>9.1922456666666665</v>
      </c>
      <c r="D280" s="3">
        <v>8.7821999999999996</v>
      </c>
      <c r="E280" s="3">
        <v>9.3068449999999991</v>
      </c>
      <c r="F280" s="3">
        <v>9.4876919999999991</v>
      </c>
      <c r="O280" s="132"/>
      <c r="P280" s="132"/>
      <c r="Q280" s="132"/>
      <c r="R280" s="1">
        <v>2</v>
      </c>
      <c r="S280" s="1">
        <f t="shared" si="126"/>
        <v>8.9969000000000001</v>
      </c>
      <c r="W280" s="143" t="s">
        <v>25</v>
      </c>
      <c r="X280" s="1">
        <v>2</v>
      </c>
      <c r="Y280" s="1">
        <f t="shared" si="122"/>
        <v>9.1494</v>
      </c>
      <c r="AK280" s="144" t="s">
        <v>25</v>
      </c>
      <c r="AL280" s="1">
        <v>2</v>
      </c>
      <c r="AM280" s="1">
        <f t="shared" si="123"/>
        <v>8.9554999999999989</v>
      </c>
      <c r="AT280" s="145">
        <v>12</v>
      </c>
      <c r="AU280" s="1">
        <v>2</v>
      </c>
      <c r="AV280" s="1">
        <f t="shared" si="124"/>
        <v>9.7091999999999992</v>
      </c>
      <c r="BH280" s="146" t="s">
        <v>33</v>
      </c>
      <c r="BI280" s="1">
        <v>2</v>
      </c>
      <c r="BJ280" s="1">
        <f t="shared" si="125"/>
        <v>9.5350999999999999</v>
      </c>
    </row>
    <row r="281" spans="2:62" x14ac:dyDescent="0.25">
      <c r="B281" s="1">
        <v>1</v>
      </c>
      <c r="C281" s="1">
        <f t="shared" si="121"/>
        <v>8.790974666666667</v>
      </c>
      <c r="D281" s="3">
        <v>8.3715569999999992</v>
      </c>
      <c r="E281" s="3">
        <v>8.9310899999999993</v>
      </c>
      <c r="F281" s="3">
        <v>9.0702770000000008</v>
      </c>
      <c r="O281" s="132"/>
      <c r="P281" s="132"/>
      <c r="Q281" s="132"/>
      <c r="R281" s="1">
        <v>1</v>
      </c>
      <c r="S281" s="1">
        <f t="shared" si="126"/>
        <v>8.9169</v>
      </c>
      <c r="W281" s="143" t="s">
        <v>25</v>
      </c>
      <c r="X281" s="1">
        <v>1</v>
      </c>
      <c r="Y281" s="1">
        <f t="shared" si="122"/>
        <v>8.7781000000000002</v>
      </c>
      <c r="AK281" s="144" t="s">
        <v>25</v>
      </c>
      <c r="AL281" s="1">
        <v>1</v>
      </c>
      <c r="AM281" s="1">
        <f t="shared" si="123"/>
        <v>8.8884999999999987</v>
      </c>
      <c r="AT281" s="145">
        <v>12</v>
      </c>
      <c r="AU281" s="1">
        <v>1</v>
      </c>
      <c r="AV281" s="1">
        <f t="shared" si="124"/>
        <v>9.2728000000000002</v>
      </c>
      <c r="BH281" s="146" t="s">
        <v>33</v>
      </c>
      <c r="BI281" s="1">
        <v>1</v>
      </c>
      <c r="BJ281" s="1">
        <f t="shared" si="125"/>
        <v>9.411900000000001</v>
      </c>
    </row>
    <row r="282" spans="2:62" x14ac:dyDescent="0.25">
      <c r="B282" s="1">
        <v>0</v>
      </c>
      <c r="C282" s="1">
        <f t="shared" si="121"/>
        <v>8.3881023333333342</v>
      </c>
      <c r="D282" s="3">
        <v>7.9858539999999998</v>
      </c>
      <c r="E282" s="3">
        <v>8.5269290000000009</v>
      </c>
      <c r="F282" s="3">
        <v>8.6515240000000002</v>
      </c>
      <c r="O282" s="132"/>
      <c r="P282" s="132"/>
      <c r="Q282" s="132"/>
      <c r="R282" s="1">
        <v>0</v>
      </c>
      <c r="S282" s="1">
        <f>((R282*R282)*(P$277+$Q$409))+(R282*(P$278+$S$409))+(P$279+$U$409)</f>
        <v>8.2545999999999999</v>
      </c>
      <c r="W282" s="143" t="s">
        <v>25</v>
      </c>
      <c r="X282" s="1">
        <v>0</v>
      </c>
      <c r="Y282" s="1">
        <f>((X282*X282)*($P$277+$E$458))+(X282*($P$278+$E$459))+($P$279+$E$460)</f>
        <v>8.2981000000000016</v>
      </c>
      <c r="AK282" s="144" t="s">
        <v>25</v>
      </c>
      <c r="AL282" s="1">
        <v>0</v>
      </c>
      <c r="AM282" s="1">
        <f>((AL282*AL282)*($AI$277+$AC$25))+(AL282*($AI$278+$AE$25))+($AI$279+$AG$25)</f>
        <v>8.2402999999999995</v>
      </c>
      <c r="AT282" s="145">
        <v>12</v>
      </c>
      <c r="AU282" s="1">
        <v>0</v>
      </c>
      <c r="AV282" s="1">
        <f>((AU282*AU282)*($AP$277+$AR$23))+(AU282*($AP$278+$AR$24))+($AP$279+$AR$25)</f>
        <v>8.7987000000000002</v>
      </c>
      <c r="BH282" s="146" t="s">
        <v>33</v>
      </c>
      <c r="BI282" s="1">
        <v>0</v>
      </c>
      <c r="BJ282" s="1">
        <f>((BI282*BI282)*($BF$277+$BD$23))+(BI282*($BF$278+$BD$24))+($BF$279+$BD$25)</f>
        <v>8.7408999999999999</v>
      </c>
    </row>
    <row r="283" spans="2:62" x14ac:dyDescent="0.25">
      <c r="B283" s="1">
        <v>-5</v>
      </c>
      <c r="C283" s="1">
        <f t="shared" si="121"/>
        <v>6.6775073333333337</v>
      </c>
      <c r="D283" s="3">
        <v>6.2496130000000001</v>
      </c>
      <c r="E283" s="3">
        <v>6.866536</v>
      </c>
      <c r="F283" s="3">
        <v>6.9163730000000001</v>
      </c>
      <c r="O283" s="132"/>
      <c r="P283" s="132"/>
      <c r="Q283" s="132"/>
      <c r="R283" s="1">
        <v>-5</v>
      </c>
      <c r="S283" s="1">
        <f t="shared" ref="S283:S286" si="127">((R283*R283)*(P$277+$Q$409))+(R283*(P$278+$S$409))+(P$279+$U$409)</f>
        <v>6.7670999999999992</v>
      </c>
      <c r="W283" s="143" t="s">
        <v>25</v>
      </c>
      <c r="X283" s="1">
        <v>-5</v>
      </c>
      <c r="Y283" s="1">
        <f t="shared" ref="Y283:Y286" si="128">((X283*X283)*($P$277+$E$458))+(X283*($P$278+$E$459))+($P$279+$E$460)</f>
        <v>6.8481000000000014</v>
      </c>
      <c r="AK283" s="144" t="s">
        <v>25</v>
      </c>
      <c r="AL283" s="1">
        <v>-5</v>
      </c>
      <c r="AM283" s="1">
        <f t="shared" ref="AM283:AM286" si="129">((AL283*AL283)*($AI$277+$AC$25))+(AL283*($AI$278+$AE$25))+($AI$279+$AG$25)</f>
        <v>6.7837999999999994</v>
      </c>
      <c r="AT283" s="145">
        <v>12</v>
      </c>
      <c r="AU283" s="1">
        <v>-5</v>
      </c>
      <c r="AV283" s="1">
        <f t="shared" ref="AV283:AV286" si="130">((AU283*AU283)*($AP$277+$AR$23))+(AU283*($AP$278+$AR$24))+($AP$279+$AR$25)</f>
        <v>7.2487000000000004</v>
      </c>
      <c r="BH283" s="146" t="s">
        <v>33</v>
      </c>
      <c r="BI283" s="1">
        <v>-5</v>
      </c>
      <c r="BJ283" s="1">
        <f t="shared" ref="BJ283:BJ286" si="131">((BI283*BI283)*($BF$277+$BD$23))+(BI283*($BF$278+$BD$24))+($BF$279+$BD$25)</f>
        <v>7.1844000000000001</v>
      </c>
    </row>
    <row r="284" spans="2:62" x14ac:dyDescent="0.25">
      <c r="B284" s="1">
        <v>-10</v>
      </c>
      <c r="C284" s="1">
        <f t="shared" si="121"/>
        <v>5.8392936666666673</v>
      </c>
      <c r="D284" s="3">
        <v>5.4618950000000002</v>
      </c>
      <c r="E284" s="3">
        <v>6.0098240000000001</v>
      </c>
      <c r="F284" s="3">
        <v>6.0461619999999998</v>
      </c>
      <c r="O284" s="132"/>
      <c r="P284" s="132"/>
      <c r="Q284" s="132"/>
      <c r="R284" s="1">
        <v>-10</v>
      </c>
      <c r="S284" s="1">
        <f t="shared" si="127"/>
        <v>5.7695999999999996</v>
      </c>
      <c r="W284" s="143" t="s">
        <v>25</v>
      </c>
      <c r="X284" s="1">
        <v>-10</v>
      </c>
      <c r="Y284" s="1">
        <f t="shared" si="128"/>
        <v>5.8631000000000011</v>
      </c>
      <c r="AK284" s="144" t="s">
        <v>25</v>
      </c>
      <c r="AL284" s="1">
        <v>-10</v>
      </c>
      <c r="AM284" s="1">
        <f t="shared" si="129"/>
        <v>5.8022999999999989</v>
      </c>
      <c r="AT284" s="145">
        <v>12</v>
      </c>
      <c r="AU284" s="1">
        <v>-10</v>
      </c>
      <c r="AV284" s="1">
        <f t="shared" si="130"/>
        <v>6.1637000000000004</v>
      </c>
      <c r="BH284" s="146" t="s">
        <v>33</v>
      </c>
      <c r="BI284" s="1">
        <v>-10</v>
      </c>
      <c r="BJ284" s="1">
        <f t="shared" si="131"/>
        <v>6.1029</v>
      </c>
    </row>
    <row r="285" spans="2:62" x14ac:dyDescent="0.25">
      <c r="B285" s="1">
        <v>-15</v>
      </c>
      <c r="C285" s="1">
        <f t="shared" si="121"/>
        <v>5.4544250000000005</v>
      </c>
      <c r="D285" s="3">
        <v>5.1322210000000004</v>
      </c>
      <c r="E285" s="3">
        <v>5.6046709999999997</v>
      </c>
      <c r="F285" s="3">
        <v>5.6263829999999997</v>
      </c>
      <c r="O285" s="132"/>
      <c r="P285" s="132"/>
      <c r="Q285" s="132"/>
      <c r="R285" s="1">
        <v>-15</v>
      </c>
      <c r="S285" s="1">
        <f t="shared" si="127"/>
        <v>5.2620999999999993</v>
      </c>
      <c r="W285" s="143" t="s">
        <v>25</v>
      </c>
      <c r="X285" s="1">
        <v>-15</v>
      </c>
      <c r="Y285" s="1">
        <f t="shared" si="128"/>
        <v>5.3431000000000015</v>
      </c>
      <c r="AK285" s="144" t="s">
        <v>25</v>
      </c>
      <c r="AL285" s="1">
        <v>-15</v>
      </c>
      <c r="AM285" s="1">
        <f t="shared" si="129"/>
        <v>5.2957999999999981</v>
      </c>
      <c r="AT285" s="145">
        <v>12</v>
      </c>
      <c r="AU285" s="1">
        <v>-15</v>
      </c>
      <c r="AV285" s="1">
        <f t="shared" si="130"/>
        <v>5.5436999999999994</v>
      </c>
      <c r="BH285" s="146" t="s">
        <v>33</v>
      </c>
      <c r="BI285" s="1">
        <v>-15</v>
      </c>
      <c r="BJ285" s="1">
        <f t="shared" si="131"/>
        <v>5.4963999999999995</v>
      </c>
    </row>
    <row r="286" spans="2:62" x14ac:dyDescent="0.25">
      <c r="B286" s="1">
        <v>-20</v>
      </c>
      <c r="C286" s="1">
        <f t="shared" si="121"/>
        <v>5.1986546666666662</v>
      </c>
      <c r="D286" s="3">
        <v>5.1325750000000001</v>
      </c>
      <c r="E286" s="3">
        <v>5.2225630000000001</v>
      </c>
      <c r="F286" s="3">
        <v>5.2408260000000002</v>
      </c>
      <c r="O286" s="132"/>
      <c r="P286" s="132"/>
      <c r="Q286" s="132"/>
      <c r="R286" s="1">
        <v>-20</v>
      </c>
      <c r="S286" s="1">
        <f t="shared" si="127"/>
        <v>5.2445999999999993</v>
      </c>
      <c r="W286" s="143" t="s">
        <v>25</v>
      </c>
      <c r="X286" s="1">
        <v>-20</v>
      </c>
      <c r="Y286" s="1">
        <f t="shared" si="128"/>
        <v>5.2881000000000009</v>
      </c>
      <c r="AK286" s="144" t="s">
        <v>25</v>
      </c>
      <c r="AL286" s="1">
        <v>-20</v>
      </c>
      <c r="AM286" s="1">
        <f t="shared" si="129"/>
        <v>5.2642999999999986</v>
      </c>
      <c r="AT286" s="145">
        <v>12</v>
      </c>
      <c r="AU286" s="1">
        <v>-20</v>
      </c>
      <c r="AV286" s="1">
        <f t="shared" si="130"/>
        <v>5.3887</v>
      </c>
      <c r="BH286" s="146" t="s">
        <v>33</v>
      </c>
      <c r="BI286" s="1">
        <v>-20</v>
      </c>
      <c r="BJ286" s="1">
        <f t="shared" si="131"/>
        <v>5.3648999999999996</v>
      </c>
    </row>
    <row r="290" spans="2:62" x14ac:dyDescent="0.25">
      <c r="B290" s="26" t="s">
        <v>0</v>
      </c>
      <c r="C290" s="26">
        <v>3.2</v>
      </c>
      <c r="D290" s="26"/>
      <c r="E290" s="26"/>
      <c r="F290" s="26"/>
      <c r="O290" s="132"/>
      <c r="P290" s="132"/>
      <c r="Q290" s="132"/>
      <c r="R290" s="132" t="s">
        <v>0</v>
      </c>
      <c r="S290" s="132">
        <v>3.2</v>
      </c>
      <c r="W290" s="132"/>
      <c r="X290" s="132" t="s">
        <v>0</v>
      </c>
      <c r="Y290" s="132">
        <v>3.2</v>
      </c>
      <c r="AK290" s="132"/>
      <c r="AL290" s="132" t="s">
        <v>0</v>
      </c>
      <c r="AM290" s="132">
        <v>3.2</v>
      </c>
      <c r="AT290" s="132"/>
      <c r="AU290" s="132" t="s">
        <v>0</v>
      </c>
      <c r="AV290" s="132">
        <v>3.2</v>
      </c>
      <c r="BH290" s="132"/>
      <c r="BI290" s="132" t="s">
        <v>0</v>
      </c>
      <c r="BJ290" s="132">
        <v>3.2</v>
      </c>
    </row>
    <row r="291" spans="2:62" x14ac:dyDescent="0.25">
      <c r="B291" s="1" t="s">
        <v>4</v>
      </c>
      <c r="C291" s="1" t="s">
        <v>5</v>
      </c>
      <c r="D291" s="1">
        <v>1</v>
      </c>
      <c r="E291" s="1">
        <v>2</v>
      </c>
      <c r="F291" s="1">
        <v>3</v>
      </c>
      <c r="O291" s="132" t="s">
        <v>8</v>
      </c>
      <c r="P291" s="132">
        <v>4.58E-2</v>
      </c>
      <c r="Q291" s="132" t="s">
        <v>13</v>
      </c>
      <c r="R291" s="1" t="s">
        <v>4</v>
      </c>
      <c r="S291" s="1" t="s">
        <v>5</v>
      </c>
      <c r="W291" s="143" t="s">
        <v>26</v>
      </c>
      <c r="X291" s="1" t="s">
        <v>4</v>
      </c>
      <c r="Y291" s="1" t="s">
        <v>5</v>
      </c>
      <c r="AH291" s="132" t="s">
        <v>8</v>
      </c>
      <c r="AI291">
        <v>5.2400000000000002E-2</v>
      </c>
      <c r="AK291" s="144" t="s">
        <v>29</v>
      </c>
      <c r="AL291" s="1" t="s">
        <v>4</v>
      </c>
      <c r="AM291" s="1" t="s">
        <v>5</v>
      </c>
      <c r="AO291" s="132" t="s">
        <v>8</v>
      </c>
      <c r="AP291" s="132">
        <v>4.58E-2</v>
      </c>
      <c r="AT291" s="145" t="s">
        <v>30</v>
      </c>
      <c r="AU291" s="1" t="s">
        <v>4</v>
      </c>
      <c r="AV291" s="1" t="s">
        <v>5</v>
      </c>
      <c r="BE291" s="132" t="s">
        <v>8</v>
      </c>
      <c r="BF291" s="132">
        <v>4.6699999999999998E-2</v>
      </c>
      <c r="BH291" s="146" t="s">
        <v>32</v>
      </c>
      <c r="BI291" s="1" t="s">
        <v>4</v>
      </c>
      <c r="BJ291" s="1" t="s">
        <v>5</v>
      </c>
    </row>
    <row r="292" spans="2:62" x14ac:dyDescent="0.25">
      <c r="B292" s="1">
        <v>14</v>
      </c>
      <c r="C292" s="1">
        <f>AVERAGE(E292,F292,D292)</f>
        <v>20.407627000000002</v>
      </c>
      <c r="D292" s="3">
        <v>20.251251</v>
      </c>
      <c r="E292" s="3">
        <v>20.187455</v>
      </c>
      <c r="F292" s="3">
        <v>20.784175000000001</v>
      </c>
      <c r="O292" s="132" t="s">
        <v>9</v>
      </c>
      <c r="P292" s="132">
        <v>0.25</v>
      </c>
      <c r="Q292" s="132" t="s">
        <v>15</v>
      </c>
      <c r="R292" s="1">
        <v>14</v>
      </c>
      <c r="S292" s="1">
        <f>((R292*R292)*(P$291+$Q$408))+(R292*(P$292+$S$408))+(P$293+$U$408)</f>
        <v>23.305499999999999</v>
      </c>
      <c r="W292" s="143" t="s">
        <v>25</v>
      </c>
      <c r="X292" s="1">
        <v>14</v>
      </c>
      <c r="Y292" s="1">
        <f>((X292*X292)*($P$291+$C$458))+(X292*($P$292+$C$459))+($P$293+$C$460)</f>
        <v>21.446800000000003</v>
      </c>
      <c r="AH292" s="132" t="s">
        <v>9</v>
      </c>
      <c r="AI292">
        <v>0.21709999999999999</v>
      </c>
      <c r="AK292" s="144" t="s">
        <v>25</v>
      </c>
      <c r="AL292" s="1">
        <v>14</v>
      </c>
      <c r="AM292" s="1">
        <f>((AL292*AL292)*($AI$291+$AC$24))+(AL292*($AI$292+$AE$24))+($AI$293+$AG$24)</f>
        <v>24.136399999999998</v>
      </c>
      <c r="AO292" s="132" t="s">
        <v>9</v>
      </c>
      <c r="AP292" s="132">
        <v>0.25</v>
      </c>
      <c r="AT292" s="145">
        <v>12</v>
      </c>
      <c r="AU292" s="1">
        <v>14</v>
      </c>
      <c r="AV292" s="1">
        <f>((AU292*AU292)*($AP$291+$AP$23))+(AU292*($AP$292+$AP$24))+($AP$293+$AP$25)</f>
        <v>21.805</v>
      </c>
      <c r="BE292" s="132" t="s">
        <v>9</v>
      </c>
      <c r="BF292" s="132">
        <v>0.29039999999999999</v>
      </c>
      <c r="BH292" s="146" t="s">
        <v>33</v>
      </c>
      <c r="BI292" s="1">
        <v>14</v>
      </c>
      <c r="BJ292" s="1">
        <f>((BI292*BI292)*($BF$291+$BB$23))+(BI292*($BF$292+$BB$24))+($BF$293+$BB$25)</f>
        <v>24.501300000000001</v>
      </c>
    </row>
    <row r="293" spans="2:62" x14ac:dyDescent="0.25">
      <c r="B293" s="1">
        <v>13</v>
      </c>
      <c r="C293" s="1">
        <f t="shared" ref="C293:C310" si="132">AVERAGE(E293,F293,D293)</f>
        <v>19.180538666666667</v>
      </c>
      <c r="D293" s="3">
        <v>19.059137</v>
      </c>
      <c r="E293" s="3">
        <v>19.107453</v>
      </c>
      <c r="F293" s="3">
        <v>19.375025999999998</v>
      </c>
      <c r="O293" s="132" t="s">
        <v>10</v>
      </c>
      <c r="P293" s="132">
        <v>8.1157000000000004</v>
      </c>
      <c r="Q293" s="132" t="s">
        <v>16</v>
      </c>
      <c r="R293" s="1">
        <v>13</v>
      </c>
      <c r="S293" s="1">
        <f t="shared" ref="S293:S305" si="133">((R293*R293)*(P$291+$Q$408))+(R293*(P$292+$S$408))+(P$293+$U$408)</f>
        <v>21.102499999999999</v>
      </c>
      <c r="W293" s="143" t="s">
        <v>25</v>
      </c>
      <c r="X293" s="1">
        <v>13</v>
      </c>
      <c r="Y293" s="1">
        <f t="shared" ref="Y293:Y305" si="134">((X293*X293)*($P$291+$C$458))+(X293*($P$292+$C$459))+($P$293+$C$460)</f>
        <v>19.799700000000001</v>
      </c>
      <c r="AH293" s="132" t="s">
        <v>10</v>
      </c>
      <c r="AI293">
        <v>8.1135999999999999</v>
      </c>
      <c r="AK293" s="144" t="s">
        <v>25</v>
      </c>
      <c r="AL293" s="1">
        <v>13</v>
      </c>
      <c r="AM293" s="1">
        <f t="shared" ref="AM293:AM305" si="135">((AL293*AL293)*($AI$291+$AC$24))+(AL293*($AI$292+$AE$24))+($AI$293+$AG$24)</f>
        <v>21.7881</v>
      </c>
      <c r="AO293" s="132" t="s">
        <v>10</v>
      </c>
      <c r="AP293" s="132">
        <v>8.1157000000000004</v>
      </c>
      <c r="AT293" s="145">
        <v>12</v>
      </c>
      <c r="AU293" s="1">
        <v>13</v>
      </c>
      <c r="AV293" s="1">
        <f t="shared" ref="AV293:AV305" si="136">((AU293*AU293)*($AP$291+$AP$23))+(AU293*($AP$292+$AP$24))+($AP$293+$AP$25)</f>
        <v>20.244</v>
      </c>
      <c r="BE293" s="132" t="s">
        <v>10</v>
      </c>
      <c r="BF293" s="132">
        <v>8.5694999999999997</v>
      </c>
      <c r="BH293" s="146" t="s">
        <v>33</v>
      </c>
      <c r="BI293" s="1">
        <v>13</v>
      </c>
      <c r="BJ293" s="1">
        <f t="shared" ref="BJ293:BJ305" si="137">((BI293*BI293)*($BF$291+$BB$23))+(BI293*($BF$292+$BB$24))+($BF$293+$BB$25)</f>
        <v>22.233600000000003</v>
      </c>
    </row>
    <row r="294" spans="2:62" x14ac:dyDescent="0.25">
      <c r="B294" s="1">
        <v>12</v>
      </c>
      <c r="C294" s="1">
        <f t="shared" si="132"/>
        <v>18.026276333333332</v>
      </c>
      <c r="D294" s="3">
        <v>17.839904000000001</v>
      </c>
      <c r="E294" s="3">
        <v>17.999860000000002</v>
      </c>
      <c r="F294" s="3">
        <v>18.239065</v>
      </c>
      <c r="O294" s="132"/>
      <c r="P294" s="132"/>
      <c r="Q294" s="132"/>
      <c r="R294" s="1">
        <v>12</v>
      </c>
      <c r="S294" s="1">
        <f t="shared" si="133"/>
        <v>19.078099999999999</v>
      </c>
      <c r="W294" s="143" t="s">
        <v>25</v>
      </c>
      <c r="X294" s="1">
        <v>12</v>
      </c>
      <c r="Y294" s="1">
        <f t="shared" si="134"/>
        <v>18.2606</v>
      </c>
      <c r="AH294" s="132"/>
      <c r="AK294" s="144" t="s">
        <v>25</v>
      </c>
      <c r="AL294" s="1">
        <v>12</v>
      </c>
      <c r="AM294" s="1">
        <f t="shared" si="135"/>
        <v>19.631599999999999</v>
      </c>
      <c r="AO294" s="132"/>
      <c r="AP294" s="132"/>
      <c r="AT294" s="145">
        <v>12</v>
      </c>
      <c r="AU294" s="1">
        <v>12</v>
      </c>
      <c r="AV294" s="1">
        <f t="shared" si="136"/>
        <v>18.778400000000001</v>
      </c>
      <c r="BE294" s="132"/>
      <c r="BF294" s="132"/>
      <c r="BH294" s="146" t="s">
        <v>33</v>
      </c>
      <c r="BI294" s="1">
        <v>12</v>
      </c>
      <c r="BJ294" s="1">
        <f t="shared" si="137"/>
        <v>20.146300000000004</v>
      </c>
    </row>
    <row r="295" spans="2:62" x14ac:dyDescent="0.25">
      <c r="B295" s="1">
        <v>11</v>
      </c>
      <c r="C295" s="1">
        <f t="shared" si="132"/>
        <v>16.399183666666669</v>
      </c>
      <c r="D295" s="3">
        <v>16.319759000000001</v>
      </c>
      <c r="E295" s="3">
        <v>16.242291000000002</v>
      </c>
      <c r="F295" s="3">
        <v>16.635501000000001</v>
      </c>
      <c r="O295" s="132"/>
      <c r="P295" s="132"/>
      <c r="Q295" s="132"/>
      <c r="R295" s="1">
        <v>11</v>
      </c>
      <c r="S295" s="1">
        <f t="shared" si="133"/>
        <v>17.232300000000002</v>
      </c>
      <c r="W295" s="143" t="s">
        <v>25</v>
      </c>
      <c r="X295" s="1">
        <v>11</v>
      </c>
      <c r="Y295" s="1">
        <f t="shared" si="134"/>
        <v>16.829500000000003</v>
      </c>
      <c r="AH295" s="132"/>
      <c r="AK295" s="144" t="s">
        <v>25</v>
      </c>
      <c r="AL295" s="1">
        <v>11</v>
      </c>
      <c r="AM295" s="1">
        <f t="shared" si="135"/>
        <v>17.666899999999998</v>
      </c>
      <c r="AO295" s="132"/>
      <c r="AP295" s="132"/>
      <c r="AT295" s="145">
        <v>12</v>
      </c>
      <c r="AU295" s="1">
        <v>11</v>
      </c>
      <c r="AV295" s="1">
        <f t="shared" si="136"/>
        <v>17.408200000000001</v>
      </c>
      <c r="BE295" s="132"/>
      <c r="BF295" s="132"/>
      <c r="BH295" s="146" t="s">
        <v>33</v>
      </c>
      <c r="BI295" s="1">
        <v>11</v>
      </c>
      <c r="BJ295" s="1">
        <f t="shared" si="137"/>
        <v>18.239400000000003</v>
      </c>
    </row>
    <row r="296" spans="2:62" x14ac:dyDescent="0.25">
      <c r="B296" s="1">
        <v>10</v>
      </c>
      <c r="C296" s="1">
        <f t="shared" si="132"/>
        <v>15.017227</v>
      </c>
      <c r="D296" s="3">
        <v>14.907439999999999</v>
      </c>
      <c r="E296" s="3">
        <v>14.885842999999999</v>
      </c>
      <c r="F296" s="3">
        <v>15.258398</v>
      </c>
      <c r="O296" s="132"/>
      <c r="P296" s="132"/>
      <c r="Q296" s="132"/>
      <c r="R296" s="1">
        <v>10</v>
      </c>
      <c r="S296" s="1">
        <f t="shared" si="133"/>
        <v>15.565100000000001</v>
      </c>
      <c r="W296" s="143" t="s">
        <v>25</v>
      </c>
      <c r="X296" s="1">
        <v>10</v>
      </c>
      <c r="Y296" s="1">
        <f t="shared" si="134"/>
        <v>15.506400000000001</v>
      </c>
      <c r="AH296" s="132"/>
      <c r="AK296" s="144" t="s">
        <v>25</v>
      </c>
      <c r="AL296" s="1">
        <v>10</v>
      </c>
      <c r="AM296" s="1">
        <f t="shared" si="135"/>
        <v>15.893999999999998</v>
      </c>
      <c r="AO296" s="132"/>
      <c r="AP296" s="132"/>
      <c r="AT296" s="145">
        <v>12</v>
      </c>
      <c r="AU296" s="1">
        <v>10</v>
      </c>
      <c r="AV296" s="1">
        <f t="shared" si="136"/>
        <v>16.133400000000002</v>
      </c>
      <c r="BE296" s="132"/>
      <c r="BF296" s="132"/>
      <c r="BH296" s="146" t="s">
        <v>33</v>
      </c>
      <c r="BI296" s="1">
        <v>10</v>
      </c>
      <c r="BJ296" s="1">
        <f t="shared" si="137"/>
        <v>16.512900000000002</v>
      </c>
    </row>
    <row r="297" spans="2:62" x14ac:dyDescent="0.25">
      <c r="B297" s="1">
        <v>9</v>
      </c>
      <c r="C297" s="1">
        <f t="shared" si="132"/>
        <v>14.006330666666665</v>
      </c>
      <c r="D297" s="3">
        <v>13.872685000000001</v>
      </c>
      <c r="E297" s="3">
        <v>13.873316000000001</v>
      </c>
      <c r="F297" s="3">
        <v>14.272990999999999</v>
      </c>
      <c r="O297" s="132"/>
      <c r="P297" s="132"/>
      <c r="Q297" s="132"/>
      <c r="R297" s="1">
        <v>9</v>
      </c>
      <c r="S297" s="1">
        <f t="shared" si="133"/>
        <v>14.076499999999999</v>
      </c>
      <c r="W297" s="143" t="s">
        <v>25</v>
      </c>
      <c r="X297" s="1">
        <v>9</v>
      </c>
      <c r="Y297" s="1">
        <f t="shared" si="134"/>
        <v>14.2913</v>
      </c>
      <c r="AH297" s="132"/>
      <c r="AK297" s="144" t="s">
        <v>25</v>
      </c>
      <c r="AL297" s="1">
        <v>9</v>
      </c>
      <c r="AM297" s="1">
        <f t="shared" si="135"/>
        <v>14.312899999999999</v>
      </c>
      <c r="AO297" s="132"/>
      <c r="AP297" s="132"/>
      <c r="AT297" s="145">
        <v>12</v>
      </c>
      <c r="AU297" s="1">
        <v>9</v>
      </c>
      <c r="AV297" s="1">
        <f t="shared" si="136"/>
        <v>14.954000000000001</v>
      </c>
      <c r="BE297" s="132"/>
      <c r="BF297" s="132"/>
      <c r="BH297" s="146" t="s">
        <v>33</v>
      </c>
      <c r="BI297" s="1">
        <v>9</v>
      </c>
      <c r="BJ297" s="1">
        <f t="shared" si="137"/>
        <v>14.966800000000001</v>
      </c>
    </row>
    <row r="298" spans="2:62" x14ac:dyDescent="0.25">
      <c r="B298" s="1">
        <v>8</v>
      </c>
      <c r="C298" s="1">
        <f t="shared" si="132"/>
        <v>13.145580333333333</v>
      </c>
      <c r="D298" s="3">
        <v>12.992457</v>
      </c>
      <c r="E298" s="3">
        <v>13.033507</v>
      </c>
      <c r="F298" s="3">
        <v>13.410777</v>
      </c>
      <c r="O298" s="132"/>
      <c r="P298" s="132"/>
      <c r="Q298" s="132"/>
      <c r="R298" s="1">
        <v>8</v>
      </c>
      <c r="S298" s="1">
        <f t="shared" si="133"/>
        <v>12.766500000000001</v>
      </c>
      <c r="W298" s="143" t="s">
        <v>25</v>
      </c>
      <c r="X298" s="1">
        <v>8</v>
      </c>
      <c r="Y298" s="1">
        <f t="shared" si="134"/>
        <v>13.184200000000001</v>
      </c>
      <c r="AH298" s="132"/>
      <c r="AK298" s="144" t="s">
        <v>25</v>
      </c>
      <c r="AL298" s="1">
        <v>8</v>
      </c>
      <c r="AM298" s="1">
        <f t="shared" si="135"/>
        <v>12.923599999999999</v>
      </c>
      <c r="AO298" s="132"/>
      <c r="AP298" s="132"/>
      <c r="AT298" s="145">
        <v>12</v>
      </c>
      <c r="AU298" s="1">
        <v>8</v>
      </c>
      <c r="AV298" s="1">
        <f t="shared" si="136"/>
        <v>13.870000000000001</v>
      </c>
      <c r="BE298" s="132"/>
      <c r="BF298" s="132"/>
      <c r="BH298" s="146" t="s">
        <v>33</v>
      </c>
      <c r="BI298" s="1">
        <v>8</v>
      </c>
      <c r="BJ298" s="1">
        <f t="shared" si="137"/>
        <v>13.601100000000001</v>
      </c>
    </row>
    <row r="299" spans="2:62" x14ac:dyDescent="0.25">
      <c r="B299" s="1">
        <v>7</v>
      </c>
      <c r="C299" s="1">
        <f t="shared" si="132"/>
        <v>12.141953000000001</v>
      </c>
      <c r="D299" s="3">
        <v>11.932067999999999</v>
      </c>
      <c r="E299" s="3">
        <v>12.090482</v>
      </c>
      <c r="F299" s="3">
        <v>12.403309</v>
      </c>
      <c r="O299" s="132"/>
      <c r="P299" s="132"/>
      <c r="Q299" s="132"/>
      <c r="R299" s="1">
        <v>7</v>
      </c>
      <c r="S299" s="1">
        <f t="shared" si="133"/>
        <v>11.635100000000001</v>
      </c>
      <c r="W299" s="143" t="s">
        <v>25</v>
      </c>
      <c r="X299" s="1">
        <v>7</v>
      </c>
      <c r="Y299" s="1">
        <f t="shared" si="134"/>
        <v>12.1851</v>
      </c>
      <c r="AH299" s="132"/>
      <c r="AK299" s="144" t="s">
        <v>25</v>
      </c>
      <c r="AL299" s="1">
        <v>7</v>
      </c>
      <c r="AM299" s="1">
        <f t="shared" si="135"/>
        <v>11.726099999999999</v>
      </c>
      <c r="AO299" s="132"/>
      <c r="AP299" s="132"/>
      <c r="AT299" s="145">
        <v>12</v>
      </c>
      <c r="AU299" s="1">
        <v>7</v>
      </c>
      <c r="AV299" s="1">
        <f t="shared" si="136"/>
        <v>12.881400000000001</v>
      </c>
      <c r="BE299" s="132"/>
      <c r="BF299" s="132"/>
      <c r="BH299" s="146" t="s">
        <v>33</v>
      </c>
      <c r="BI299" s="1">
        <v>7</v>
      </c>
      <c r="BJ299" s="1">
        <f t="shared" si="137"/>
        <v>12.415800000000001</v>
      </c>
    </row>
    <row r="300" spans="2:62" x14ac:dyDescent="0.25">
      <c r="B300" s="1">
        <v>6</v>
      </c>
      <c r="C300" s="1">
        <f t="shared" si="132"/>
        <v>11.268817333333333</v>
      </c>
      <c r="D300" s="3">
        <v>11.018246</v>
      </c>
      <c r="E300" s="3">
        <v>11.263733</v>
      </c>
      <c r="F300" s="3">
        <v>11.524473</v>
      </c>
      <c r="O300" s="132"/>
      <c r="P300" s="132"/>
      <c r="Q300" s="132"/>
      <c r="R300" s="1">
        <v>6</v>
      </c>
      <c r="S300" s="1">
        <f t="shared" si="133"/>
        <v>10.682300000000001</v>
      </c>
      <c r="W300" s="143" t="s">
        <v>25</v>
      </c>
      <c r="X300" s="1">
        <v>6</v>
      </c>
      <c r="Y300" s="1">
        <f t="shared" si="134"/>
        <v>11.294</v>
      </c>
      <c r="AH300" s="132"/>
      <c r="AK300" s="144" t="s">
        <v>25</v>
      </c>
      <c r="AL300" s="1">
        <v>6</v>
      </c>
      <c r="AM300" s="1">
        <f t="shared" si="135"/>
        <v>10.720399999999998</v>
      </c>
      <c r="AO300" s="132"/>
      <c r="AP300" s="132"/>
      <c r="AT300" s="145">
        <v>12</v>
      </c>
      <c r="AU300" s="1">
        <v>6</v>
      </c>
      <c r="AV300" s="1">
        <f t="shared" si="136"/>
        <v>11.988200000000001</v>
      </c>
      <c r="BE300" s="132"/>
      <c r="BF300" s="132"/>
      <c r="BH300" s="146" t="s">
        <v>33</v>
      </c>
      <c r="BI300" s="1">
        <v>6</v>
      </c>
      <c r="BJ300" s="1">
        <f t="shared" si="137"/>
        <v>11.4109</v>
      </c>
    </row>
    <row r="301" spans="2:62" x14ac:dyDescent="0.25">
      <c r="B301" s="1">
        <v>5</v>
      </c>
      <c r="C301" s="1">
        <f t="shared" si="132"/>
        <v>10.315300333333335</v>
      </c>
      <c r="D301" s="3">
        <v>9.9777740000000001</v>
      </c>
      <c r="E301" s="3">
        <v>10.373319</v>
      </c>
      <c r="F301" s="3">
        <v>10.594808</v>
      </c>
      <c r="O301" s="132" t="s">
        <v>8</v>
      </c>
      <c r="P301" s="132">
        <v>9.2999999999999992E-3</v>
      </c>
      <c r="Q301" s="132" t="s">
        <v>14</v>
      </c>
      <c r="R301" s="1">
        <v>5</v>
      </c>
      <c r="S301" s="1">
        <f t="shared" si="133"/>
        <v>9.908100000000001</v>
      </c>
      <c r="W301" s="143" t="s">
        <v>25</v>
      </c>
      <c r="X301" s="1">
        <v>5</v>
      </c>
      <c r="Y301" s="1">
        <f t="shared" si="134"/>
        <v>10.510900000000001</v>
      </c>
      <c r="AH301" s="132" t="s">
        <v>8</v>
      </c>
      <c r="AI301">
        <v>8.9999999999999993E-3</v>
      </c>
      <c r="AK301" s="144" t="s">
        <v>25</v>
      </c>
      <c r="AL301" s="1">
        <v>5</v>
      </c>
      <c r="AM301" s="1">
        <f t="shared" si="135"/>
        <v>9.9064999999999994</v>
      </c>
      <c r="AO301" s="132" t="s">
        <v>8</v>
      </c>
      <c r="AP301" s="132">
        <v>9.2999999999999992E-3</v>
      </c>
      <c r="AT301" s="145">
        <v>12</v>
      </c>
      <c r="AU301" s="1">
        <v>5</v>
      </c>
      <c r="AV301" s="1">
        <f t="shared" si="136"/>
        <v>11.1904</v>
      </c>
      <c r="BE301" s="132" t="s">
        <v>8</v>
      </c>
      <c r="BF301" s="132">
        <v>8.9999999999999993E-3</v>
      </c>
      <c r="BH301" s="146" t="s">
        <v>33</v>
      </c>
      <c r="BI301" s="1">
        <v>5</v>
      </c>
      <c r="BJ301" s="1">
        <f t="shared" si="137"/>
        <v>10.586399999999999</v>
      </c>
    </row>
    <row r="302" spans="2:62" x14ac:dyDescent="0.25">
      <c r="B302" s="1">
        <v>4</v>
      </c>
      <c r="C302" s="1">
        <f t="shared" si="132"/>
        <v>9.962673333333333</v>
      </c>
      <c r="D302" s="3">
        <v>9.6061519999999998</v>
      </c>
      <c r="E302" s="3">
        <v>10.052415999999999</v>
      </c>
      <c r="F302" s="3">
        <v>10.229452</v>
      </c>
      <c r="O302" s="132" t="s">
        <v>9</v>
      </c>
      <c r="P302" s="132">
        <v>0.33169999999999999</v>
      </c>
      <c r="Q302" s="132" t="s">
        <v>17</v>
      </c>
      <c r="R302" s="1">
        <v>4</v>
      </c>
      <c r="S302" s="1">
        <f t="shared" si="133"/>
        <v>9.3125</v>
      </c>
      <c r="W302" s="143" t="s">
        <v>25</v>
      </c>
      <c r="X302" s="1">
        <v>4</v>
      </c>
      <c r="Y302" s="1">
        <f t="shared" si="134"/>
        <v>9.8358000000000008</v>
      </c>
      <c r="AH302" s="132" t="s">
        <v>9</v>
      </c>
      <c r="AI302">
        <v>0.32400000000000001</v>
      </c>
      <c r="AK302" s="144" t="s">
        <v>25</v>
      </c>
      <c r="AL302" s="1">
        <v>4</v>
      </c>
      <c r="AM302" s="1">
        <f t="shared" si="135"/>
        <v>9.284399999999998</v>
      </c>
      <c r="AO302" s="132" t="s">
        <v>9</v>
      </c>
      <c r="AP302" s="132">
        <v>0.33169999999999999</v>
      </c>
      <c r="AT302" s="145">
        <v>12</v>
      </c>
      <c r="AU302" s="1">
        <v>4</v>
      </c>
      <c r="AV302" s="1">
        <f t="shared" si="136"/>
        <v>10.488</v>
      </c>
      <c r="BE302" s="132" t="s">
        <v>9</v>
      </c>
      <c r="BF302" s="132">
        <v>0.34399999999999997</v>
      </c>
      <c r="BH302" s="146" t="s">
        <v>33</v>
      </c>
      <c r="BI302" s="1">
        <v>4</v>
      </c>
      <c r="BJ302" s="1">
        <f t="shared" si="137"/>
        <v>9.9422999999999995</v>
      </c>
    </row>
    <row r="303" spans="2:62" x14ac:dyDescent="0.25">
      <c r="B303" s="1">
        <v>3</v>
      </c>
      <c r="C303" s="1">
        <f t="shared" si="132"/>
        <v>9.2278529999999996</v>
      </c>
      <c r="D303" s="3">
        <v>8.8535310000000003</v>
      </c>
      <c r="E303" s="3">
        <v>9.3318119999999993</v>
      </c>
      <c r="F303" s="3">
        <v>9.4982159999999993</v>
      </c>
      <c r="O303" s="132" t="s">
        <v>10</v>
      </c>
      <c r="P303" s="132">
        <v>8.0106999999999999</v>
      </c>
      <c r="Q303" s="132" t="s">
        <v>18</v>
      </c>
      <c r="R303" s="1">
        <v>3</v>
      </c>
      <c r="S303" s="1">
        <f t="shared" si="133"/>
        <v>8.8955000000000002</v>
      </c>
      <c r="W303" s="143" t="s">
        <v>25</v>
      </c>
      <c r="X303" s="1">
        <v>3</v>
      </c>
      <c r="Y303" s="1">
        <f t="shared" si="134"/>
        <v>9.2687000000000008</v>
      </c>
      <c r="AH303" s="132" t="s">
        <v>10</v>
      </c>
      <c r="AI303">
        <v>7.9964000000000004</v>
      </c>
      <c r="AK303" s="144" t="s">
        <v>25</v>
      </c>
      <c r="AL303" s="1">
        <v>3</v>
      </c>
      <c r="AM303" s="1">
        <f t="shared" si="135"/>
        <v>8.854099999999999</v>
      </c>
      <c r="AO303" s="132" t="s">
        <v>10</v>
      </c>
      <c r="AP303" s="132">
        <v>8.0106999999999999</v>
      </c>
      <c r="AT303" s="145">
        <v>12</v>
      </c>
      <c r="AU303" s="1">
        <v>3</v>
      </c>
      <c r="AV303" s="1">
        <f t="shared" si="136"/>
        <v>9.8810000000000002</v>
      </c>
      <c r="BE303" s="132" t="s">
        <v>10</v>
      </c>
      <c r="BF303" s="132">
        <v>8.4969999999999999</v>
      </c>
      <c r="BH303" s="146" t="s">
        <v>33</v>
      </c>
      <c r="BI303" s="1">
        <v>3</v>
      </c>
      <c r="BJ303" s="1">
        <f t="shared" si="137"/>
        <v>9.4786000000000001</v>
      </c>
    </row>
    <row r="304" spans="2:62" x14ac:dyDescent="0.25">
      <c r="B304" s="1">
        <v>2</v>
      </c>
      <c r="C304" s="1">
        <f t="shared" si="132"/>
        <v>8.8471680000000017</v>
      </c>
      <c r="D304" s="3">
        <v>8.4501080000000002</v>
      </c>
      <c r="E304" s="3">
        <v>8.9645360000000007</v>
      </c>
      <c r="F304" s="3">
        <v>9.1268600000000006</v>
      </c>
      <c r="O304" s="132"/>
      <c r="P304" s="132"/>
      <c r="Q304" s="132"/>
      <c r="R304" s="1">
        <v>2</v>
      </c>
      <c r="S304" s="1">
        <f t="shared" si="133"/>
        <v>8.6571000000000016</v>
      </c>
      <c r="W304" s="143" t="s">
        <v>25</v>
      </c>
      <c r="X304" s="1">
        <v>2</v>
      </c>
      <c r="Y304" s="1">
        <f t="shared" si="134"/>
        <v>8.8096000000000014</v>
      </c>
      <c r="AK304" s="144" t="s">
        <v>25</v>
      </c>
      <c r="AL304" s="1">
        <v>2</v>
      </c>
      <c r="AM304" s="1">
        <f t="shared" si="135"/>
        <v>8.6155999999999988</v>
      </c>
      <c r="AT304" s="145">
        <v>12</v>
      </c>
      <c r="AU304" s="1">
        <v>2</v>
      </c>
      <c r="AV304" s="1">
        <f t="shared" si="136"/>
        <v>9.3694000000000006</v>
      </c>
      <c r="BH304" s="146" t="s">
        <v>33</v>
      </c>
      <c r="BI304" s="1">
        <v>2</v>
      </c>
      <c r="BJ304" s="1">
        <f t="shared" si="137"/>
        <v>9.1952999999999996</v>
      </c>
    </row>
    <row r="305" spans="2:62" x14ac:dyDescent="0.25">
      <c r="B305" s="1">
        <v>1</v>
      </c>
      <c r="C305" s="1">
        <f t="shared" si="132"/>
        <v>8.4588313333333343</v>
      </c>
      <c r="D305" s="3">
        <v>8.0420379999999998</v>
      </c>
      <c r="E305" s="3">
        <v>8.6048380000000009</v>
      </c>
      <c r="F305" s="3">
        <v>8.7296180000000003</v>
      </c>
      <c r="O305" s="132"/>
      <c r="P305" s="132"/>
      <c r="Q305" s="132"/>
      <c r="R305" s="1">
        <v>1</v>
      </c>
      <c r="S305" s="1">
        <f t="shared" si="133"/>
        <v>8.5973000000000006</v>
      </c>
      <c r="W305" s="143" t="s">
        <v>25</v>
      </c>
      <c r="X305" s="1">
        <v>1</v>
      </c>
      <c r="Y305" s="1">
        <f t="shared" si="134"/>
        <v>8.4585000000000008</v>
      </c>
      <c r="AK305" s="144" t="s">
        <v>25</v>
      </c>
      <c r="AL305" s="1">
        <v>1</v>
      </c>
      <c r="AM305" s="1">
        <f t="shared" si="135"/>
        <v>8.5688999999999993</v>
      </c>
      <c r="AT305" s="145">
        <v>12</v>
      </c>
      <c r="AU305" s="1">
        <v>1</v>
      </c>
      <c r="AV305" s="1">
        <f t="shared" si="136"/>
        <v>8.9532000000000007</v>
      </c>
      <c r="BH305" s="146" t="s">
        <v>33</v>
      </c>
      <c r="BI305" s="1">
        <v>1</v>
      </c>
      <c r="BJ305" s="1">
        <f t="shared" si="137"/>
        <v>9.0923999999999996</v>
      </c>
    </row>
    <row r="306" spans="2:62" x14ac:dyDescent="0.25">
      <c r="B306" s="1">
        <v>0</v>
      </c>
      <c r="C306" s="1">
        <f t="shared" si="132"/>
        <v>8.083613999999999</v>
      </c>
      <c r="D306" s="3">
        <v>7.6828029999999998</v>
      </c>
      <c r="E306" s="3">
        <v>8.2272370000000006</v>
      </c>
      <c r="F306" s="3">
        <v>8.340802</v>
      </c>
      <c r="O306" s="132"/>
      <c r="P306" s="132"/>
      <c r="Q306" s="132"/>
      <c r="R306" s="1">
        <v>0</v>
      </c>
      <c r="S306" s="1">
        <f>((R306*R306)*(P$301+$Q$409))+(R306*(P$302+$S$409))+(P$303+$U$409)</f>
        <v>7.9528999999999996</v>
      </c>
      <c r="W306" s="143" t="s">
        <v>25</v>
      </c>
      <c r="X306" s="1">
        <v>0</v>
      </c>
      <c r="Y306" s="1">
        <f>((X306*X306)*($P$301+$E$458))+(X306*($P$302+$E$459))+($P$303+$E$460)</f>
        <v>7.9964000000000004</v>
      </c>
      <c r="AK306" s="144" t="s">
        <v>25</v>
      </c>
      <c r="AL306" s="1">
        <v>0</v>
      </c>
      <c r="AM306" s="1">
        <f>((AL306*AL306)*($AI$301+$AC$25))+(AL306*($AI$302+$AE$25))+($AI$303+$AG$25)</f>
        <v>7.9386000000000001</v>
      </c>
      <c r="AT306" s="145">
        <v>12</v>
      </c>
      <c r="AU306" s="1">
        <v>0</v>
      </c>
      <c r="AV306" s="1">
        <f>((AU306*AU306)*($AP$301+$AR$23))+(AU306*($AP$302+$AR$24))+($AP$303+$AR$25)</f>
        <v>8.4969999999999999</v>
      </c>
      <c r="BH306" s="146" t="s">
        <v>33</v>
      </c>
      <c r="BI306" s="1">
        <v>0</v>
      </c>
      <c r="BJ306" s="1">
        <f>((BI306*BI306)*($BF$301+$BD$23))+(BI306*($BF$302+$BD$24))+($BF$303+$BD$25)</f>
        <v>8.4391999999999996</v>
      </c>
    </row>
    <row r="307" spans="2:62" x14ac:dyDescent="0.25">
      <c r="B307" s="1">
        <v>-5</v>
      </c>
      <c r="C307" s="1">
        <f t="shared" si="132"/>
        <v>6.4351966666666671</v>
      </c>
      <c r="D307" s="3">
        <v>6.0142990000000003</v>
      </c>
      <c r="E307" s="3">
        <v>6.6373470000000001</v>
      </c>
      <c r="F307" s="3">
        <v>6.6539440000000001</v>
      </c>
      <c r="O307" s="132"/>
      <c r="P307" s="132"/>
      <c r="Q307" s="132"/>
      <c r="R307" s="1">
        <v>-5</v>
      </c>
      <c r="S307" s="1">
        <f t="shared" ref="S307:S310" si="138">((R307*R307)*(P$301+$Q$409))+(R307*(P$302+$S$409))+(P$303+$U$409)</f>
        <v>6.5203999999999995</v>
      </c>
      <c r="W307" s="143" t="s">
        <v>25</v>
      </c>
      <c r="X307" s="1">
        <v>-5</v>
      </c>
      <c r="Y307" s="1">
        <f t="shared" ref="Y307:Y310" si="139">((X307*X307)*($P$301+$E$458))+(X307*($P$302+$E$459))+($P$303+$E$460)</f>
        <v>6.6013999999999999</v>
      </c>
      <c r="AK307" s="144" t="s">
        <v>25</v>
      </c>
      <c r="AL307" s="1">
        <v>-5</v>
      </c>
      <c r="AM307" s="1">
        <f t="shared" ref="AM307:AM310" si="140">((AL307*AL307)*($AI$301+$AC$25))+(AL307*($AI$302+$AE$25))+($AI$303+$AG$25)</f>
        <v>6.5370999999999997</v>
      </c>
      <c r="AT307" s="145">
        <v>12</v>
      </c>
      <c r="AU307" s="1">
        <v>-5</v>
      </c>
      <c r="AV307" s="1">
        <f t="shared" ref="AV307:AV310" si="141">((AU307*AU307)*($AP$301+$AR$23))+(AU307*($AP$302+$AR$24))+($AP$303+$AR$25)</f>
        <v>7.0020000000000007</v>
      </c>
      <c r="BH307" s="146" t="s">
        <v>33</v>
      </c>
      <c r="BI307" s="1">
        <v>-5</v>
      </c>
      <c r="BJ307" s="1">
        <f t="shared" ref="BJ307:BJ310" si="142">((BI307*BI307)*($BF$301+$BD$23))+(BI307*($BF$302+$BD$24))+($BF$303+$BD$25)</f>
        <v>6.9376999999999995</v>
      </c>
    </row>
    <row r="308" spans="2:62" x14ac:dyDescent="0.25">
      <c r="B308" s="1">
        <v>-10</v>
      </c>
      <c r="C308" s="1">
        <f t="shared" si="132"/>
        <v>5.6296986666666662</v>
      </c>
      <c r="D308" s="3">
        <v>5.2647399999999998</v>
      </c>
      <c r="E308" s="3">
        <v>5.7930989999999998</v>
      </c>
      <c r="F308" s="3">
        <v>5.8312569999999999</v>
      </c>
      <c r="O308" s="132"/>
      <c r="P308" s="132"/>
      <c r="Q308" s="132"/>
      <c r="R308" s="1">
        <v>-10</v>
      </c>
      <c r="S308" s="1">
        <f t="shared" si="138"/>
        <v>5.5628999999999991</v>
      </c>
      <c r="W308" s="143" t="s">
        <v>25</v>
      </c>
      <c r="X308" s="1">
        <v>-10</v>
      </c>
      <c r="Y308" s="1">
        <f t="shared" si="139"/>
        <v>5.6563999999999997</v>
      </c>
      <c r="AK308" s="144" t="s">
        <v>25</v>
      </c>
      <c r="AL308" s="1">
        <v>-10</v>
      </c>
      <c r="AM308" s="1">
        <f t="shared" si="140"/>
        <v>5.5955999999999992</v>
      </c>
      <c r="AT308" s="145">
        <v>12</v>
      </c>
      <c r="AU308" s="1">
        <v>-10</v>
      </c>
      <c r="AV308" s="1">
        <f t="shared" si="141"/>
        <v>5.9570000000000007</v>
      </c>
      <c r="BH308" s="146" t="s">
        <v>33</v>
      </c>
      <c r="BI308" s="1">
        <v>-10</v>
      </c>
      <c r="BJ308" s="1">
        <f t="shared" si="142"/>
        <v>5.8961999999999994</v>
      </c>
    </row>
    <row r="309" spans="2:62" x14ac:dyDescent="0.25">
      <c r="B309" s="1">
        <v>-15</v>
      </c>
      <c r="C309" s="1">
        <f t="shared" si="132"/>
        <v>5.2572723333333329</v>
      </c>
      <c r="D309" s="3">
        <v>4.9349590000000001</v>
      </c>
      <c r="E309" s="3">
        <v>5.4160849999999998</v>
      </c>
      <c r="F309" s="3">
        <v>5.4207729999999996</v>
      </c>
      <c r="O309" s="132"/>
      <c r="P309" s="132"/>
      <c r="Q309" s="132"/>
      <c r="R309" s="1">
        <v>-15</v>
      </c>
      <c r="S309" s="1">
        <f t="shared" si="138"/>
        <v>5.0803999999999991</v>
      </c>
      <c r="W309" s="143" t="s">
        <v>25</v>
      </c>
      <c r="X309" s="1">
        <v>-15</v>
      </c>
      <c r="Y309" s="1">
        <f t="shared" si="139"/>
        <v>5.1614000000000004</v>
      </c>
      <c r="AK309" s="144" t="s">
        <v>25</v>
      </c>
      <c r="AL309" s="1">
        <v>-15</v>
      </c>
      <c r="AM309" s="1">
        <f t="shared" si="140"/>
        <v>5.1140999999999988</v>
      </c>
      <c r="AT309" s="145">
        <v>12</v>
      </c>
      <c r="AU309" s="1">
        <v>-15</v>
      </c>
      <c r="AV309" s="1">
        <f t="shared" si="141"/>
        <v>5.3620000000000001</v>
      </c>
      <c r="BH309" s="146" t="s">
        <v>33</v>
      </c>
      <c r="BI309" s="1">
        <v>-15</v>
      </c>
      <c r="BJ309" s="1">
        <f t="shared" si="142"/>
        <v>5.3147000000000002</v>
      </c>
    </row>
    <row r="310" spans="2:62" x14ac:dyDescent="0.25">
      <c r="B310" s="1">
        <v>-20</v>
      </c>
      <c r="C310" s="1">
        <f t="shared" si="132"/>
        <v>5.014138</v>
      </c>
      <c r="D310" s="3">
        <v>4.9449209999999999</v>
      </c>
      <c r="E310" s="3">
        <v>5.0497160000000001</v>
      </c>
      <c r="F310" s="3">
        <v>5.047777</v>
      </c>
      <c r="O310" s="132"/>
      <c r="P310" s="132"/>
      <c r="Q310" s="132"/>
      <c r="R310" s="1">
        <v>-20</v>
      </c>
      <c r="S310" s="1">
        <f t="shared" si="138"/>
        <v>5.0728999999999989</v>
      </c>
      <c r="W310" s="143" t="s">
        <v>25</v>
      </c>
      <c r="X310" s="1">
        <v>-20</v>
      </c>
      <c r="Y310" s="1">
        <f t="shared" si="139"/>
        <v>5.1163999999999996</v>
      </c>
      <c r="AK310" s="144" t="s">
        <v>25</v>
      </c>
      <c r="AL310" s="1">
        <v>-20</v>
      </c>
      <c r="AM310" s="1">
        <f t="shared" si="140"/>
        <v>5.0925999999999991</v>
      </c>
      <c r="AT310" s="145">
        <v>12</v>
      </c>
      <c r="AU310" s="1">
        <v>-20</v>
      </c>
      <c r="AV310" s="1">
        <f t="shared" si="141"/>
        <v>5.2170000000000005</v>
      </c>
      <c r="BH310" s="146" t="s">
        <v>33</v>
      </c>
      <c r="BI310" s="1">
        <v>-20</v>
      </c>
      <c r="BJ310" s="1">
        <f t="shared" si="142"/>
        <v>5.1931999999999992</v>
      </c>
    </row>
    <row r="314" spans="2:62" x14ac:dyDescent="0.25">
      <c r="B314" s="26" t="s">
        <v>0</v>
      </c>
      <c r="C314" s="26">
        <v>3.3</v>
      </c>
      <c r="D314" s="26"/>
      <c r="E314" s="26"/>
      <c r="F314" s="26"/>
      <c r="O314" s="132"/>
      <c r="P314" s="132"/>
      <c r="Q314" s="132"/>
      <c r="R314" s="132" t="s">
        <v>0</v>
      </c>
      <c r="S314" s="132">
        <v>3.3</v>
      </c>
      <c r="W314" s="132"/>
      <c r="X314" s="132" t="s">
        <v>0</v>
      </c>
      <c r="Y314" s="132">
        <v>3.3</v>
      </c>
      <c r="AK314" s="132"/>
      <c r="AL314" s="132" t="s">
        <v>0</v>
      </c>
      <c r="AM314" s="132">
        <v>3.3</v>
      </c>
      <c r="AT314" s="132"/>
      <c r="AU314" s="132" t="s">
        <v>0</v>
      </c>
      <c r="AV314" s="132">
        <v>3.3</v>
      </c>
      <c r="BH314" s="132"/>
      <c r="BI314" s="132" t="s">
        <v>0</v>
      </c>
      <c r="BJ314" s="132">
        <v>3.3</v>
      </c>
    </row>
    <row r="315" spans="2:62" x14ac:dyDescent="0.25">
      <c r="B315" s="1" t="s">
        <v>4</v>
      </c>
      <c r="C315" s="1" t="s">
        <v>5</v>
      </c>
      <c r="D315" s="1">
        <v>1</v>
      </c>
      <c r="E315" s="1">
        <v>2</v>
      </c>
      <c r="F315" s="1">
        <v>3</v>
      </c>
      <c r="O315" s="132" t="s">
        <v>8</v>
      </c>
      <c r="P315" s="132">
        <v>4.3900000000000002E-2</v>
      </c>
      <c r="Q315" s="132" t="s">
        <v>13</v>
      </c>
      <c r="R315" s="1" t="s">
        <v>4</v>
      </c>
      <c r="S315" s="1" t="s">
        <v>5</v>
      </c>
      <c r="W315" s="143" t="s">
        <v>26</v>
      </c>
      <c r="X315" s="1" t="s">
        <v>4</v>
      </c>
      <c r="Y315" s="1" t="s">
        <v>5</v>
      </c>
      <c r="AH315" s="132" t="s">
        <v>8</v>
      </c>
      <c r="AI315">
        <v>5.0599999999999999E-2</v>
      </c>
      <c r="AK315" s="144" t="s">
        <v>29</v>
      </c>
      <c r="AL315" s="1" t="s">
        <v>4</v>
      </c>
      <c r="AM315" s="1" t="s">
        <v>5</v>
      </c>
      <c r="AO315" s="132" t="s">
        <v>8</v>
      </c>
      <c r="AP315" s="132">
        <v>4.3900000000000002E-2</v>
      </c>
      <c r="AT315" s="145" t="s">
        <v>30</v>
      </c>
      <c r="AU315" s="1" t="s">
        <v>4</v>
      </c>
      <c r="AV315" s="1" t="s">
        <v>5</v>
      </c>
      <c r="BE315" s="132" t="s">
        <v>8</v>
      </c>
      <c r="BF315" s="132">
        <v>4.4900000000000002E-2</v>
      </c>
      <c r="BH315" s="146" t="s">
        <v>32</v>
      </c>
      <c r="BI315" s="1" t="s">
        <v>4</v>
      </c>
      <c r="BJ315" s="1" t="s">
        <v>5</v>
      </c>
    </row>
    <row r="316" spans="2:62" x14ac:dyDescent="0.25">
      <c r="B316" s="1">
        <v>14</v>
      </c>
      <c r="C316" s="1">
        <f>AVERAGE(E316,F316,D316)</f>
        <v>19.808617666666667</v>
      </c>
      <c r="D316" s="3">
        <v>19.758018</v>
      </c>
      <c r="E316" s="3">
        <v>19.693190999999999</v>
      </c>
      <c r="F316" s="3">
        <v>19.974644000000001</v>
      </c>
      <c r="O316" s="132" t="s">
        <v>9</v>
      </c>
      <c r="P316" s="132">
        <v>0.25180000000000002</v>
      </c>
      <c r="Q316" s="132" t="s">
        <v>15</v>
      </c>
      <c r="R316" s="1">
        <v>14</v>
      </c>
      <c r="S316" s="1">
        <f>((R316*R316)*(P$315+$Q$408))+(R316*(P$316+$S$408))+(P$317+$U$408)</f>
        <v>22.745699999999999</v>
      </c>
      <c r="W316" s="143" t="s">
        <v>25</v>
      </c>
      <c r="X316" s="1">
        <v>14</v>
      </c>
      <c r="Y316" s="1">
        <f>((X316*X316)*($P$315+$C$458))+(X316*($P$316+$C$459))+($P$317+$C$460)</f>
        <v>20.887</v>
      </c>
      <c r="AH316" s="132" t="s">
        <v>9</v>
      </c>
      <c r="AI316">
        <v>0.2172</v>
      </c>
      <c r="AK316" s="144" t="s">
        <v>25</v>
      </c>
      <c r="AL316" s="1">
        <v>14</v>
      </c>
      <c r="AM316" s="1">
        <f>((AL316*AL316)*($AI$315+$AC$24))+(AL316*($AI$316+$AE$24))+($AI$317+$AG$24)</f>
        <v>23.578699999999998</v>
      </c>
      <c r="AO316" s="132" t="s">
        <v>9</v>
      </c>
      <c r="AP316" s="132">
        <v>0.25180000000000002</v>
      </c>
      <c r="AT316" s="145">
        <v>12</v>
      </c>
      <c r="AU316" s="1">
        <v>14</v>
      </c>
      <c r="AV316" s="1">
        <f>((AU316*AU316)*($AP$315+$AP$23))+(AU316*($AP$316+$AP$24))+($AP$317+$AP$25)</f>
        <v>21.245200000000004</v>
      </c>
      <c r="BE316" s="132" t="s">
        <v>9</v>
      </c>
      <c r="BF316" s="132">
        <v>0.29049999999999998</v>
      </c>
      <c r="BH316" s="146" t="s">
        <v>33</v>
      </c>
      <c r="BI316" s="1">
        <v>14</v>
      </c>
      <c r="BJ316" s="1">
        <f>((BI316*BI316)*($BF$315+$BB$23))+(BI316*($BF$316+$BB$24))+($BF$317+$BB$25)</f>
        <v>23.9436</v>
      </c>
    </row>
    <row r="317" spans="2:62" x14ac:dyDescent="0.25">
      <c r="B317" s="1">
        <v>13</v>
      </c>
      <c r="C317" s="1">
        <f t="shared" ref="C317:C334" si="143">AVERAGE(E317,F317,D317)</f>
        <v>18.699384999999999</v>
      </c>
      <c r="D317" s="3">
        <v>18.577331999999998</v>
      </c>
      <c r="E317" s="3">
        <v>18.632186999999998</v>
      </c>
      <c r="F317" s="3">
        <v>18.888636000000002</v>
      </c>
      <c r="O317" s="132" t="s">
        <v>10</v>
      </c>
      <c r="P317" s="132">
        <v>7.9031000000000002</v>
      </c>
      <c r="Q317" s="132" t="s">
        <v>16</v>
      </c>
      <c r="R317" s="1">
        <v>13</v>
      </c>
      <c r="S317" s="1">
        <f t="shared" ref="S317:S329" si="144">((R317*R317)*(P$315+$Q$408))+(R317*(P$316+$S$408))+(P$317+$U$408)</f>
        <v>20.592200000000002</v>
      </c>
      <c r="W317" s="143" t="s">
        <v>25</v>
      </c>
      <c r="X317" s="1">
        <v>13</v>
      </c>
      <c r="Y317" s="1">
        <f t="shared" ref="Y317:Y329" si="145">((X317*X317)*($P$315+$C$458))+(X317*($P$316+$C$459))+($P$317+$C$460)</f>
        <v>19.289400000000001</v>
      </c>
      <c r="AH317" s="132" t="s">
        <v>10</v>
      </c>
      <c r="AI317">
        <v>7.9073000000000002</v>
      </c>
      <c r="AK317" s="144" t="s">
        <v>25</v>
      </c>
      <c r="AL317" s="1">
        <v>13</v>
      </c>
      <c r="AM317" s="1">
        <f t="shared" ref="AM317:AM329" si="146">((AL317*AL317)*($AI$315+$AC$24))+(AL317*($AI$316+$AE$24))+($AI$317+$AG$24)</f>
        <v>21.2789</v>
      </c>
      <c r="AO317" s="132" t="s">
        <v>10</v>
      </c>
      <c r="AP317" s="132">
        <v>7.9031000000000002</v>
      </c>
      <c r="AT317" s="145">
        <v>12</v>
      </c>
      <c r="AU317" s="1">
        <v>13</v>
      </c>
      <c r="AV317" s="1">
        <f t="shared" ref="AV317:AV329" si="147">((AU317*AU317)*($AP$315+$AP$23))+(AU317*($AP$316+$AP$24))+($AP$317+$AP$25)</f>
        <v>19.733699999999999</v>
      </c>
      <c r="BE317" s="132" t="s">
        <v>10</v>
      </c>
      <c r="BF317" s="132">
        <v>8.3632000000000009</v>
      </c>
      <c r="BH317" s="146" t="s">
        <v>33</v>
      </c>
      <c r="BI317" s="1">
        <v>13</v>
      </c>
      <c r="BJ317" s="1">
        <f t="shared" ref="BJ317:BJ329" si="148">((BI317*BI317)*($BF$315+$BB$23))+(BI317*($BF$316+$BB$24))+($BF$317+$BB$25)</f>
        <v>21.724400000000003</v>
      </c>
    </row>
    <row r="318" spans="2:62" x14ac:dyDescent="0.25">
      <c r="B318" s="1">
        <v>12</v>
      </c>
      <c r="C318" s="1">
        <f t="shared" si="143"/>
        <v>17.575948</v>
      </c>
      <c r="D318" s="3">
        <v>17.385038999999999</v>
      </c>
      <c r="E318" s="3">
        <v>17.5563</v>
      </c>
      <c r="F318" s="3">
        <v>17.786504999999998</v>
      </c>
      <c r="O318" s="132"/>
      <c r="P318" s="132"/>
      <c r="Q318" s="132"/>
      <c r="R318" s="1">
        <v>12</v>
      </c>
      <c r="S318" s="1">
        <f t="shared" si="144"/>
        <v>18.613500000000002</v>
      </c>
      <c r="W318" s="143" t="s">
        <v>25</v>
      </c>
      <c r="X318" s="1">
        <v>12</v>
      </c>
      <c r="Y318" s="1">
        <f t="shared" si="145"/>
        <v>17.795999999999999</v>
      </c>
      <c r="AH318" s="132"/>
      <c r="AK318" s="144" t="s">
        <v>25</v>
      </c>
      <c r="AL318" s="1">
        <v>12</v>
      </c>
      <c r="AM318" s="1">
        <f t="shared" si="146"/>
        <v>19.167299999999997</v>
      </c>
      <c r="AO318" s="132"/>
      <c r="AP318" s="132"/>
      <c r="AT318" s="145">
        <v>12</v>
      </c>
      <c r="AU318" s="1">
        <v>12</v>
      </c>
      <c r="AV318" s="1">
        <f t="shared" si="147"/>
        <v>18.313800000000001</v>
      </c>
      <c r="BE318" s="132"/>
      <c r="BF318" s="132"/>
      <c r="BH318" s="146" t="s">
        <v>33</v>
      </c>
      <c r="BI318" s="1">
        <v>12</v>
      </c>
      <c r="BJ318" s="1">
        <f t="shared" si="148"/>
        <v>19.682000000000002</v>
      </c>
    </row>
    <row r="319" spans="2:62" x14ac:dyDescent="0.25">
      <c r="B319" s="1">
        <v>11</v>
      </c>
      <c r="C319" s="1">
        <f t="shared" si="143"/>
        <v>15.997381333333335</v>
      </c>
      <c r="D319" s="3">
        <v>15.921381999999999</v>
      </c>
      <c r="E319" s="3">
        <v>15.840063000000001</v>
      </c>
      <c r="F319" s="3">
        <v>16.230699000000001</v>
      </c>
      <c r="O319" s="132"/>
      <c r="P319" s="132"/>
      <c r="Q319" s="132"/>
      <c r="R319" s="1">
        <v>11</v>
      </c>
      <c r="S319" s="1">
        <f t="shared" si="144"/>
        <v>16.8096</v>
      </c>
      <c r="W319" s="143" t="s">
        <v>25</v>
      </c>
      <c r="X319" s="1">
        <v>11</v>
      </c>
      <c r="Y319" s="1">
        <f t="shared" si="145"/>
        <v>16.4068</v>
      </c>
      <c r="AH319" s="132"/>
      <c r="AK319" s="144" t="s">
        <v>25</v>
      </c>
      <c r="AL319" s="1">
        <v>11</v>
      </c>
      <c r="AM319" s="1">
        <f t="shared" si="146"/>
        <v>17.2439</v>
      </c>
      <c r="AO319" s="132"/>
      <c r="AP319" s="132"/>
      <c r="AT319" s="145">
        <v>12</v>
      </c>
      <c r="AU319" s="1">
        <v>11</v>
      </c>
      <c r="AV319" s="1">
        <f t="shared" si="147"/>
        <v>16.985500000000002</v>
      </c>
      <c r="BE319" s="132"/>
      <c r="BF319" s="132"/>
      <c r="BH319" s="146" t="s">
        <v>33</v>
      </c>
      <c r="BI319" s="1">
        <v>11</v>
      </c>
      <c r="BJ319" s="1">
        <f t="shared" si="148"/>
        <v>17.816400000000002</v>
      </c>
    </row>
    <row r="320" spans="2:62" x14ac:dyDescent="0.25">
      <c r="B320" s="1">
        <v>10</v>
      </c>
      <c r="C320" s="1">
        <f t="shared" si="143"/>
        <v>14.644425</v>
      </c>
      <c r="D320" s="3">
        <v>14.541758</v>
      </c>
      <c r="E320" s="3">
        <v>14.513673000000001</v>
      </c>
      <c r="F320" s="3">
        <v>14.877844</v>
      </c>
      <c r="O320" s="132"/>
      <c r="P320" s="132"/>
      <c r="Q320" s="132"/>
      <c r="R320" s="1">
        <v>10</v>
      </c>
      <c r="S320" s="1">
        <f t="shared" si="144"/>
        <v>15.1805</v>
      </c>
      <c r="W320" s="143" t="s">
        <v>25</v>
      </c>
      <c r="X320" s="1">
        <v>10</v>
      </c>
      <c r="Y320" s="1">
        <f t="shared" si="145"/>
        <v>15.1218</v>
      </c>
      <c r="AH320" s="132"/>
      <c r="AK320" s="144" t="s">
        <v>25</v>
      </c>
      <c r="AL320" s="1">
        <v>10</v>
      </c>
      <c r="AM320" s="1">
        <f t="shared" si="146"/>
        <v>15.508699999999999</v>
      </c>
      <c r="AO320" s="132"/>
      <c r="AP320" s="132"/>
      <c r="AT320" s="145">
        <v>12</v>
      </c>
      <c r="AU320" s="1">
        <v>10</v>
      </c>
      <c r="AV320" s="1">
        <f t="shared" si="147"/>
        <v>15.748800000000001</v>
      </c>
      <c r="BE320" s="132"/>
      <c r="BF320" s="132"/>
      <c r="BH320" s="146" t="s">
        <v>33</v>
      </c>
      <c r="BI320" s="1">
        <v>10</v>
      </c>
      <c r="BJ320" s="1">
        <f t="shared" si="148"/>
        <v>16.127600000000001</v>
      </c>
    </row>
    <row r="321" spans="2:62" x14ac:dyDescent="0.25">
      <c r="B321" s="1">
        <v>9</v>
      </c>
      <c r="C321" s="1">
        <f t="shared" si="143"/>
        <v>13.662933666666667</v>
      </c>
      <c r="D321" s="3">
        <v>13.519857999999999</v>
      </c>
      <c r="E321" s="3">
        <v>13.534209000000001</v>
      </c>
      <c r="F321" s="3">
        <v>13.934734000000001</v>
      </c>
      <c r="O321" s="132"/>
      <c r="P321" s="132"/>
      <c r="Q321" s="132"/>
      <c r="R321" s="1">
        <v>9</v>
      </c>
      <c r="S321" s="1">
        <f t="shared" si="144"/>
        <v>13.7262</v>
      </c>
      <c r="W321" s="143" t="s">
        <v>25</v>
      </c>
      <c r="X321" s="1">
        <v>9</v>
      </c>
      <c r="Y321" s="1">
        <f t="shared" si="145"/>
        <v>13.941000000000003</v>
      </c>
      <c r="AH321" s="132"/>
      <c r="AK321" s="144" t="s">
        <v>25</v>
      </c>
      <c r="AL321" s="1">
        <v>9</v>
      </c>
      <c r="AM321" s="1">
        <f t="shared" si="146"/>
        <v>13.961699999999999</v>
      </c>
      <c r="AO321" s="132"/>
      <c r="AP321" s="132"/>
      <c r="AT321" s="145">
        <v>12</v>
      </c>
      <c r="AU321" s="1">
        <v>9</v>
      </c>
      <c r="AV321" s="1">
        <f t="shared" si="147"/>
        <v>14.6037</v>
      </c>
      <c r="BE321" s="132"/>
      <c r="BF321" s="132"/>
      <c r="BH321" s="146" t="s">
        <v>33</v>
      </c>
      <c r="BI321" s="1">
        <v>9</v>
      </c>
      <c r="BJ321" s="1">
        <f t="shared" si="148"/>
        <v>14.615600000000001</v>
      </c>
    </row>
    <row r="322" spans="2:62" x14ac:dyDescent="0.25">
      <c r="B322" s="1">
        <v>8</v>
      </c>
      <c r="C322" s="1">
        <f t="shared" si="143"/>
        <v>12.815648000000001</v>
      </c>
      <c r="D322" s="3">
        <v>12.658847</v>
      </c>
      <c r="E322" s="3">
        <v>12.703645</v>
      </c>
      <c r="F322" s="3">
        <v>13.084452000000001</v>
      </c>
      <c r="O322" s="132"/>
      <c r="P322" s="132"/>
      <c r="Q322" s="132"/>
      <c r="R322" s="1">
        <v>8</v>
      </c>
      <c r="S322" s="1">
        <f t="shared" si="144"/>
        <v>12.4467</v>
      </c>
      <c r="W322" s="143" t="s">
        <v>25</v>
      </c>
      <c r="X322" s="1">
        <v>8</v>
      </c>
      <c r="Y322" s="1">
        <f t="shared" si="145"/>
        <v>12.8644</v>
      </c>
      <c r="AH322" s="132"/>
      <c r="AK322" s="144" t="s">
        <v>25</v>
      </c>
      <c r="AL322" s="1">
        <v>8</v>
      </c>
      <c r="AM322" s="1">
        <f t="shared" si="146"/>
        <v>12.6029</v>
      </c>
      <c r="AO322" s="132"/>
      <c r="AP322" s="132"/>
      <c r="AT322" s="145">
        <v>12</v>
      </c>
      <c r="AU322" s="1">
        <v>8</v>
      </c>
      <c r="AV322" s="1">
        <f t="shared" si="147"/>
        <v>13.5502</v>
      </c>
      <c r="BE322" s="132"/>
      <c r="BF322" s="132"/>
      <c r="BH322" s="146" t="s">
        <v>33</v>
      </c>
      <c r="BI322" s="1">
        <v>8</v>
      </c>
      <c r="BJ322" s="1">
        <f t="shared" si="148"/>
        <v>13.280400000000002</v>
      </c>
    </row>
    <row r="323" spans="2:62" x14ac:dyDescent="0.25">
      <c r="B323" s="1">
        <v>7</v>
      </c>
      <c r="C323" s="1">
        <f t="shared" si="143"/>
        <v>11.839997666666667</v>
      </c>
      <c r="D323" s="3">
        <v>11.630013</v>
      </c>
      <c r="E323" s="3">
        <v>11.785371</v>
      </c>
      <c r="F323" s="3">
        <v>12.104609</v>
      </c>
      <c r="O323" s="132"/>
      <c r="P323" s="132"/>
      <c r="Q323" s="132"/>
      <c r="R323" s="1">
        <v>7</v>
      </c>
      <c r="S323" s="1">
        <f t="shared" si="144"/>
        <v>11.341999999999999</v>
      </c>
      <c r="W323" s="143" t="s">
        <v>25</v>
      </c>
      <c r="X323" s="1">
        <v>7</v>
      </c>
      <c r="Y323" s="1">
        <f t="shared" si="145"/>
        <v>11.892000000000001</v>
      </c>
      <c r="AH323" s="132"/>
      <c r="AK323" s="144" t="s">
        <v>25</v>
      </c>
      <c r="AL323" s="1">
        <v>7</v>
      </c>
      <c r="AM323" s="1">
        <f t="shared" si="146"/>
        <v>11.4323</v>
      </c>
      <c r="AO323" s="132"/>
      <c r="AP323" s="132"/>
      <c r="AT323" s="145">
        <v>12</v>
      </c>
      <c r="AU323" s="1">
        <v>7</v>
      </c>
      <c r="AV323" s="1">
        <f t="shared" si="147"/>
        <v>12.5883</v>
      </c>
      <c r="BE323" s="132"/>
      <c r="BF323" s="132"/>
      <c r="BH323" s="146" t="s">
        <v>33</v>
      </c>
      <c r="BI323" s="1">
        <v>7</v>
      </c>
      <c r="BJ323" s="1">
        <f t="shared" si="148"/>
        <v>12.122</v>
      </c>
    </row>
    <row r="324" spans="2:62" x14ac:dyDescent="0.25">
      <c r="B324" s="1">
        <v>6</v>
      </c>
      <c r="C324" s="1">
        <f t="shared" si="143"/>
        <v>10.995005666666666</v>
      </c>
      <c r="D324" s="3">
        <v>10.742558000000001</v>
      </c>
      <c r="E324" s="3">
        <v>10.988410999999999</v>
      </c>
      <c r="F324" s="3">
        <v>11.254047999999999</v>
      </c>
      <c r="O324" s="132"/>
      <c r="P324" s="132"/>
      <c r="Q324" s="132"/>
      <c r="R324" s="1">
        <v>6</v>
      </c>
      <c r="S324" s="1">
        <f t="shared" si="144"/>
        <v>10.412099999999999</v>
      </c>
      <c r="W324" s="143" t="s">
        <v>25</v>
      </c>
      <c r="X324" s="1">
        <v>6</v>
      </c>
      <c r="Y324" s="1">
        <f t="shared" si="145"/>
        <v>11.023800000000001</v>
      </c>
      <c r="AH324" s="132"/>
      <c r="AK324" s="144" t="s">
        <v>25</v>
      </c>
      <c r="AL324" s="1">
        <v>6</v>
      </c>
      <c r="AM324" s="1">
        <f t="shared" si="146"/>
        <v>10.4499</v>
      </c>
      <c r="AO324" s="132"/>
      <c r="AP324" s="132"/>
      <c r="AT324" s="145">
        <v>12</v>
      </c>
      <c r="AU324" s="1">
        <v>6</v>
      </c>
      <c r="AV324" s="1">
        <f t="shared" si="147"/>
        <v>11.718</v>
      </c>
      <c r="BE324" s="132"/>
      <c r="BF324" s="132"/>
      <c r="BH324" s="146" t="s">
        <v>33</v>
      </c>
      <c r="BI324" s="1">
        <v>6</v>
      </c>
      <c r="BJ324" s="1">
        <f t="shared" si="148"/>
        <v>11.140400000000001</v>
      </c>
    </row>
    <row r="325" spans="2:62" x14ac:dyDescent="0.25">
      <c r="B325" s="1">
        <v>5</v>
      </c>
      <c r="C325" s="1">
        <f t="shared" si="143"/>
        <v>10.055736333333334</v>
      </c>
      <c r="D325" s="3">
        <v>9.7258399999999998</v>
      </c>
      <c r="E325" s="3">
        <v>10.101591000000001</v>
      </c>
      <c r="F325" s="3">
        <v>10.339778000000001</v>
      </c>
      <c r="O325" s="132" t="s">
        <v>8</v>
      </c>
      <c r="P325" s="132">
        <v>9.1000000000000004E-3</v>
      </c>
      <c r="Q325" s="132" t="s">
        <v>14</v>
      </c>
      <c r="R325" s="1">
        <v>5</v>
      </c>
      <c r="S325" s="1">
        <f t="shared" si="144"/>
        <v>9.657</v>
      </c>
      <c r="W325" s="143" t="s">
        <v>25</v>
      </c>
      <c r="X325" s="1">
        <v>5</v>
      </c>
      <c r="Y325" s="1">
        <f t="shared" si="145"/>
        <v>10.2598</v>
      </c>
      <c r="AH325" s="132" t="s">
        <v>8</v>
      </c>
      <c r="AI325">
        <v>8.8000000000000005E-3</v>
      </c>
      <c r="AK325" s="144" t="s">
        <v>25</v>
      </c>
      <c r="AL325" s="1">
        <v>5</v>
      </c>
      <c r="AM325" s="1">
        <f t="shared" si="146"/>
        <v>9.6556999999999995</v>
      </c>
      <c r="AO325" s="132" t="s">
        <v>8</v>
      </c>
      <c r="AP325" s="132">
        <v>9.1000000000000004E-3</v>
      </c>
      <c r="AT325" s="145">
        <v>12</v>
      </c>
      <c r="AU325" s="1">
        <v>5</v>
      </c>
      <c r="AV325" s="1">
        <f t="shared" si="147"/>
        <v>10.939300000000001</v>
      </c>
      <c r="BE325" s="132" t="s">
        <v>8</v>
      </c>
      <c r="BF325" s="132">
        <v>8.8000000000000005E-3</v>
      </c>
      <c r="BH325" s="146" t="s">
        <v>33</v>
      </c>
      <c r="BI325" s="1">
        <v>5</v>
      </c>
      <c r="BJ325" s="1">
        <f t="shared" si="148"/>
        <v>10.335600000000001</v>
      </c>
    </row>
    <row r="326" spans="2:62" x14ac:dyDescent="0.25">
      <c r="B326" s="1">
        <v>4</v>
      </c>
      <c r="C326" s="1">
        <f t="shared" si="143"/>
        <v>9.7249056666666664</v>
      </c>
      <c r="D326" s="3">
        <v>9.3756240000000002</v>
      </c>
      <c r="E326" s="3">
        <v>9.8084950000000006</v>
      </c>
      <c r="F326" s="3">
        <v>9.9905980000000003</v>
      </c>
      <c r="O326" s="132" t="s">
        <v>9</v>
      </c>
      <c r="P326" s="132">
        <v>0.3236</v>
      </c>
      <c r="Q326" s="132" t="s">
        <v>17</v>
      </c>
      <c r="R326" s="1">
        <v>4</v>
      </c>
      <c r="S326" s="1">
        <f t="shared" si="144"/>
        <v>9.0766999999999989</v>
      </c>
      <c r="W326" s="143" t="s">
        <v>25</v>
      </c>
      <c r="X326" s="1">
        <v>4</v>
      </c>
      <c r="Y326" s="1">
        <f t="shared" si="145"/>
        <v>9.6000000000000014</v>
      </c>
      <c r="AH326" s="132" t="s">
        <v>9</v>
      </c>
      <c r="AI326">
        <v>0.31590000000000001</v>
      </c>
      <c r="AK326" s="144" t="s">
        <v>25</v>
      </c>
      <c r="AL326" s="1">
        <v>4</v>
      </c>
      <c r="AM326" s="1">
        <f t="shared" si="146"/>
        <v>9.0496999999999996</v>
      </c>
      <c r="AO326" s="132" t="s">
        <v>9</v>
      </c>
      <c r="AP326" s="132">
        <v>0.3236</v>
      </c>
      <c r="AT326" s="145">
        <v>12</v>
      </c>
      <c r="AU326" s="1">
        <v>4</v>
      </c>
      <c r="AV326" s="1">
        <f t="shared" si="147"/>
        <v>10.2522</v>
      </c>
      <c r="BE326" s="132" t="s">
        <v>9</v>
      </c>
      <c r="BF326" s="132">
        <v>0.33589999999999998</v>
      </c>
      <c r="BH326" s="146" t="s">
        <v>33</v>
      </c>
      <c r="BI326" s="1">
        <v>4</v>
      </c>
      <c r="BJ326" s="1">
        <f t="shared" si="148"/>
        <v>9.7076000000000011</v>
      </c>
    </row>
    <row r="327" spans="2:62" x14ac:dyDescent="0.25">
      <c r="B327" s="1">
        <v>3</v>
      </c>
      <c r="C327" s="1">
        <f t="shared" si="143"/>
        <v>8.9967353333333335</v>
      </c>
      <c r="D327" s="3">
        <v>8.6402529999999995</v>
      </c>
      <c r="E327" s="3">
        <v>9.0832899999999999</v>
      </c>
      <c r="F327" s="3">
        <v>9.2666629999999994</v>
      </c>
      <c r="O327" s="132" t="s">
        <v>10</v>
      </c>
      <c r="P327" s="132">
        <v>7.8116000000000003</v>
      </c>
      <c r="Q327" s="132" t="s">
        <v>18</v>
      </c>
      <c r="R327" s="1">
        <v>3</v>
      </c>
      <c r="S327" s="1">
        <f t="shared" si="144"/>
        <v>8.6711999999999989</v>
      </c>
      <c r="W327" s="143" t="s">
        <v>25</v>
      </c>
      <c r="X327" s="1">
        <v>3</v>
      </c>
      <c r="Y327" s="1">
        <f t="shared" si="145"/>
        <v>9.0444000000000013</v>
      </c>
      <c r="AH327" s="132" t="s">
        <v>10</v>
      </c>
      <c r="AI327">
        <v>7.7972999999999999</v>
      </c>
      <c r="AK327" s="144" t="s">
        <v>25</v>
      </c>
      <c r="AL327" s="1">
        <v>3</v>
      </c>
      <c r="AM327" s="1">
        <f t="shared" si="146"/>
        <v>8.6318999999999999</v>
      </c>
      <c r="AO327" s="132" t="s">
        <v>10</v>
      </c>
      <c r="AP327" s="132">
        <v>7.8116000000000003</v>
      </c>
      <c r="AT327" s="145">
        <v>12</v>
      </c>
      <c r="AU327" s="1">
        <v>3</v>
      </c>
      <c r="AV327" s="1">
        <f t="shared" si="147"/>
        <v>9.6567000000000007</v>
      </c>
      <c r="BE327" s="132" t="s">
        <v>10</v>
      </c>
      <c r="BF327" s="132">
        <v>8.2979000000000003</v>
      </c>
      <c r="BH327" s="146" t="s">
        <v>33</v>
      </c>
      <c r="BI327" s="1">
        <v>3</v>
      </c>
      <c r="BJ327" s="1">
        <f t="shared" si="148"/>
        <v>9.2564000000000011</v>
      </c>
    </row>
    <row r="328" spans="2:62" x14ac:dyDescent="0.25">
      <c r="B328" s="1">
        <v>2</v>
      </c>
      <c r="C328" s="1">
        <f t="shared" si="143"/>
        <v>8.6300973333333335</v>
      </c>
      <c r="D328" s="3">
        <v>8.2397379999999991</v>
      </c>
      <c r="E328" s="3">
        <v>8.7559330000000006</v>
      </c>
      <c r="F328" s="3">
        <v>8.8946210000000008</v>
      </c>
      <c r="O328" s="132"/>
      <c r="P328" s="132"/>
      <c r="Q328" s="132"/>
      <c r="R328" s="1">
        <v>2</v>
      </c>
      <c r="S328" s="1">
        <f t="shared" si="144"/>
        <v>8.4404999999999983</v>
      </c>
      <c r="W328" s="143" t="s">
        <v>25</v>
      </c>
      <c r="X328" s="1">
        <v>2</v>
      </c>
      <c r="Y328" s="1">
        <f t="shared" si="145"/>
        <v>8.593</v>
      </c>
      <c r="AK328" s="144" t="s">
        <v>25</v>
      </c>
      <c r="AL328" s="1">
        <v>2</v>
      </c>
      <c r="AM328" s="1">
        <f t="shared" si="146"/>
        <v>8.4023000000000003</v>
      </c>
      <c r="AT328" s="145">
        <v>12</v>
      </c>
      <c r="AU328" s="1">
        <v>2</v>
      </c>
      <c r="AV328" s="1">
        <f t="shared" si="147"/>
        <v>9.1528000000000009</v>
      </c>
      <c r="BH328" s="146" t="s">
        <v>33</v>
      </c>
      <c r="BI328" s="1">
        <v>2</v>
      </c>
      <c r="BJ328" s="1">
        <f t="shared" si="148"/>
        <v>8.9820000000000011</v>
      </c>
    </row>
    <row r="329" spans="2:62" x14ac:dyDescent="0.25">
      <c r="B329" s="1">
        <v>1</v>
      </c>
      <c r="C329" s="1">
        <f t="shared" si="143"/>
        <v>8.2475246666666653</v>
      </c>
      <c r="D329" s="3">
        <v>7.8464619999999998</v>
      </c>
      <c r="E329" s="3">
        <v>8.3987549999999995</v>
      </c>
      <c r="F329" s="3">
        <v>8.4973569999999992</v>
      </c>
      <c r="O329" s="132"/>
      <c r="P329" s="132"/>
      <c r="Q329" s="132"/>
      <c r="R329" s="1">
        <v>1</v>
      </c>
      <c r="S329" s="1">
        <f t="shared" si="144"/>
        <v>8.3845999999999989</v>
      </c>
      <c r="W329" s="143" t="s">
        <v>25</v>
      </c>
      <c r="X329" s="1">
        <v>1</v>
      </c>
      <c r="Y329" s="1">
        <f t="shared" si="145"/>
        <v>8.2458000000000009</v>
      </c>
      <c r="AK329" s="144" t="s">
        <v>25</v>
      </c>
      <c r="AL329" s="1">
        <v>1</v>
      </c>
      <c r="AM329" s="1">
        <f t="shared" si="146"/>
        <v>8.3608999999999991</v>
      </c>
      <c r="AT329" s="145">
        <v>12</v>
      </c>
      <c r="AU329" s="1">
        <v>1</v>
      </c>
      <c r="AV329" s="1">
        <f t="shared" si="147"/>
        <v>8.7405000000000008</v>
      </c>
      <c r="BH329" s="146" t="s">
        <v>33</v>
      </c>
      <c r="BI329" s="1">
        <v>1</v>
      </c>
      <c r="BJ329" s="1">
        <f t="shared" si="148"/>
        <v>8.8844000000000012</v>
      </c>
    </row>
    <row r="330" spans="2:62" x14ac:dyDescent="0.25">
      <c r="B330" s="1">
        <v>0</v>
      </c>
      <c r="C330" s="1">
        <f t="shared" si="143"/>
        <v>7.8822563333333333</v>
      </c>
      <c r="D330" s="3">
        <v>7.5007830000000002</v>
      </c>
      <c r="E330" s="3">
        <v>8.025722</v>
      </c>
      <c r="F330" s="3">
        <v>8.1202640000000006</v>
      </c>
      <c r="O330" s="132"/>
      <c r="P330" s="132"/>
      <c r="Q330" s="132"/>
      <c r="R330" s="1">
        <v>0</v>
      </c>
      <c r="S330" s="1">
        <f>((R330*R330)*(P$325+$Q$409))+(R330*(P$326+$S$409))+(P$327+$U$409)</f>
        <v>7.7538</v>
      </c>
      <c r="W330" s="143" t="s">
        <v>25</v>
      </c>
      <c r="X330" s="1">
        <v>0</v>
      </c>
      <c r="Y330" s="1">
        <f>((X330*X330)*($P$325+$E$458))+(X330*($P$326+$E$459))+($P$327+$E$460)</f>
        <v>7.7973000000000008</v>
      </c>
      <c r="AK330" s="144" t="s">
        <v>25</v>
      </c>
      <c r="AL330" s="1">
        <v>0</v>
      </c>
      <c r="AM330" s="1">
        <f>((AL330*AL330)*($AI$325+$AC$25))+(AL330*($AI$326+$AE$25))+($AI$327+$AG$25)</f>
        <v>7.7394999999999996</v>
      </c>
      <c r="AT330" s="145">
        <v>12</v>
      </c>
      <c r="AU330" s="1">
        <v>0</v>
      </c>
      <c r="AV330" s="1">
        <f>((AU330*AU330)*($AP$325+$AR$23))+(AU330*($AP$326+$AR$24))+($AP$327+$AR$25)</f>
        <v>8.2979000000000003</v>
      </c>
      <c r="BH330" s="146" t="s">
        <v>33</v>
      </c>
      <c r="BI330" s="1">
        <v>0</v>
      </c>
      <c r="BJ330" s="1">
        <f>((BI330*BI330)*($BF$325+$BD$23))+(BI330*($BF$326+$BD$24))+($BF$327+$BD$25)</f>
        <v>8.2401</v>
      </c>
    </row>
    <row r="331" spans="2:62" x14ac:dyDescent="0.25">
      <c r="B331" s="1">
        <v>-5</v>
      </c>
      <c r="C331" s="1">
        <f t="shared" si="143"/>
        <v>6.276647333333333</v>
      </c>
      <c r="D331" s="3">
        <v>5.8742080000000003</v>
      </c>
      <c r="E331" s="3">
        <v>6.4652839999999996</v>
      </c>
      <c r="F331" s="3">
        <v>6.4904500000000001</v>
      </c>
      <c r="O331" s="132"/>
      <c r="P331" s="132"/>
      <c r="Q331" s="132"/>
      <c r="R331" s="1">
        <v>-5</v>
      </c>
      <c r="S331" s="1">
        <f t="shared" ref="S331:S334" si="149">((R331*R331)*(P$325+$Q$409))+(R331*(P$326+$S$409))+(P$327+$U$409)</f>
        <v>6.3567999999999998</v>
      </c>
      <c r="W331" s="143" t="s">
        <v>25</v>
      </c>
      <c r="X331" s="1">
        <v>-5</v>
      </c>
      <c r="Y331" s="1">
        <f t="shared" ref="Y331:Y334" si="150">((X331*X331)*($P$325+$E$458))+(X331*($P$326+$E$459))+($P$327+$E$460)</f>
        <v>6.4378000000000011</v>
      </c>
      <c r="AK331" s="144" t="s">
        <v>25</v>
      </c>
      <c r="AL331" s="1">
        <v>-5</v>
      </c>
      <c r="AM331" s="1">
        <f t="shared" ref="AM331:AM334" si="151">((AL331*AL331)*($AI$325+$AC$25))+(AL331*($AI$326+$AE$25))+($AI$327+$AG$25)</f>
        <v>6.3734999999999999</v>
      </c>
      <c r="AT331" s="145">
        <v>12</v>
      </c>
      <c r="AU331" s="1">
        <v>-5</v>
      </c>
      <c r="AV331" s="1">
        <f t="shared" ref="AV331:AV334" si="152">((AU331*AU331)*($AP$325+$AR$23))+(AU331*($AP$326+$AR$24))+($AP$327+$AR$25)</f>
        <v>6.8384</v>
      </c>
      <c r="BH331" s="146" t="s">
        <v>33</v>
      </c>
      <c r="BI331" s="1">
        <v>-5</v>
      </c>
      <c r="BJ331" s="1">
        <f t="shared" ref="BJ331:BJ334" si="153">((BI331*BI331)*($BF$325+$BD$23))+(BI331*($BF$326+$BD$24))+($BF$327+$BD$25)</f>
        <v>6.7740999999999998</v>
      </c>
    </row>
    <row r="332" spans="2:62" x14ac:dyDescent="0.25">
      <c r="B332" s="1">
        <v>-10</v>
      </c>
      <c r="C332" s="1">
        <f t="shared" si="143"/>
        <v>5.4876590000000007</v>
      </c>
      <c r="D332" s="3">
        <v>5.1318789999999996</v>
      </c>
      <c r="E332" s="3">
        <v>5.6531510000000003</v>
      </c>
      <c r="F332" s="3">
        <v>5.6779469999999996</v>
      </c>
      <c r="O332" s="132"/>
      <c r="P332" s="132"/>
      <c r="Q332" s="132"/>
      <c r="R332" s="1">
        <v>-10</v>
      </c>
      <c r="S332" s="1">
        <f t="shared" si="149"/>
        <v>5.4247999999999994</v>
      </c>
      <c r="W332" s="143" t="s">
        <v>25</v>
      </c>
      <c r="X332" s="1">
        <v>-10</v>
      </c>
      <c r="Y332" s="1">
        <f t="shared" si="150"/>
        <v>5.5183</v>
      </c>
      <c r="AK332" s="144" t="s">
        <v>25</v>
      </c>
      <c r="AL332" s="1">
        <v>-10</v>
      </c>
      <c r="AM332" s="1">
        <f t="shared" si="151"/>
        <v>5.4574999999999996</v>
      </c>
      <c r="AT332" s="145">
        <v>12</v>
      </c>
      <c r="AU332" s="1">
        <v>-10</v>
      </c>
      <c r="AV332" s="1">
        <f t="shared" si="152"/>
        <v>5.8189000000000002</v>
      </c>
      <c r="BH332" s="146" t="s">
        <v>33</v>
      </c>
      <c r="BI332" s="1">
        <v>-10</v>
      </c>
      <c r="BJ332" s="1">
        <f t="shared" si="153"/>
        <v>5.7580999999999998</v>
      </c>
    </row>
    <row r="333" spans="2:62" x14ac:dyDescent="0.25">
      <c r="B333" s="1">
        <v>-15</v>
      </c>
      <c r="C333" s="1">
        <f t="shared" si="143"/>
        <v>5.1305020000000008</v>
      </c>
      <c r="D333" s="3">
        <v>4.8151869999999999</v>
      </c>
      <c r="E333" s="3">
        <v>5.2860050000000003</v>
      </c>
      <c r="F333" s="3">
        <v>5.2903140000000004</v>
      </c>
      <c r="O333" s="132"/>
      <c r="P333" s="132"/>
      <c r="Q333" s="132"/>
      <c r="R333" s="1">
        <v>-15</v>
      </c>
      <c r="S333" s="1">
        <f t="shared" si="149"/>
        <v>4.9577999999999998</v>
      </c>
      <c r="W333" s="143" t="s">
        <v>25</v>
      </c>
      <c r="X333" s="1">
        <v>-15</v>
      </c>
      <c r="Y333" s="1">
        <f t="shared" si="150"/>
        <v>5.0388000000000011</v>
      </c>
      <c r="AK333" s="144" t="s">
        <v>25</v>
      </c>
      <c r="AL333" s="1">
        <v>-15</v>
      </c>
      <c r="AM333" s="1">
        <f t="shared" si="151"/>
        <v>4.9914999999999994</v>
      </c>
      <c r="AT333" s="145">
        <v>12</v>
      </c>
      <c r="AU333" s="1">
        <v>-15</v>
      </c>
      <c r="AV333" s="1">
        <f t="shared" si="152"/>
        <v>5.2394000000000007</v>
      </c>
      <c r="BH333" s="146" t="s">
        <v>33</v>
      </c>
      <c r="BI333" s="1">
        <v>-15</v>
      </c>
      <c r="BJ333" s="1">
        <f t="shared" si="153"/>
        <v>5.1920999999999999</v>
      </c>
    </row>
    <row r="334" spans="2:62" x14ac:dyDescent="0.25">
      <c r="B334" s="1">
        <v>-20</v>
      </c>
      <c r="C334" s="1">
        <f t="shared" si="143"/>
        <v>4.8938946666666663</v>
      </c>
      <c r="D334" s="3">
        <v>4.813898</v>
      </c>
      <c r="E334" s="3">
        <v>4.935943</v>
      </c>
      <c r="F334" s="3">
        <v>4.9318429999999998</v>
      </c>
      <c r="O334" s="132"/>
      <c r="P334" s="132"/>
      <c r="Q334" s="132"/>
      <c r="R334" s="1">
        <v>-20</v>
      </c>
      <c r="S334" s="1">
        <f t="shared" si="149"/>
        <v>4.9558</v>
      </c>
      <c r="W334" s="143" t="s">
        <v>25</v>
      </c>
      <c r="X334" s="1">
        <v>-20</v>
      </c>
      <c r="Y334" s="1">
        <f t="shared" si="150"/>
        <v>4.9992999999999999</v>
      </c>
      <c r="AK334" s="144" t="s">
        <v>25</v>
      </c>
      <c r="AL334" s="1">
        <v>-20</v>
      </c>
      <c r="AM334" s="1">
        <f t="shared" si="151"/>
        <v>4.9754999999999994</v>
      </c>
      <c r="AT334" s="145">
        <v>12</v>
      </c>
      <c r="AU334" s="1">
        <v>-20</v>
      </c>
      <c r="AV334" s="1">
        <f t="shared" si="152"/>
        <v>5.0998999999999999</v>
      </c>
      <c r="BH334" s="146" t="s">
        <v>33</v>
      </c>
      <c r="BI334" s="1">
        <v>-20</v>
      </c>
      <c r="BJ334" s="1">
        <f t="shared" si="153"/>
        <v>5.0761000000000003</v>
      </c>
    </row>
    <row r="335" spans="2:62" x14ac:dyDescent="0.25">
      <c r="AB335" s="132" t="s">
        <v>28</v>
      </c>
      <c r="AC335" s="132" t="s">
        <v>8</v>
      </c>
      <c r="AD335" s="132">
        <f>0.0867-0.0785</f>
        <v>8.199999999999999E-3</v>
      </c>
      <c r="AE335" s="132" t="s">
        <v>8</v>
      </c>
      <c r="AF335" s="132">
        <f>0.0083-0.0086</f>
        <v>-2.9999999999999992E-4</v>
      </c>
    </row>
    <row r="336" spans="2:62" x14ac:dyDescent="0.25">
      <c r="AB336" s="132"/>
      <c r="AC336" s="132" t="s">
        <v>9</v>
      </c>
      <c r="AD336" s="132">
        <f>0.1836-0.2445</f>
        <v>-6.0899999999999982E-2</v>
      </c>
      <c r="AE336" s="132" t="s">
        <v>9</v>
      </c>
      <c r="AF336" s="132">
        <f>0.3037-0.3114</f>
        <v>-7.6999999999999846E-3</v>
      </c>
    </row>
    <row r="337" spans="2:62" x14ac:dyDescent="0.25">
      <c r="AB337" s="132"/>
      <c r="AC337" s="132" t="s">
        <v>10</v>
      </c>
      <c r="AD337" s="132">
        <f>8.2365-8.1368</f>
        <v>9.9700000000000344E-2</v>
      </c>
      <c r="AE337" s="132" t="s">
        <v>10</v>
      </c>
      <c r="AF337" s="132">
        <f>7.4343-7.4486</f>
        <v>-1.4299999999999535E-2</v>
      </c>
    </row>
    <row r="338" spans="2:62" x14ac:dyDescent="0.25">
      <c r="B338" s="26" t="s">
        <v>0</v>
      </c>
      <c r="C338" s="26">
        <v>3.4</v>
      </c>
      <c r="D338" s="26"/>
      <c r="E338" s="26"/>
      <c r="F338" s="26"/>
      <c r="R338" s="132" t="s">
        <v>0</v>
      </c>
      <c r="S338" s="132">
        <v>3.4</v>
      </c>
      <c r="W338" s="132"/>
      <c r="X338" s="132" t="s">
        <v>0</v>
      </c>
      <c r="Y338" s="132">
        <v>3.4</v>
      </c>
      <c r="AK338" s="132"/>
      <c r="AL338" s="132" t="s">
        <v>0</v>
      </c>
      <c r="AM338" s="132">
        <v>3.4</v>
      </c>
      <c r="AT338" s="132"/>
      <c r="AU338" s="132" t="s">
        <v>0</v>
      </c>
      <c r="AV338" s="132">
        <v>3.4</v>
      </c>
      <c r="BH338" s="132"/>
      <c r="BI338" s="132" t="s">
        <v>0</v>
      </c>
      <c r="BJ338" s="132">
        <v>3.4</v>
      </c>
    </row>
    <row r="339" spans="2:62" x14ac:dyDescent="0.25">
      <c r="B339" s="1" t="s">
        <v>4</v>
      </c>
      <c r="C339" s="1" t="s">
        <v>5</v>
      </c>
      <c r="D339" s="1">
        <v>1</v>
      </c>
      <c r="E339" s="1">
        <v>2</v>
      </c>
      <c r="F339" s="1">
        <v>3</v>
      </c>
      <c r="O339" s="132" t="s">
        <v>8</v>
      </c>
      <c r="P339" s="132">
        <v>4.2799999999999998E-2</v>
      </c>
      <c r="Q339" s="132" t="s">
        <v>13</v>
      </c>
      <c r="R339" s="1" t="s">
        <v>4</v>
      </c>
      <c r="S339" s="1" t="s">
        <v>5</v>
      </c>
      <c r="W339" s="143" t="s">
        <v>26</v>
      </c>
      <c r="X339" s="1" t="s">
        <v>4</v>
      </c>
      <c r="Y339" s="1" t="s">
        <v>5</v>
      </c>
      <c r="AH339" s="132" t="s">
        <v>8</v>
      </c>
      <c r="AI339">
        <v>4.9500000000000002E-2</v>
      </c>
      <c r="AK339" s="144" t="s">
        <v>29</v>
      </c>
      <c r="AL339" s="1" t="s">
        <v>4</v>
      </c>
      <c r="AM339" s="1" t="s">
        <v>5</v>
      </c>
      <c r="AO339" s="132" t="s">
        <v>8</v>
      </c>
      <c r="AP339" s="132">
        <v>4.2799999999999998E-2</v>
      </c>
      <c r="AT339" s="145" t="s">
        <v>30</v>
      </c>
      <c r="AU339" s="1" t="s">
        <v>4</v>
      </c>
      <c r="AV339" s="1" t="s">
        <v>5</v>
      </c>
      <c r="BE339" s="132" t="s">
        <v>8</v>
      </c>
      <c r="BF339" s="132">
        <v>4.3799999999999999E-2</v>
      </c>
      <c r="BH339" s="146" t="s">
        <v>32</v>
      </c>
      <c r="BI339" s="1" t="s">
        <v>4</v>
      </c>
      <c r="BJ339" s="1" t="s">
        <v>5</v>
      </c>
    </row>
    <row r="340" spans="2:62" x14ac:dyDescent="0.25">
      <c r="B340" s="1">
        <v>14</v>
      </c>
      <c r="C340" s="1">
        <f>AVERAGE(E340,F340,D340)</f>
        <v>19.330591333333334</v>
      </c>
      <c r="D340" s="3">
        <v>19.277009</v>
      </c>
      <c r="E340" s="3">
        <v>19.219116</v>
      </c>
      <c r="F340" s="3">
        <v>19.495649</v>
      </c>
      <c r="O340" s="132" t="s">
        <v>9</v>
      </c>
      <c r="P340" s="132">
        <v>0.24540000000000001</v>
      </c>
      <c r="Q340" s="132" t="s">
        <v>15</v>
      </c>
      <c r="R340" s="1">
        <v>14</v>
      </c>
      <c r="S340" s="1">
        <f>((R340*R340)*(P$339+$Q$408))+(R340*(P$340+$S$408))+(P$341+$U$408)</f>
        <v>22.262299999999996</v>
      </c>
      <c r="W340" s="143" t="s">
        <v>25</v>
      </c>
      <c r="X340" s="1">
        <v>14</v>
      </c>
      <c r="Y340" s="1">
        <f>((X340*X340)*($P$339+$C$458))+(X340*($P$340+$C$459))+($P$341+$C$460)</f>
        <v>20.403599999999997</v>
      </c>
      <c r="AH340" s="132" t="s">
        <v>9</v>
      </c>
      <c r="AI340">
        <v>0.21129999999999999</v>
      </c>
      <c r="AK340" s="144" t="s">
        <v>25</v>
      </c>
      <c r="AL340" s="1">
        <v>14</v>
      </c>
      <c r="AM340" s="1">
        <f>((AL340*AL340)*($AI$339+$AC$24))+(AL340*($AI$340+$AE$24))+($AI$341+$AG$24)</f>
        <v>23.100300000000004</v>
      </c>
      <c r="AO340" s="132" t="s">
        <v>9</v>
      </c>
      <c r="AP340" s="132">
        <v>0.24540000000000001</v>
      </c>
      <c r="AT340" s="145">
        <v>12</v>
      </c>
      <c r="AU340" s="1">
        <v>14</v>
      </c>
      <c r="AV340" s="1">
        <f>((AU340*AU340)*($AP$339+$AP$23))+(AU340*($AP$340+$AP$24))+($AP$341+$AP$25)</f>
        <v>20.761800000000001</v>
      </c>
      <c r="BE340" s="132" t="s">
        <v>9</v>
      </c>
      <c r="BF340" s="132">
        <v>0.28460000000000002</v>
      </c>
      <c r="BH340" s="146" t="s">
        <v>33</v>
      </c>
      <c r="BI340" s="1">
        <v>14</v>
      </c>
      <c r="BJ340" s="1">
        <f>((BI340*BI340)*($BF$339+$BB$23))+(BI340*($BF$340+$BB$24))+($BF$341+$BB$25)</f>
        <v>23.465199999999996</v>
      </c>
    </row>
    <row r="341" spans="2:62" x14ac:dyDescent="0.25">
      <c r="B341" s="1">
        <v>13</v>
      </c>
      <c r="C341" s="1">
        <f t="shared" ref="C341:C358" si="154">AVERAGE(E341,F341,D341)</f>
        <v>18.250974333333335</v>
      </c>
      <c r="D341" s="3">
        <v>18.140571999999999</v>
      </c>
      <c r="E341" s="3">
        <v>18.185140000000001</v>
      </c>
      <c r="F341" s="3">
        <v>18.427211</v>
      </c>
      <c r="O341" s="132" t="s">
        <v>10</v>
      </c>
      <c r="P341" s="132">
        <v>7.7248999999999999</v>
      </c>
      <c r="Q341" s="132" t="s">
        <v>16</v>
      </c>
      <c r="R341" s="1">
        <v>13</v>
      </c>
      <c r="S341" s="1">
        <f t="shared" ref="S341:S353" si="155">((R341*R341)*(P$339+$Q$408))+(R341*(P$340+$S$408))+(P$341+$U$408)</f>
        <v>20.144899999999996</v>
      </c>
      <c r="W341" s="143" t="s">
        <v>25</v>
      </c>
      <c r="X341" s="1">
        <v>13</v>
      </c>
      <c r="Y341" s="1">
        <f t="shared" ref="Y341:Y353" si="156">((X341*X341)*($P$339+$C$458))+(X341*($P$340+$C$459))+($P$341+$C$460)</f>
        <v>18.842100000000002</v>
      </c>
      <c r="AH341" s="132" t="s">
        <v>10</v>
      </c>
      <c r="AI341">
        <v>7.7271000000000001</v>
      </c>
      <c r="AK341" s="144" t="s">
        <v>25</v>
      </c>
      <c r="AL341" s="1">
        <v>13</v>
      </c>
      <c r="AM341" s="1">
        <f t="shared" ref="AM341:AM353" si="157">((AL341*AL341)*($AI$339+$AC$24))+(AL341*($AI$340+$AE$24))+($AI$341+$AG$24)</f>
        <v>20.836100000000002</v>
      </c>
      <c r="AO341" s="132" t="s">
        <v>10</v>
      </c>
      <c r="AP341" s="132">
        <v>7.7248999999999999</v>
      </c>
      <c r="AT341" s="145">
        <v>12</v>
      </c>
      <c r="AU341" s="1">
        <v>13</v>
      </c>
      <c r="AV341" s="1">
        <f t="shared" ref="AV341:AV353" si="158">((AU341*AU341)*($AP$339+$AP$23))+(AU341*($AP$340+$AP$24))+($AP$341+$AP$25)</f>
        <v>19.2864</v>
      </c>
      <c r="BE341" s="132" t="s">
        <v>10</v>
      </c>
      <c r="BF341" s="132">
        <v>8.1829999999999998</v>
      </c>
      <c r="BH341" s="146" t="s">
        <v>33</v>
      </c>
      <c r="BI341" s="1">
        <v>13</v>
      </c>
      <c r="BJ341" s="1">
        <f t="shared" ref="BJ341:BJ353" si="159">((BI341*BI341)*($BF$339+$BB$23))+(BI341*($BF$340+$BB$24))+($BF$341+$BB$25)</f>
        <v>21.281599999999997</v>
      </c>
    </row>
    <row r="342" spans="2:62" x14ac:dyDescent="0.25">
      <c r="B342" s="1">
        <v>12</v>
      </c>
      <c r="C342" s="1">
        <f t="shared" si="154"/>
        <v>17.152488000000002</v>
      </c>
      <c r="D342" s="3">
        <v>16.980609999999999</v>
      </c>
      <c r="E342" s="3">
        <v>17.135225999999999</v>
      </c>
      <c r="F342" s="3">
        <v>17.341628</v>
      </c>
      <c r="O342" s="132"/>
      <c r="P342" s="132"/>
      <c r="Q342" s="132"/>
      <c r="R342" s="1">
        <v>12</v>
      </c>
      <c r="S342" s="1">
        <f t="shared" si="155"/>
        <v>18.200099999999999</v>
      </c>
      <c r="W342" s="143" t="s">
        <v>25</v>
      </c>
      <c r="X342" s="1">
        <v>12</v>
      </c>
      <c r="Y342" s="1">
        <f t="shared" si="156"/>
        <v>17.3826</v>
      </c>
      <c r="AH342" s="132"/>
      <c r="AK342" s="144" t="s">
        <v>25</v>
      </c>
      <c r="AL342" s="1">
        <v>12</v>
      </c>
      <c r="AM342" s="1">
        <f t="shared" si="157"/>
        <v>18.757899999999999</v>
      </c>
      <c r="AO342" s="132"/>
      <c r="AP342" s="132"/>
      <c r="AT342" s="145">
        <v>12</v>
      </c>
      <c r="AU342" s="1">
        <v>12</v>
      </c>
      <c r="AV342" s="1">
        <f t="shared" si="158"/>
        <v>17.900399999999998</v>
      </c>
      <c r="BE342" s="132"/>
      <c r="BF342" s="132"/>
      <c r="BH342" s="146" t="s">
        <v>33</v>
      </c>
      <c r="BI342" s="1">
        <v>12</v>
      </c>
      <c r="BJ342" s="1">
        <f t="shared" si="159"/>
        <v>19.272599999999997</v>
      </c>
    </row>
    <row r="343" spans="2:62" x14ac:dyDescent="0.25">
      <c r="B343" s="1">
        <v>11</v>
      </c>
      <c r="C343" s="1">
        <f t="shared" si="154"/>
        <v>15.618146333333334</v>
      </c>
      <c r="D343" s="3">
        <v>15.545515</v>
      </c>
      <c r="E343" s="3">
        <v>15.471921999999999</v>
      </c>
      <c r="F343" s="3">
        <v>15.837002</v>
      </c>
      <c r="O343" s="132"/>
      <c r="P343" s="132"/>
      <c r="Q343" s="132"/>
      <c r="R343" s="1">
        <v>11</v>
      </c>
      <c r="S343" s="1">
        <f t="shared" si="155"/>
        <v>16.427899999999998</v>
      </c>
      <c r="W343" s="143" t="s">
        <v>25</v>
      </c>
      <c r="X343" s="1">
        <v>11</v>
      </c>
      <c r="Y343" s="1">
        <f t="shared" si="156"/>
        <v>16.025100000000002</v>
      </c>
      <c r="AH343" s="132"/>
      <c r="AK343" s="144" t="s">
        <v>25</v>
      </c>
      <c r="AL343" s="1">
        <v>11</v>
      </c>
      <c r="AM343" s="1">
        <f t="shared" si="157"/>
        <v>16.8657</v>
      </c>
      <c r="AO343" s="132"/>
      <c r="AP343" s="132"/>
      <c r="AT343" s="145">
        <v>12</v>
      </c>
      <c r="AU343" s="1">
        <v>11</v>
      </c>
      <c r="AV343" s="1">
        <f t="shared" si="158"/>
        <v>16.6038</v>
      </c>
      <c r="BE343" s="132"/>
      <c r="BF343" s="132"/>
      <c r="BH343" s="146" t="s">
        <v>33</v>
      </c>
      <c r="BI343" s="1">
        <v>11</v>
      </c>
      <c r="BJ343" s="1">
        <f t="shared" si="159"/>
        <v>17.438199999999998</v>
      </c>
    </row>
    <row r="344" spans="2:62" x14ac:dyDescent="0.25">
      <c r="B344" s="1">
        <v>10</v>
      </c>
      <c r="C344" s="1">
        <f t="shared" si="154"/>
        <v>14.295427000000002</v>
      </c>
      <c r="D344" s="3">
        <v>14.19346</v>
      </c>
      <c r="E344" s="3">
        <v>14.162534000000001</v>
      </c>
      <c r="F344" s="3">
        <v>14.530287</v>
      </c>
      <c r="O344" s="132"/>
      <c r="P344" s="132"/>
      <c r="Q344" s="132"/>
      <c r="R344" s="1">
        <v>10</v>
      </c>
      <c r="S344" s="1">
        <f t="shared" si="155"/>
        <v>14.828299999999999</v>
      </c>
      <c r="W344" s="143" t="s">
        <v>25</v>
      </c>
      <c r="X344" s="1">
        <v>10</v>
      </c>
      <c r="Y344" s="1">
        <f t="shared" si="156"/>
        <v>14.769600000000001</v>
      </c>
      <c r="AH344" s="132"/>
      <c r="AK344" s="144" t="s">
        <v>25</v>
      </c>
      <c r="AL344" s="1">
        <v>10</v>
      </c>
      <c r="AM344" s="1">
        <f t="shared" si="157"/>
        <v>15.159500000000001</v>
      </c>
      <c r="AO344" s="132"/>
      <c r="AP344" s="132"/>
      <c r="AT344" s="145">
        <v>12</v>
      </c>
      <c r="AU344" s="1">
        <v>10</v>
      </c>
      <c r="AV344" s="1">
        <f t="shared" si="158"/>
        <v>15.396599999999999</v>
      </c>
      <c r="BE344" s="132"/>
      <c r="BF344" s="132"/>
      <c r="BH344" s="146" t="s">
        <v>33</v>
      </c>
      <c r="BI344" s="1">
        <v>10</v>
      </c>
      <c r="BJ344" s="1">
        <f t="shared" si="159"/>
        <v>15.7784</v>
      </c>
    </row>
    <row r="345" spans="2:62" x14ac:dyDescent="0.25">
      <c r="B345" s="1">
        <v>9</v>
      </c>
      <c r="C345" s="1">
        <f t="shared" si="154"/>
        <v>13.337869</v>
      </c>
      <c r="D345" s="3">
        <v>13.202089000000001</v>
      </c>
      <c r="E345" s="3">
        <v>13.208817</v>
      </c>
      <c r="F345" s="3">
        <v>13.602701</v>
      </c>
      <c r="O345" s="132"/>
      <c r="P345" s="132"/>
      <c r="Q345" s="132"/>
      <c r="R345" s="1">
        <v>9</v>
      </c>
      <c r="S345" s="1">
        <f t="shared" si="155"/>
        <v>13.401299999999997</v>
      </c>
      <c r="W345" s="143" t="s">
        <v>25</v>
      </c>
      <c r="X345" s="1">
        <v>9</v>
      </c>
      <c r="Y345" s="1">
        <f t="shared" si="156"/>
        <v>13.616099999999999</v>
      </c>
      <c r="AH345" s="132"/>
      <c r="AK345" s="144" t="s">
        <v>25</v>
      </c>
      <c r="AL345" s="1">
        <v>9</v>
      </c>
      <c r="AM345" s="1">
        <f t="shared" si="157"/>
        <v>13.639300000000002</v>
      </c>
      <c r="AO345" s="132"/>
      <c r="AP345" s="132"/>
      <c r="AT345" s="145">
        <v>12</v>
      </c>
      <c r="AU345" s="1">
        <v>9</v>
      </c>
      <c r="AV345" s="1">
        <f t="shared" si="158"/>
        <v>14.2788</v>
      </c>
      <c r="BE345" s="132"/>
      <c r="BF345" s="132"/>
      <c r="BH345" s="146" t="s">
        <v>33</v>
      </c>
      <c r="BI345" s="1">
        <v>9</v>
      </c>
      <c r="BJ345" s="1">
        <f t="shared" si="159"/>
        <v>14.293199999999999</v>
      </c>
    </row>
    <row r="346" spans="2:62" x14ac:dyDescent="0.25">
      <c r="B346" s="1">
        <v>8</v>
      </c>
      <c r="C346" s="1">
        <f t="shared" si="154"/>
        <v>12.509846333333334</v>
      </c>
      <c r="D346" s="3">
        <v>12.364134</v>
      </c>
      <c r="E346" s="3">
        <v>12.394958000000001</v>
      </c>
      <c r="F346" s="3">
        <v>12.770447000000001</v>
      </c>
      <c r="O346" s="132"/>
      <c r="P346" s="132"/>
      <c r="Q346" s="132"/>
      <c r="R346" s="1">
        <v>8</v>
      </c>
      <c r="S346" s="1">
        <f t="shared" si="155"/>
        <v>12.146899999999999</v>
      </c>
      <c r="W346" s="143" t="s">
        <v>25</v>
      </c>
      <c r="X346" s="1">
        <v>8</v>
      </c>
      <c r="Y346" s="1">
        <f t="shared" si="156"/>
        <v>12.5646</v>
      </c>
      <c r="AH346" s="132"/>
      <c r="AK346" s="144" t="s">
        <v>25</v>
      </c>
      <c r="AL346" s="1">
        <v>8</v>
      </c>
      <c r="AM346" s="1">
        <f t="shared" si="157"/>
        <v>12.305100000000001</v>
      </c>
      <c r="AO346" s="132"/>
      <c r="AP346" s="132"/>
      <c r="AT346" s="145">
        <v>12</v>
      </c>
      <c r="AU346" s="1">
        <v>8</v>
      </c>
      <c r="AV346" s="1">
        <f t="shared" si="158"/>
        <v>13.250399999999999</v>
      </c>
      <c r="BE346" s="132"/>
      <c r="BF346" s="132"/>
      <c r="BH346" s="146" t="s">
        <v>33</v>
      </c>
      <c r="BI346" s="1">
        <v>8</v>
      </c>
      <c r="BJ346" s="1">
        <f t="shared" si="159"/>
        <v>12.9826</v>
      </c>
    </row>
    <row r="347" spans="2:62" x14ac:dyDescent="0.25">
      <c r="B347" s="1">
        <v>7</v>
      </c>
      <c r="C347" s="1">
        <f t="shared" si="154"/>
        <v>11.561268333333333</v>
      </c>
      <c r="D347" s="3">
        <v>11.358893999999999</v>
      </c>
      <c r="E347" s="3">
        <v>11.506745</v>
      </c>
      <c r="F347" s="3">
        <v>11.818166</v>
      </c>
      <c r="O347" s="132"/>
      <c r="P347" s="132"/>
      <c r="Q347" s="132"/>
      <c r="R347" s="1">
        <v>7</v>
      </c>
      <c r="S347" s="1">
        <f t="shared" si="155"/>
        <v>11.065099999999997</v>
      </c>
      <c r="W347" s="143" t="s">
        <v>25</v>
      </c>
      <c r="X347" s="1">
        <v>7</v>
      </c>
      <c r="Y347" s="1">
        <f t="shared" si="156"/>
        <v>11.6151</v>
      </c>
      <c r="AH347" s="132"/>
      <c r="AK347" s="144" t="s">
        <v>25</v>
      </c>
      <c r="AL347" s="1">
        <v>7</v>
      </c>
      <c r="AM347" s="1">
        <f t="shared" si="157"/>
        <v>11.1569</v>
      </c>
      <c r="AO347" s="132"/>
      <c r="AP347" s="132"/>
      <c r="AT347" s="145">
        <v>12</v>
      </c>
      <c r="AU347" s="1">
        <v>7</v>
      </c>
      <c r="AV347" s="1">
        <f t="shared" si="158"/>
        <v>12.311399999999999</v>
      </c>
      <c r="BE347" s="132"/>
      <c r="BF347" s="132"/>
      <c r="BH347" s="146" t="s">
        <v>33</v>
      </c>
      <c r="BI347" s="1">
        <v>7</v>
      </c>
      <c r="BJ347" s="1">
        <f t="shared" si="159"/>
        <v>11.846599999999999</v>
      </c>
    </row>
    <row r="348" spans="2:62" x14ac:dyDescent="0.25">
      <c r="B348" s="1">
        <v>6</v>
      </c>
      <c r="C348" s="1">
        <f t="shared" si="154"/>
        <v>10.736245666666667</v>
      </c>
      <c r="D348" s="3">
        <v>10.495027</v>
      </c>
      <c r="E348" s="3">
        <v>10.723293999999999</v>
      </c>
      <c r="F348" s="3">
        <v>10.990416</v>
      </c>
      <c r="O348" s="132"/>
      <c r="P348" s="132"/>
      <c r="Q348" s="132"/>
      <c r="R348" s="1">
        <v>6</v>
      </c>
      <c r="S348" s="1">
        <f t="shared" si="155"/>
        <v>10.155899999999999</v>
      </c>
      <c r="W348" s="143" t="s">
        <v>25</v>
      </c>
      <c r="X348" s="1">
        <v>6</v>
      </c>
      <c r="Y348" s="1">
        <f t="shared" si="156"/>
        <v>10.7676</v>
      </c>
      <c r="AH348" s="132"/>
      <c r="AK348" s="144" t="s">
        <v>25</v>
      </c>
      <c r="AL348" s="1">
        <v>6</v>
      </c>
      <c r="AM348" s="1">
        <f t="shared" si="157"/>
        <v>10.194700000000001</v>
      </c>
      <c r="AO348" s="132"/>
      <c r="AP348" s="132"/>
      <c r="AT348" s="145">
        <v>12</v>
      </c>
      <c r="AU348" s="1">
        <v>6</v>
      </c>
      <c r="AV348" s="1">
        <f t="shared" si="158"/>
        <v>11.4618</v>
      </c>
      <c r="BE348" s="132"/>
      <c r="BF348" s="132"/>
      <c r="BH348" s="146" t="s">
        <v>33</v>
      </c>
      <c r="BI348" s="1">
        <v>6</v>
      </c>
      <c r="BJ348" s="1">
        <f t="shared" si="159"/>
        <v>10.885199999999999</v>
      </c>
    </row>
    <row r="349" spans="2:62" x14ac:dyDescent="0.25">
      <c r="B349" s="1">
        <v>5</v>
      </c>
      <c r="C349" s="1">
        <f t="shared" si="154"/>
        <v>9.8255056666666665</v>
      </c>
      <c r="D349" s="3">
        <v>9.4989539999999995</v>
      </c>
      <c r="E349" s="3">
        <v>9.8700740000000007</v>
      </c>
      <c r="F349" s="3">
        <v>10.107488999999999</v>
      </c>
      <c r="O349" s="132" t="s">
        <v>8</v>
      </c>
      <c r="P349" s="132">
        <v>8.8999999999999999E-3</v>
      </c>
      <c r="Q349" s="132" t="s">
        <v>14</v>
      </c>
      <c r="R349" s="1">
        <v>5</v>
      </c>
      <c r="S349" s="1">
        <f t="shared" si="155"/>
        <v>9.419299999999998</v>
      </c>
      <c r="W349" s="143" t="s">
        <v>25</v>
      </c>
      <c r="X349" s="1">
        <v>5</v>
      </c>
      <c r="Y349" s="1">
        <f t="shared" si="156"/>
        <v>10.0221</v>
      </c>
      <c r="AH349" s="132" t="s">
        <v>8</v>
      </c>
      <c r="AI349">
        <v>8.6E-3</v>
      </c>
      <c r="AK349" s="144" t="s">
        <v>25</v>
      </c>
      <c r="AL349" s="1">
        <v>5</v>
      </c>
      <c r="AM349" s="1">
        <f t="shared" si="157"/>
        <v>9.4185000000000016</v>
      </c>
      <c r="AO349" s="132" t="s">
        <v>8</v>
      </c>
      <c r="AP349" s="132">
        <v>8.8999999999999999E-3</v>
      </c>
      <c r="AT349" s="145">
        <v>12</v>
      </c>
      <c r="AU349" s="1">
        <v>5</v>
      </c>
      <c r="AV349" s="1">
        <f t="shared" si="158"/>
        <v>10.701599999999999</v>
      </c>
      <c r="BE349" s="132" t="s">
        <v>8</v>
      </c>
      <c r="BF349" s="132">
        <v>8.6E-3</v>
      </c>
      <c r="BH349" s="146" t="s">
        <v>33</v>
      </c>
      <c r="BI349" s="1">
        <v>5</v>
      </c>
      <c r="BJ349" s="1">
        <f t="shared" si="159"/>
        <v>10.0984</v>
      </c>
    </row>
    <row r="350" spans="2:62" x14ac:dyDescent="0.25">
      <c r="B350" s="1">
        <v>4</v>
      </c>
      <c r="C350" s="1">
        <f t="shared" si="154"/>
        <v>9.497656666666666</v>
      </c>
      <c r="D350" s="3">
        <v>9.1548839999999991</v>
      </c>
      <c r="E350" s="3">
        <v>9.5684819999999995</v>
      </c>
      <c r="F350" s="3">
        <v>9.7696039999999993</v>
      </c>
      <c r="O350" s="132" t="s">
        <v>9</v>
      </c>
      <c r="P350" s="132">
        <v>0.31630000000000003</v>
      </c>
      <c r="Q350" s="132" t="s">
        <v>17</v>
      </c>
      <c r="R350" s="1">
        <v>4</v>
      </c>
      <c r="S350" s="1">
        <f t="shared" si="155"/>
        <v>8.855299999999998</v>
      </c>
      <c r="W350" s="143" t="s">
        <v>25</v>
      </c>
      <c r="X350" s="1">
        <v>4</v>
      </c>
      <c r="Y350" s="1">
        <f t="shared" si="156"/>
        <v>9.3786000000000005</v>
      </c>
      <c r="AH350" s="132" t="s">
        <v>9</v>
      </c>
      <c r="AI350">
        <v>0.30859999999999999</v>
      </c>
      <c r="AK350" s="144" t="s">
        <v>25</v>
      </c>
      <c r="AL350" s="1">
        <v>4</v>
      </c>
      <c r="AM350" s="1">
        <f t="shared" si="157"/>
        <v>8.8283000000000005</v>
      </c>
      <c r="AO350" s="132" t="s">
        <v>9</v>
      </c>
      <c r="AP350" s="132">
        <v>0.31630000000000003</v>
      </c>
      <c r="AT350" s="145">
        <v>12</v>
      </c>
      <c r="AU350" s="1">
        <v>4</v>
      </c>
      <c r="AV350" s="1">
        <f t="shared" si="158"/>
        <v>10.030799999999999</v>
      </c>
      <c r="BE350" s="132" t="s">
        <v>9</v>
      </c>
      <c r="BF350" s="132">
        <v>0.3286</v>
      </c>
      <c r="BH350" s="146" t="s">
        <v>33</v>
      </c>
      <c r="BI350" s="1">
        <v>4</v>
      </c>
      <c r="BJ350" s="1">
        <f t="shared" si="159"/>
        <v>9.4862000000000002</v>
      </c>
    </row>
    <row r="351" spans="2:62" x14ac:dyDescent="0.25">
      <c r="B351" s="1">
        <v>3</v>
      </c>
      <c r="C351" s="1">
        <f t="shared" si="154"/>
        <v>8.7989053333333338</v>
      </c>
      <c r="D351" s="3">
        <v>8.4377999999999993</v>
      </c>
      <c r="E351" s="3">
        <v>8.8877830000000007</v>
      </c>
      <c r="F351" s="3">
        <v>9.0711329999999997</v>
      </c>
      <c r="O351" s="132" t="s">
        <v>10</v>
      </c>
      <c r="P351" s="132">
        <v>7.6291000000000002</v>
      </c>
      <c r="Q351" s="132" t="s">
        <v>18</v>
      </c>
      <c r="R351" s="1">
        <v>3</v>
      </c>
      <c r="S351" s="1">
        <f t="shared" si="155"/>
        <v>8.4638999999999989</v>
      </c>
      <c r="W351" s="143" t="s">
        <v>25</v>
      </c>
      <c r="X351" s="1">
        <v>3</v>
      </c>
      <c r="Y351" s="1">
        <f t="shared" si="156"/>
        <v>8.8370999999999995</v>
      </c>
      <c r="AH351" s="132" t="s">
        <v>10</v>
      </c>
      <c r="AI351">
        <v>7.6147999999999998</v>
      </c>
      <c r="AK351" s="144" t="s">
        <v>25</v>
      </c>
      <c r="AL351" s="1">
        <v>3</v>
      </c>
      <c r="AM351" s="1">
        <f t="shared" si="157"/>
        <v>8.424100000000001</v>
      </c>
      <c r="AO351" s="132" t="s">
        <v>10</v>
      </c>
      <c r="AP351" s="132">
        <v>7.6291000000000002</v>
      </c>
      <c r="AT351" s="145">
        <v>12</v>
      </c>
      <c r="AU351" s="1">
        <v>3</v>
      </c>
      <c r="AV351" s="1">
        <f t="shared" si="158"/>
        <v>9.4494000000000007</v>
      </c>
      <c r="BE351" s="132" t="s">
        <v>10</v>
      </c>
      <c r="BF351" s="132">
        <v>8.1153999999999993</v>
      </c>
      <c r="BH351" s="146" t="s">
        <v>33</v>
      </c>
      <c r="BI351" s="1">
        <v>3</v>
      </c>
      <c r="BJ351" s="1">
        <f t="shared" si="159"/>
        <v>9.0486000000000004</v>
      </c>
    </row>
    <row r="352" spans="2:62" x14ac:dyDescent="0.25">
      <c r="B352" s="1">
        <v>2</v>
      </c>
      <c r="C352" s="1">
        <f t="shared" si="154"/>
        <v>8.4378443333333326</v>
      </c>
      <c r="D352" s="3">
        <v>8.0578420000000008</v>
      </c>
      <c r="E352" s="3">
        <v>8.5428840000000008</v>
      </c>
      <c r="F352" s="3">
        <v>8.7128069999999997</v>
      </c>
      <c r="R352" s="1">
        <v>2</v>
      </c>
      <c r="S352" s="1">
        <f t="shared" si="155"/>
        <v>8.245099999999999</v>
      </c>
      <c r="W352" s="143" t="s">
        <v>25</v>
      </c>
      <c r="X352" s="1">
        <v>2</v>
      </c>
      <c r="Y352" s="1">
        <f t="shared" si="156"/>
        <v>8.3976000000000006</v>
      </c>
      <c r="AK352" s="144" t="s">
        <v>25</v>
      </c>
      <c r="AL352" s="1">
        <v>2</v>
      </c>
      <c r="AM352" s="1">
        <f t="shared" si="157"/>
        <v>8.2058999999999997</v>
      </c>
      <c r="AT352" s="145">
        <v>12</v>
      </c>
      <c r="AU352" s="1">
        <v>2</v>
      </c>
      <c r="AV352" s="1">
        <f t="shared" si="158"/>
        <v>8.9573999999999998</v>
      </c>
      <c r="BH352" s="146" t="s">
        <v>33</v>
      </c>
      <c r="BI352" s="1">
        <v>2</v>
      </c>
      <c r="BJ352" s="1">
        <f t="shared" si="159"/>
        <v>8.7856000000000005</v>
      </c>
    </row>
    <row r="353" spans="2:62" x14ac:dyDescent="0.25">
      <c r="B353" s="1">
        <v>1</v>
      </c>
      <c r="C353" s="1">
        <f t="shared" si="154"/>
        <v>8.0609926666666674</v>
      </c>
      <c r="D353" s="3">
        <v>7.6661659999999996</v>
      </c>
      <c r="E353" s="3">
        <v>8.1895819999999997</v>
      </c>
      <c r="F353" s="3">
        <v>8.3272300000000001</v>
      </c>
      <c r="R353" s="1">
        <v>1</v>
      </c>
      <c r="S353" s="1">
        <f t="shared" si="155"/>
        <v>8.1988999999999983</v>
      </c>
      <c r="W353" s="143" t="s">
        <v>25</v>
      </c>
      <c r="X353" s="1">
        <v>1</v>
      </c>
      <c r="Y353" s="1">
        <f t="shared" si="156"/>
        <v>8.0601000000000003</v>
      </c>
      <c r="AK353" s="144" t="s">
        <v>25</v>
      </c>
      <c r="AL353" s="1">
        <v>1</v>
      </c>
      <c r="AM353" s="1">
        <f t="shared" si="157"/>
        <v>8.1737000000000002</v>
      </c>
      <c r="AT353" s="145">
        <v>12</v>
      </c>
      <c r="AU353" s="1">
        <v>1</v>
      </c>
      <c r="AV353" s="1">
        <f t="shared" si="158"/>
        <v>8.5548000000000002</v>
      </c>
      <c r="BH353" s="146" t="s">
        <v>33</v>
      </c>
      <c r="BI353" s="1">
        <v>1</v>
      </c>
      <c r="BJ353" s="1">
        <f t="shared" si="159"/>
        <v>8.6972000000000005</v>
      </c>
    </row>
    <row r="354" spans="2:62" x14ac:dyDescent="0.25">
      <c r="B354" s="1">
        <v>0</v>
      </c>
      <c r="C354" s="1">
        <f t="shared" si="154"/>
        <v>7.698560333333333</v>
      </c>
      <c r="D354" s="3">
        <v>7.3234159999999999</v>
      </c>
      <c r="E354" s="3">
        <v>7.8278790000000003</v>
      </c>
      <c r="F354" s="3">
        <v>7.9443859999999997</v>
      </c>
      <c r="R354" s="1">
        <v>0</v>
      </c>
      <c r="S354" s="1">
        <f>((R354*R354)*(P$349+$Q$409))+(R354*(P$350+$S$409))+(P$351+$U$409)</f>
        <v>7.5712999999999999</v>
      </c>
      <c r="W354" s="143" t="s">
        <v>25</v>
      </c>
      <c r="X354" s="1">
        <v>0</v>
      </c>
      <c r="Y354" s="1">
        <f>((X354*X354)*($P$349+$E$458))+(X354*($P$350+$E$459))+($P$351+$E$460)</f>
        <v>7.6148000000000007</v>
      </c>
      <c r="AK354" s="144" t="s">
        <v>25</v>
      </c>
      <c r="AL354" s="1">
        <v>0</v>
      </c>
      <c r="AM354" s="1">
        <f>((AL354*AL354)*($AI$349+$AC$25))+(AL354*($AI$350+$AE$25))+($AI$351+$AG$25)</f>
        <v>7.5569999999999995</v>
      </c>
      <c r="AT354" s="145">
        <v>12</v>
      </c>
      <c r="AU354" s="1">
        <v>0</v>
      </c>
      <c r="AV354" s="1">
        <f>((AU354*AU354)*($AP$349+$AR$23))+(AU354*($AP$350+$AR$24))+($AP$351+$AR$25)</f>
        <v>8.1154000000000011</v>
      </c>
      <c r="BH354" s="146" t="s">
        <v>33</v>
      </c>
      <c r="BI354" s="1">
        <v>0</v>
      </c>
      <c r="BJ354" s="1">
        <f>((BI354*BI354)*($BF$349+$BD$23))+(BI354*($BF$350+$BD$24))+($BF$351+$BD$25)</f>
        <v>8.057599999999999</v>
      </c>
    </row>
    <row r="355" spans="2:62" x14ac:dyDescent="0.25">
      <c r="B355" s="1">
        <v>-5</v>
      </c>
      <c r="C355" s="1">
        <f t="shared" si="154"/>
        <v>6.1279539999999999</v>
      </c>
      <c r="D355" s="3">
        <v>5.735557</v>
      </c>
      <c r="E355" s="3">
        <v>6.3087229999999996</v>
      </c>
      <c r="F355" s="3">
        <v>6.3395820000000001</v>
      </c>
      <c r="R355" s="1">
        <v>-5</v>
      </c>
      <c r="S355" s="1">
        <f t="shared" ref="S355:S358" si="160">((R355*R355)*(P$349+$Q$409))+(R355*(P$350+$S$409))+(P$351+$U$409)</f>
        <v>6.2058</v>
      </c>
      <c r="W355" s="143" t="s">
        <v>25</v>
      </c>
      <c r="X355" s="1">
        <v>-5</v>
      </c>
      <c r="Y355" s="1">
        <f t="shared" ref="Y355:Y357" si="161">((X355*X355)*($P$349+$E$458))+(X355*($P$350+$E$459))+($P$351+$E$460)</f>
        <v>6.2868000000000004</v>
      </c>
      <c r="AK355" s="144" t="s">
        <v>25</v>
      </c>
      <c r="AL355" s="1">
        <v>-5</v>
      </c>
      <c r="AM355" s="1">
        <f t="shared" ref="AM355:AM358" si="162">((AL355*AL355)*($AI$349+$AC$25))+(AL355*($AI$350+$AE$25))+($AI$351+$AG$25)</f>
        <v>6.2224999999999993</v>
      </c>
      <c r="AT355" s="145">
        <v>12</v>
      </c>
      <c r="AU355" s="1">
        <v>-5</v>
      </c>
      <c r="AV355" s="1">
        <f t="shared" ref="AV355:AV358" si="163">((AU355*AU355)*($AP$349+$AR$23))+(AU355*($AP$350+$AR$24))+($AP$351+$AR$25)</f>
        <v>6.6874000000000011</v>
      </c>
      <c r="BH355" s="146" t="s">
        <v>33</v>
      </c>
      <c r="BI355" s="1">
        <v>-5</v>
      </c>
      <c r="BJ355" s="1">
        <f t="shared" ref="BJ355:BJ358" si="164">((BI355*BI355)*($BF$349+$BD$23))+(BI355*($BF$350+$BD$24))+($BF$351+$BD$25)</f>
        <v>6.6230999999999991</v>
      </c>
    </row>
    <row r="356" spans="2:62" x14ac:dyDescent="0.25">
      <c r="B356" s="1">
        <v>-10</v>
      </c>
      <c r="C356" s="1">
        <f t="shared" si="154"/>
        <v>5.358820333333334</v>
      </c>
      <c r="D356" s="3">
        <v>5.005071</v>
      </c>
      <c r="E356" s="3">
        <v>5.5226059999999997</v>
      </c>
      <c r="F356" s="3">
        <v>5.5487840000000004</v>
      </c>
      <c r="R356" s="1">
        <v>-10</v>
      </c>
      <c r="S356" s="1">
        <f t="shared" si="160"/>
        <v>5.2952999999999992</v>
      </c>
      <c r="W356" s="143" t="s">
        <v>25</v>
      </c>
      <c r="X356" s="1">
        <v>-10</v>
      </c>
      <c r="Y356" s="1">
        <f t="shared" si="161"/>
        <v>5.3887999999999998</v>
      </c>
      <c r="AK356" s="144" t="s">
        <v>25</v>
      </c>
      <c r="AL356" s="1">
        <v>-10</v>
      </c>
      <c r="AM356" s="1">
        <f t="shared" si="162"/>
        <v>5.3279999999999994</v>
      </c>
      <c r="AT356" s="145">
        <v>12</v>
      </c>
      <c r="AU356" s="1">
        <v>-10</v>
      </c>
      <c r="AV356" s="1">
        <f t="shared" si="163"/>
        <v>5.6894000000000009</v>
      </c>
      <c r="BH356" s="146" t="s">
        <v>33</v>
      </c>
      <c r="BI356" s="1">
        <v>-10</v>
      </c>
      <c r="BJ356" s="1">
        <f t="shared" si="164"/>
        <v>5.6285999999999987</v>
      </c>
    </row>
    <row r="357" spans="2:62" x14ac:dyDescent="0.25">
      <c r="B357" s="1">
        <v>-15</v>
      </c>
      <c r="C357" s="1">
        <f t="shared" si="154"/>
        <v>5.010943666666666</v>
      </c>
      <c r="D357" s="3">
        <v>4.7056779999999998</v>
      </c>
      <c r="E357" s="3">
        <v>5.166423</v>
      </c>
      <c r="F357" s="3">
        <v>5.16073</v>
      </c>
      <c r="R357" s="1">
        <v>-15</v>
      </c>
      <c r="S357" s="1">
        <f t="shared" si="160"/>
        <v>4.8397999999999994</v>
      </c>
      <c r="W357" s="143" t="s">
        <v>25</v>
      </c>
      <c r="X357" s="1">
        <v>-15</v>
      </c>
      <c r="Y357" s="1">
        <f t="shared" si="161"/>
        <v>4.9207999999999998</v>
      </c>
      <c r="AK357" s="144" t="s">
        <v>25</v>
      </c>
      <c r="AL357" s="1">
        <v>-15</v>
      </c>
      <c r="AM357" s="1">
        <f t="shared" si="162"/>
        <v>4.8734999999999999</v>
      </c>
      <c r="AT357" s="145">
        <v>12</v>
      </c>
      <c r="AU357" s="1">
        <v>-15</v>
      </c>
      <c r="AV357" s="1">
        <f t="shared" si="163"/>
        <v>5.1214000000000013</v>
      </c>
      <c r="BH357" s="146" t="s">
        <v>33</v>
      </c>
      <c r="BI357" s="1">
        <v>-15</v>
      </c>
      <c r="BJ357" s="1">
        <f t="shared" si="164"/>
        <v>5.0740999999999987</v>
      </c>
    </row>
    <row r="358" spans="2:62" x14ac:dyDescent="0.25">
      <c r="B358" s="1">
        <v>-20</v>
      </c>
      <c r="C358" s="1">
        <f t="shared" si="154"/>
        <v>4.7806160000000011</v>
      </c>
      <c r="D358" s="3">
        <v>4.705317</v>
      </c>
      <c r="E358" s="3">
        <v>4.8213160000000004</v>
      </c>
      <c r="F358" s="3">
        <v>4.8152150000000002</v>
      </c>
      <c r="R358" s="1">
        <v>-20</v>
      </c>
      <c r="S358" s="1">
        <f t="shared" si="160"/>
        <v>4.8392999999999997</v>
      </c>
      <c r="W358" s="143" t="s">
        <v>25</v>
      </c>
      <c r="X358" s="1">
        <v>-20</v>
      </c>
      <c r="Y358" s="1">
        <f>((X358*X358)*($P$349+$E$458))+(X358*($P$350+$E$459))+($P$351+$E$460)</f>
        <v>4.8827999999999996</v>
      </c>
      <c r="AK358" s="144" t="s">
        <v>25</v>
      </c>
      <c r="AL358" s="1">
        <v>-20</v>
      </c>
      <c r="AM358" s="1">
        <f t="shared" si="162"/>
        <v>4.859</v>
      </c>
      <c r="AT358" s="145">
        <v>12</v>
      </c>
      <c r="AU358" s="1">
        <v>-20</v>
      </c>
      <c r="AV358" s="1">
        <f t="shared" si="163"/>
        <v>4.9834000000000014</v>
      </c>
      <c r="BH358" s="146" t="s">
        <v>33</v>
      </c>
      <c r="BI358" s="1">
        <v>-20</v>
      </c>
      <c r="BJ358" s="1">
        <f t="shared" si="164"/>
        <v>4.9595999999999982</v>
      </c>
    </row>
    <row r="362" spans="2:62" x14ac:dyDescent="0.25">
      <c r="B362" s="26" t="s">
        <v>0</v>
      </c>
      <c r="C362" s="26">
        <v>3.5</v>
      </c>
      <c r="D362" s="26"/>
      <c r="E362" s="26"/>
      <c r="F362" s="26"/>
      <c r="R362" s="132" t="s">
        <v>0</v>
      </c>
      <c r="S362" s="132">
        <v>3.5</v>
      </c>
      <c r="T362" s="132"/>
      <c r="U362" s="132"/>
      <c r="V362" s="132"/>
      <c r="W362" s="132"/>
      <c r="X362" s="132" t="s">
        <v>0</v>
      </c>
      <c r="Y362" s="132">
        <v>3.5</v>
      </c>
      <c r="AK362" s="132"/>
      <c r="AL362" s="132" t="s">
        <v>0</v>
      </c>
      <c r="AM362" s="132">
        <v>3.5</v>
      </c>
      <c r="AT362" s="132"/>
      <c r="AU362" s="132" t="s">
        <v>0</v>
      </c>
      <c r="AV362" s="132">
        <v>3.5</v>
      </c>
      <c r="BH362" s="132"/>
      <c r="BI362" s="132" t="s">
        <v>0</v>
      </c>
      <c r="BJ362" s="132">
        <v>3.5</v>
      </c>
    </row>
    <row r="363" spans="2:62" x14ac:dyDescent="0.25">
      <c r="B363" s="1" t="s">
        <v>4</v>
      </c>
      <c r="C363" s="1" t="s">
        <v>5</v>
      </c>
      <c r="D363" s="1">
        <v>1</v>
      </c>
      <c r="E363" s="1">
        <v>2</v>
      </c>
      <c r="F363" s="1">
        <v>3</v>
      </c>
      <c r="O363" s="132" t="s">
        <v>8</v>
      </c>
      <c r="P363" s="132">
        <v>4.2000000000000003E-2</v>
      </c>
      <c r="Q363" t="s">
        <v>13</v>
      </c>
      <c r="R363" s="1" t="s">
        <v>4</v>
      </c>
      <c r="S363" s="1" t="s">
        <v>5</v>
      </c>
      <c r="T363" s="132"/>
      <c r="U363" s="132"/>
      <c r="V363" s="132"/>
      <c r="W363" s="143" t="s">
        <v>26</v>
      </c>
      <c r="X363" s="1" t="s">
        <v>4</v>
      </c>
      <c r="Y363" s="1" t="s">
        <v>5</v>
      </c>
      <c r="AH363" s="132" t="s">
        <v>8</v>
      </c>
      <c r="AI363">
        <v>4.87E-2</v>
      </c>
      <c r="AK363" s="144" t="s">
        <v>29</v>
      </c>
      <c r="AL363" s="1" t="s">
        <v>4</v>
      </c>
      <c r="AM363" s="1" t="s">
        <v>5</v>
      </c>
      <c r="AO363" s="132" t="s">
        <v>8</v>
      </c>
      <c r="AP363" s="132">
        <v>4.2000000000000003E-2</v>
      </c>
      <c r="AT363" s="145" t="s">
        <v>30</v>
      </c>
      <c r="AU363" s="1" t="s">
        <v>4</v>
      </c>
      <c r="AV363" s="1" t="s">
        <v>5</v>
      </c>
      <c r="BE363" s="132" t="s">
        <v>8</v>
      </c>
      <c r="BF363" s="132">
        <v>4.2999999999999997E-2</v>
      </c>
      <c r="BH363" s="146" t="s">
        <v>32</v>
      </c>
      <c r="BI363" s="1" t="s">
        <v>4</v>
      </c>
      <c r="BJ363" s="1" t="s">
        <v>5</v>
      </c>
    </row>
    <row r="364" spans="2:62" x14ac:dyDescent="0.25">
      <c r="B364" s="1">
        <v>14</v>
      </c>
      <c r="C364" s="1">
        <f>AVERAGE(E364,F364,D364)</f>
        <v>18.879956333333336</v>
      </c>
      <c r="D364" s="3">
        <v>18.828956000000002</v>
      </c>
      <c r="E364" s="3">
        <v>18.767341999999999</v>
      </c>
      <c r="F364" s="3">
        <v>19.043571</v>
      </c>
      <c r="O364" s="132" t="s">
        <v>9</v>
      </c>
      <c r="P364" s="132">
        <v>0.23910000000000001</v>
      </c>
      <c r="Q364" t="s">
        <v>15</v>
      </c>
      <c r="R364" s="1">
        <v>14</v>
      </c>
      <c r="S364" s="1">
        <f>((R364*R364)*(P$363+$Q$408))+(R364*(P$364+$S$408))+(P$365+$U$408)</f>
        <v>21.832999999999998</v>
      </c>
      <c r="T364" s="132"/>
      <c r="U364" s="132"/>
      <c r="V364" s="132"/>
      <c r="W364" s="143" t="s">
        <v>25</v>
      </c>
      <c r="X364" s="1">
        <v>14</v>
      </c>
      <c r="Y364" s="1">
        <f>((X364*X364)*($P$363+$C$458))+(X364*($P$364+$C$459))+($P$365+$C$460)</f>
        <v>19.974299999999999</v>
      </c>
      <c r="AH364" s="132" t="s">
        <v>9</v>
      </c>
      <c r="AI364">
        <v>0.20369999999999999</v>
      </c>
      <c r="AK364" s="144" t="s">
        <v>25</v>
      </c>
      <c r="AL364" s="1">
        <v>14</v>
      </c>
      <c r="AM364" s="1">
        <f>((AL364*AL364)*($AI$363+$AC$24))+(AL364*($AI$364+$AE$24))+($AI$365+$AG$24)</f>
        <v>22.657500000000002</v>
      </c>
      <c r="AO364" s="132" t="s">
        <v>9</v>
      </c>
      <c r="AP364" s="132">
        <v>0.23910000000000001</v>
      </c>
      <c r="AT364" s="145">
        <v>12</v>
      </c>
      <c r="AU364" s="1">
        <v>14</v>
      </c>
      <c r="AV364" s="1">
        <f>((AU364*AU364)*($AP$363+$AP$23))+(AU364*($AP$364+$AP$24))+($AP$365+$AP$25)</f>
        <v>20.332500000000003</v>
      </c>
      <c r="BE364" s="132" t="s">
        <v>9</v>
      </c>
      <c r="BF364" s="132">
        <v>0.27710000000000001</v>
      </c>
      <c r="BH364" s="146" t="s">
        <v>33</v>
      </c>
      <c r="BI364" s="1">
        <v>14</v>
      </c>
      <c r="BJ364" s="1">
        <f>((BI364*BI364)*($BF$363+$BB$23))+(BI364*($BF$364+$BB$24))+($BF$365+$BB$25)</f>
        <v>23.023699999999998</v>
      </c>
    </row>
    <row r="365" spans="2:62" x14ac:dyDescent="0.25">
      <c r="B365" s="1">
        <v>13</v>
      </c>
      <c r="C365" s="1">
        <f t="shared" ref="C365:C382" si="165">AVERAGE(E365,F365,D365)</f>
        <v>17.847119333333335</v>
      </c>
      <c r="D365" s="3">
        <v>17.720663999999999</v>
      </c>
      <c r="E365" s="3">
        <v>17.771100000000001</v>
      </c>
      <c r="F365" s="3">
        <v>18.049593999999999</v>
      </c>
      <c r="O365" s="132" t="s">
        <v>10</v>
      </c>
      <c r="P365" s="132">
        <v>7.5406000000000004</v>
      </c>
      <c r="Q365" t="s">
        <v>16</v>
      </c>
      <c r="R365" s="1">
        <v>13</v>
      </c>
      <c r="S365" s="1">
        <f>((R365*R365)*(P$363+$Q$408))+(R365*(P$364+$S$408))+(P$365+$U$408)</f>
        <v>19.743499999999997</v>
      </c>
      <c r="T365" s="132"/>
      <c r="U365" s="132"/>
      <c r="V365" s="132"/>
      <c r="W365" s="143" t="s">
        <v>25</v>
      </c>
      <c r="X365" s="1">
        <v>13</v>
      </c>
      <c r="Y365" s="1">
        <f t="shared" ref="Y365:Y377" si="166">((X365*X365)*($P$363+$C$458))+(X365*($P$364+$C$459))+($P$365+$C$460)</f>
        <v>18.4407</v>
      </c>
      <c r="AH365" s="132" t="s">
        <v>10</v>
      </c>
      <c r="AI365">
        <v>7.5475000000000003</v>
      </c>
      <c r="AK365" s="144" t="s">
        <v>25</v>
      </c>
      <c r="AL365" s="1">
        <v>13</v>
      </c>
      <c r="AM365" s="1">
        <f t="shared" ref="AM365:AM377" si="167">((AL365*AL365)*($AI$363+$AC$24))+(AL365*($AI$364+$AE$24))+($AI$365+$AG$24)</f>
        <v>20.422499999999999</v>
      </c>
      <c r="AO365" s="132" t="s">
        <v>10</v>
      </c>
      <c r="AP365" s="132">
        <v>7.5406000000000004</v>
      </c>
      <c r="AT365" s="145">
        <v>12</v>
      </c>
      <c r="AU365" s="1">
        <v>13</v>
      </c>
      <c r="AV365" s="1">
        <f t="shared" ref="AV365:AV377" si="168">((AU365*AU365)*($AP$363+$AP$23))+(AU365*($AP$364+$AP$24))+($AP$365+$AP$25)</f>
        <v>18.885000000000002</v>
      </c>
      <c r="BE365" s="132" t="s">
        <v>10</v>
      </c>
      <c r="BF365" s="132">
        <v>8.0032999999999994</v>
      </c>
      <c r="BH365" s="146" t="s">
        <v>33</v>
      </c>
      <c r="BI365" s="1">
        <v>13</v>
      </c>
      <c r="BJ365" s="1">
        <f t="shared" ref="BJ365:BJ377" si="169">((BI365*BI365)*($BF$363+$BB$23))+(BI365*($BF$364+$BB$24))+($BF$365+$BB$25)</f>
        <v>20.869199999999999</v>
      </c>
    </row>
    <row r="366" spans="2:62" x14ac:dyDescent="0.25">
      <c r="B366" s="1">
        <v>12</v>
      </c>
      <c r="C366" s="1">
        <f t="shared" si="165"/>
        <v>16.794097666666666</v>
      </c>
      <c r="D366" s="3">
        <v>16.596094999999998</v>
      </c>
      <c r="E366" s="3">
        <v>16.748090999999999</v>
      </c>
      <c r="F366" s="3">
        <v>17.038107</v>
      </c>
      <c r="O366" s="132"/>
      <c r="P366" s="132"/>
      <c r="R366" s="1">
        <v>12</v>
      </c>
      <c r="S366" s="1">
        <f t="shared" ref="S366:S377" si="170">((R366*R366)*(P$363+$Q$408))+(R366*(P$364+$S$408))+(P$365+$U$408)</f>
        <v>17.825000000000003</v>
      </c>
      <c r="T366" s="132"/>
      <c r="U366" s="132"/>
      <c r="V366" s="132"/>
      <c r="W366" s="143" t="s">
        <v>25</v>
      </c>
      <c r="X366" s="1">
        <v>12</v>
      </c>
      <c r="Y366" s="1">
        <f t="shared" si="166"/>
        <v>17.0075</v>
      </c>
      <c r="AH366" s="132"/>
      <c r="AK366" s="144" t="s">
        <v>25</v>
      </c>
      <c r="AL366" s="1">
        <v>12</v>
      </c>
      <c r="AM366" s="1">
        <f t="shared" si="167"/>
        <v>18.371900000000004</v>
      </c>
      <c r="AO366" s="132"/>
      <c r="AP366" s="132"/>
      <c r="AT366" s="145">
        <v>12</v>
      </c>
      <c r="AU366" s="1">
        <v>12</v>
      </c>
      <c r="AV366" s="1">
        <f t="shared" si="168"/>
        <v>17.525300000000001</v>
      </c>
      <c r="BE366" s="132"/>
      <c r="BF366" s="132"/>
      <c r="BH366" s="146" t="s">
        <v>33</v>
      </c>
      <c r="BI366" s="1">
        <v>12</v>
      </c>
      <c r="BJ366" s="1">
        <f t="shared" si="169"/>
        <v>18.887699999999999</v>
      </c>
    </row>
    <row r="367" spans="2:62" x14ac:dyDescent="0.25">
      <c r="B367" s="1">
        <v>11</v>
      </c>
      <c r="C367" s="1">
        <f t="shared" si="165"/>
        <v>15.262153666666668</v>
      </c>
      <c r="D367" s="3">
        <v>15.198219999999999</v>
      </c>
      <c r="E367" s="3">
        <v>15.112393000000001</v>
      </c>
      <c r="F367" s="3">
        <v>15.475847999999999</v>
      </c>
      <c r="O367" s="132"/>
      <c r="P367" s="132"/>
      <c r="R367" s="1">
        <v>11</v>
      </c>
      <c r="S367" s="1">
        <f t="shared" si="170"/>
        <v>16.077500000000001</v>
      </c>
      <c r="T367" s="132"/>
      <c r="U367" s="132"/>
      <c r="V367" s="132"/>
      <c r="W367" s="143" t="s">
        <v>25</v>
      </c>
      <c r="X367" s="1">
        <v>11</v>
      </c>
      <c r="Y367" s="1">
        <f t="shared" si="166"/>
        <v>15.674700000000001</v>
      </c>
      <c r="AH367" s="132"/>
      <c r="AK367" s="144" t="s">
        <v>25</v>
      </c>
      <c r="AL367" s="1">
        <v>11</v>
      </c>
      <c r="AM367" s="1">
        <f t="shared" si="167"/>
        <v>16.505700000000001</v>
      </c>
      <c r="AO367" s="132"/>
      <c r="AP367" s="132"/>
      <c r="AT367" s="145">
        <v>12</v>
      </c>
      <c r="AU367" s="1">
        <v>11</v>
      </c>
      <c r="AV367" s="1">
        <f t="shared" si="168"/>
        <v>16.253400000000003</v>
      </c>
      <c r="BE367" s="132"/>
      <c r="BF367" s="132"/>
      <c r="BH367" s="146" t="s">
        <v>33</v>
      </c>
      <c r="BI367" s="1">
        <v>11</v>
      </c>
      <c r="BJ367" s="1">
        <f t="shared" si="169"/>
        <v>17.0792</v>
      </c>
    </row>
    <row r="368" spans="2:62" x14ac:dyDescent="0.25">
      <c r="B368" s="1">
        <v>10</v>
      </c>
      <c r="C368" s="1">
        <f t="shared" si="165"/>
        <v>13.968011333333331</v>
      </c>
      <c r="D368" s="3">
        <v>13.873722000000001</v>
      </c>
      <c r="E368" s="3">
        <v>13.837408999999999</v>
      </c>
      <c r="F368" s="3">
        <v>14.192902999999999</v>
      </c>
      <c r="O368" s="132"/>
      <c r="P368" s="132"/>
      <c r="R368" s="1">
        <v>10</v>
      </c>
      <c r="S368" s="1">
        <f t="shared" si="170"/>
        <v>14.500999999999999</v>
      </c>
      <c r="T368" s="132"/>
      <c r="U368" s="132"/>
      <c r="V368" s="132"/>
      <c r="W368" s="143" t="s">
        <v>25</v>
      </c>
      <c r="X368" s="1">
        <v>10</v>
      </c>
      <c r="Y368" s="1">
        <f t="shared" si="166"/>
        <v>14.442300000000001</v>
      </c>
      <c r="AH368" s="132"/>
      <c r="AK368" s="144" t="s">
        <v>25</v>
      </c>
      <c r="AL368" s="1">
        <v>10</v>
      </c>
      <c r="AM368" s="1">
        <f t="shared" si="167"/>
        <v>14.823900000000002</v>
      </c>
      <c r="AO368" s="132"/>
      <c r="AP368" s="132"/>
      <c r="AT368" s="145">
        <v>12</v>
      </c>
      <c r="AU368" s="1">
        <v>10</v>
      </c>
      <c r="AV368" s="1">
        <f t="shared" si="168"/>
        <v>15.069300000000002</v>
      </c>
      <c r="BE368" s="132"/>
      <c r="BF368" s="132"/>
      <c r="BH368" s="146" t="s">
        <v>33</v>
      </c>
      <c r="BI368" s="1">
        <v>10</v>
      </c>
      <c r="BJ368" s="1">
        <f t="shared" si="169"/>
        <v>15.443699999999998</v>
      </c>
    </row>
    <row r="369" spans="2:62" x14ac:dyDescent="0.25">
      <c r="B369" s="1">
        <v>9</v>
      </c>
      <c r="C369" s="1">
        <f t="shared" si="165"/>
        <v>13.028790666666666</v>
      </c>
      <c r="D369" s="3">
        <v>12.905307000000001</v>
      </c>
      <c r="E369" s="3">
        <v>12.90034</v>
      </c>
      <c r="F369" s="3">
        <v>13.280725</v>
      </c>
      <c r="O369" s="132"/>
      <c r="P369" s="132"/>
      <c r="R369" s="1">
        <v>9</v>
      </c>
      <c r="S369" s="1">
        <f t="shared" si="170"/>
        <v>13.095500000000001</v>
      </c>
      <c r="T369" s="132"/>
      <c r="U369" s="132"/>
      <c r="V369" s="132"/>
      <c r="W369" s="143" t="s">
        <v>25</v>
      </c>
      <c r="X369" s="1">
        <v>9</v>
      </c>
      <c r="Y369" s="1">
        <f t="shared" si="166"/>
        <v>13.310300000000002</v>
      </c>
      <c r="AH369" s="132"/>
      <c r="AK369" s="144" t="s">
        <v>25</v>
      </c>
      <c r="AL369" s="1">
        <v>9</v>
      </c>
      <c r="AM369" s="1">
        <f t="shared" si="167"/>
        <v>13.326500000000001</v>
      </c>
      <c r="AO369" s="132"/>
      <c r="AP369" s="132"/>
      <c r="AT369" s="145">
        <v>12</v>
      </c>
      <c r="AU369" s="1">
        <v>9</v>
      </c>
      <c r="AV369" s="1">
        <f t="shared" si="168"/>
        <v>13.973000000000003</v>
      </c>
      <c r="BE369" s="132"/>
      <c r="BF369" s="132"/>
      <c r="BH369" s="146" t="s">
        <v>33</v>
      </c>
      <c r="BI369" s="1">
        <v>9</v>
      </c>
      <c r="BJ369" s="1">
        <f t="shared" si="169"/>
        <v>13.981199999999999</v>
      </c>
    </row>
    <row r="370" spans="2:62" x14ac:dyDescent="0.25">
      <c r="B370" s="1">
        <v>8</v>
      </c>
      <c r="C370" s="1">
        <f t="shared" si="165"/>
        <v>12.221636666666667</v>
      </c>
      <c r="D370" s="3">
        <v>12.081493999999999</v>
      </c>
      <c r="E370" s="3">
        <v>12.112978999999999</v>
      </c>
      <c r="F370" s="3">
        <v>12.470437</v>
      </c>
      <c r="O370" s="132"/>
      <c r="P370" s="132"/>
      <c r="R370" s="1">
        <v>8</v>
      </c>
      <c r="S370" s="1">
        <f t="shared" si="170"/>
        <v>11.861000000000001</v>
      </c>
      <c r="T370" s="132"/>
      <c r="U370" s="132"/>
      <c r="V370" s="132"/>
      <c r="W370" s="143" t="s">
        <v>25</v>
      </c>
      <c r="X370" s="1">
        <v>8</v>
      </c>
      <c r="Y370" s="1">
        <f t="shared" si="166"/>
        <v>12.278700000000001</v>
      </c>
      <c r="AH370" s="132"/>
      <c r="AK370" s="144" t="s">
        <v>25</v>
      </c>
      <c r="AL370" s="1">
        <v>8</v>
      </c>
      <c r="AM370" s="1">
        <f t="shared" si="167"/>
        <v>12.013500000000001</v>
      </c>
      <c r="AO370" s="132"/>
      <c r="AP370" s="132"/>
      <c r="AT370" s="145">
        <v>12</v>
      </c>
      <c r="AU370" s="1">
        <v>8</v>
      </c>
      <c r="AV370" s="1">
        <f t="shared" si="168"/>
        <v>12.964500000000001</v>
      </c>
      <c r="BE370" s="132"/>
      <c r="BF370" s="132"/>
      <c r="BH370" s="146" t="s">
        <v>33</v>
      </c>
      <c r="BI370" s="1">
        <v>8</v>
      </c>
      <c r="BJ370" s="1">
        <f t="shared" si="169"/>
        <v>12.691699999999999</v>
      </c>
    </row>
    <row r="371" spans="2:62" x14ac:dyDescent="0.25">
      <c r="B371" s="1">
        <v>7</v>
      </c>
      <c r="C371" s="1">
        <f t="shared" si="165"/>
        <v>11.288220333333333</v>
      </c>
      <c r="D371" s="3">
        <v>11.092025</v>
      </c>
      <c r="E371" s="3">
        <v>11.247726</v>
      </c>
      <c r="F371" s="3">
        <v>11.52491</v>
      </c>
      <c r="O371" s="132"/>
      <c r="P371" s="132"/>
      <c r="R371" s="1">
        <v>7</v>
      </c>
      <c r="S371" s="1">
        <f t="shared" si="170"/>
        <v>10.797499999999999</v>
      </c>
      <c r="T371" s="132"/>
      <c r="U371" s="132"/>
      <c r="V371" s="132"/>
      <c r="W371" s="143" t="s">
        <v>25</v>
      </c>
      <c r="X371" s="1">
        <v>7</v>
      </c>
      <c r="Y371" s="1">
        <f t="shared" si="166"/>
        <v>11.3475</v>
      </c>
      <c r="AH371" s="132"/>
      <c r="AK371" s="144" t="s">
        <v>25</v>
      </c>
      <c r="AL371" s="1">
        <v>7</v>
      </c>
      <c r="AM371" s="1">
        <f t="shared" si="167"/>
        <v>10.8849</v>
      </c>
      <c r="AO371" s="132"/>
      <c r="AP371" s="132"/>
      <c r="AT371" s="145">
        <v>12</v>
      </c>
      <c r="AU371" s="1">
        <v>7</v>
      </c>
      <c r="AV371" s="1">
        <f t="shared" si="168"/>
        <v>12.043800000000001</v>
      </c>
      <c r="BE371" s="132"/>
      <c r="BF371" s="132"/>
      <c r="BH371" s="146" t="s">
        <v>33</v>
      </c>
      <c r="BI371" s="1">
        <v>7</v>
      </c>
      <c r="BJ371" s="1">
        <f t="shared" si="169"/>
        <v>11.575199999999999</v>
      </c>
    </row>
    <row r="372" spans="2:62" x14ac:dyDescent="0.25">
      <c r="B372" s="1">
        <v>6</v>
      </c>
      <c r="C372" s="1">
        <f t="shared" si="165"/>
        <v>10.483440666666667</v>
      </c>
      <c r="D372" s="3">
        <v>10.249553000000001</v>
      </c>
      <c r="E372" s="3">
        <v>10.479352</v>
      </c>
      <c r="F372" s="3">
        <v>10.721417000000001</v>
      </c>
      <c r="O372" s="132"/>
      <c r="P372" s="132"/>
      <c r="R372" s="1">
        <v>6</v>
      </c>
      <c r="S372" s="1">
        <f t="shared" si="170"/>
        <v>9.9050000000000011</v>
      </c>
      <c r="T372" s="132"/>
      <c r="U372" s="132"/>
      <c r="V372" s="132"/>
      <c r="W372" s="143" t="s">
        <v>25</v>
      </c>
      <c r="X372" s="1">
        <v>6</v>
      </c>
      <c r="Y372" s="1">
        <f t="shared" si="166"/>
        <v>10.5167</v>
      </c>
      <c r="AH372" s="132"/>
      <c r="AK372" s="144" t="s">
        <v>25</v>
      </c>
      <c r="AL372" s="1">
        <v>6</v>
      </c>
      <c r="AM372" s="1">
        <f t="shared" si="167"/>
        <v>9.9406999999999996</v>
      </c>
      <c r="AO372" s="132"/>
      <c r="AP372" s="132"/>
      <c r="AT372" s="145">
        <v>12</v>
      </c>
      <c r="AU372" s="1">
        <v>6</v>
      </c>
      <c r="AV372" s="1">
        <f t="shared" si="168"/>
        <v>11.210900000000002</v>
      </c>
      <c r="BE372" s="132"/>
      <c r="BF372" s="132"/>
      <c r="BH372" s="146" t="s">
        <v>33</v>
      </c>
      <c r="BI372" s="1">
        <v>6</v>
      </c>
      <c r="BJ372" s="1">
        <f t="shared" si="169"/>
        <v>10.6317</v>
      </c>
    </row>
    <row r="373" spans="2:62" x14ac:dyDescent="0.25">
      <c r="B373" s="1">
        <v>5</v>
      </c>
      <c r="C373" s="1">
        <f t="shared" si="165"/>
        <v>9.5900256666666674</v>
      </c>
      <c r="D373" s="3">
        <v>9.2772220000000001</v>
      </c>
      <c r="E373" s="3">
        <v>9.6414779999999993</v>
      </c>
      <c r="F373" s="3">
        <v>9.8513769999999994</v>
      </c>
      <c r="O373" s="132" t="s">
        <v>8</v>
      </c>
      <c r="P373" s="132">
        <v>8.6999999999999994E-3</v>
      </c>
      <c r="Q373" t="s">
        <v>14</v>
      </c>
      <c r="R373" s="1">
        <v>5</v>
      </c>
      <c r="S373" s="1">
        <f t="shared" si="170"/>
        <v>9.1835000000000004</v>
      </c>
      <c r="T373" s="132"/>
      <c r="U373" s="132"/>
      <c r="V373" s="132"/>
      <c r="W373" s="143" t="s">
        <v>25</v>
      </c>
      <c r="X373" s="1">
        <v>5</v>
      </c>
      <c r="Y373" s="1">
        <f t="shared" si="166"/>
        <v>9.7863000000000007</v>
      </c>
      <c r="AH373" s="132" t="s">
        <v>8</v>
      </c>
      <c r="AI373">
        <v>8.3999999999999995E-3</v>
      </c>
      <c r="AK373" s="144" t="s">
        <v>25</v>
      </c>
      <c r="AL373" s="1">
        <v>5</v>
      </c>
      <c r="AM373" s="1">
        <f t="shared" si="167"/>
        <v>9.1809000000000012</v>
      </c>
      <c r="AO373" s="132" t="s">
        <v>8</v>
      </c>
      <c r="AP373" s="132">
        <v>8.6999999999999994E-3</v>
      </c>
      <c r="AT373" s="145">
        <v>12</v>
      </c>
      <c r="AU373" s="1">
        <v>5</v>
      </c>
      <c r="AV373" s="1">
        <f t="shared" si="168"/>
        <v>10.465800000000002</v>
      </c>
      <c r="BE373" s="132" t="s">
        <v>8</v>
      </c>
      <c r="BF373" s="132">
        <v>8.3999999999999995E-3</v>
      </c>
      <c r="BH373" s="146" t="s">
        <v>33</v>
      </c>
      <c r="BI373" s="1">
        <v>5</v>
      </c>
      <c r="BJ373" s="1">
        <f t="shared" si="169"/>
        <v>9.8612000000000002</v>
      </c>
    </row>
    <row r="374" spans="2:62" x14ac:dyDescent="0.25">
      <c r="B374" s="1">
        <v>4</v>
      </c>
      <c r="C374" s="1">
        <f t="shared" si="165"/>
        <v>9.2711439999999996</v>
      </c>
      <c r="D374" s="3">
        <v>8.9380030000000001</v>
      </c>
      <c r="E374" s="3">
        <v>9.3515470000000001</v>
      </c>
      <c r="F374" s="3">
        <v>9.5238820000000004</v>
      </c>
      <c r="O374" s="132" t="s">
        <v>9</v>
      </c>
      <c r="P374" s="132">
        <v>0.30919999999999997</v>
      </c>
      <c r="Q374" t="s">
        <v>17</v>
      </c>
      <c r="R374" s="1">
        <v>4</v>
      </c>
      <c r="S374" s="1">
        <f t="shared" si="170"/>
        <v>8.6330000000000009</v>
      </c>
      <c r="T374" s="132"/>
      <c r="U374" s="132"/>
      <c r="V374" s="132"/>
      <c r="W374" s="143" t="s">
        <v>25</v>
      </c>
      <c r="X374" s="1">
        <v>4</v>
      </c>
      <c r="Y374" s="1">
        <f t="shared" si="166"/>
        <v>9.1563000000000017</v>
      </c>
      <c r="AH374" s="132" t="s">
        <v>9</v>
      </c>
      <c r="AI374">
        <v>0.30149999999999999</v>
      </c>
      <c r="AK374" s="144" t="s">
        <v>25</v>
      </c>
      <c r="AL374" s="1">
        <v>4</v>
      </c>
      <c r="AM374" s="1">
        <f t="shared" si="167"/>
        <v>8.6054999999999993</v>
      </c>
      <c r="AO374" s="132" t="s">
        <v>9</v>
      </c>
      <c r="AP374" s="132">
        <v>0.30919999999999997</v>
      </c>
      <c r="AT374" s="145">
        <v>12</v>
      </c>
      <c r="AU374" s="1">
        <v>4</v>
      </c>
      <c r="AV374" s="1">
        <f t="shared" si="168"/>
        <v>9.8085000000000022</v>
      </c>
      <c r="BE374" s="132" t="s">
        <v>9</v>
      </c>
      <c r="BF374" s="132">
        <v>0.32150000000000001</v>
      </c>
      <c r="BH374" s="146" t="s">
        <v>33</v>
      </c>
      <c r="BI374" s="1">
        <v>4</v>
      </c>
      <c r="BJ374" s="1">
        <f t="shared" si="169"/>
        <v>9.2637</v>
      </c>
    </row>
    <row r="375" spans="2:62" x14ac:dyDescent="0.25">
      <c r="B375" s="1">
        <v>3</v>
      </c>
      <c r="C375" s="1">
        <f t="shared" si="165"/>
        <v>8.5875350000000008</v>
      </c>
      <c r="D375" s="3">
        <v>8.2385959999999994</v>
      </c>
      <c r="E375" s="3">
        <v>8.6798529999999996</v>
      </c>
      <c r="F375" s="3">
        <v>8.8441559999999999</v>
      </c>
      <c r="O375" s="132" t="s">
        <v>10</v>
      </c>
      <c r="P375" s="132">
        <v>7.4549000000000003</v>
      </c>
      <c r="Q375" t="s">
        <v>18</v>
      </c>
      <c r="R375" s="1">
        <v>3</v>
      </c>
      <c r="S375" s="1">
        <f t="shared" si="170"/>
        <v>8.2535000000000007</v>
      </c>
      <c r="T375" s="132"/>
      <c r="U375" s="132"/>
      <c r="V375" s="132"/>
      <c r="W375" s="143" t="s">
        <v>25</v>
      </c>
      <c r="X375" s="1">
        <v>3</v>
      </c>
      <c r="Y375" s="1">
        <f t="shared" si="166"/>
        <v>8.6267000000000014</v>
      </c>
      <c r="AH375" s="132" t="s">
        <v>10</v>
      </c>
      <c r="AI375">
        <v>7.4405999999999999</v>
      </c>
      <c r="AK375" s="144" t="s">
        <v>25</v>
      </c>
      <c r="AL375" s="1">
        <v>3</v>
      </c>
      <c r="AM375" s="1">
        <f t="shared" si="167"/>
        <v>8.214500000000001</v>
      </c>
      <c r="AO375" s="132" t="s">
        <v>10</v>
      </c>
      <c r="AP375" s="132">
        <v>7.4549000000000003</v>
      </c>
      <c r="AT375" s="145">
        <v>12</v>
      </c>
      <c r="AU375" s="1">
        <v>3</v>
      </c>
      <c r="AV375" s="1">
        <f t="shared" si="168"/>
        <v>9.2390000000000008</v>
      </c>
      <c r="BE375" s="132" t="s">
        <v>10</v>
      </c>
      <c r="BF375" s="132">
        <v>7.9412000000000003</v>
      </c>
      <c r="BH375" s="146" t="s">
        <v>33</v>
      </c>
      <c r="BI375" s="1">
        <v>3</v>
      </c>
      <c r="BJ375" s="1">
        <f t="shared" si="169"/>
        <v>8.8391999999999999</v>
      </c>
    </row>
    <row r="376" spans="2:62" x14ac:dyDescent="0.25">
      <c r="B376" s="1">
        <v>2</v>
      </c>
      <c r="C376" s="1">
        <f t="shared" si="165"/>
        <v>8.2324616666666657</v>
      </c>
      <c r="D376" s="3">
        <v>7.8654659999999996</v>
      </c>
      <c r="E376" s="3">
        <v>8.3361190000000001</v>
      </c>
      <c r="F376" s="3">
        <v>8.4957999999999991</v>
      </c>
      <c r="R376" s="1">
        <v>2</v>
      </c>
      <c r="S376" s="1">
        <f t="shared" si="170"/>
        <v>8.0449999999999999</v>
      </c>
      <c r="T376" s="132"/>
      <c r="U376" s="132"/>
      <c r="V376" s="132"/>
      <c r="W376" s="143" t="s">
        <v>25</v>
      </c>
      <c r="X376" s="1">
        <v>2</v>
      </c>
      <c r="Y376" s="1">
        <f t="shared" si="166"/>
        <v>8.1975000000000016</v>
      </c>
      <c r="AK376" s="144" t="s">
        <v>25</v>
      </c>
      <c r="AL376" s="1">
        <v>2</v>
      </c>
      <c r="AM376" s="1">
        <f t="shared" si="167"/>
        <v>8.0078999999999994</v>
      </c>
      <c r="AT376" s="145">
        <v>12</v>
      </c>
      <c r="AU376" s="1">
        <v>2</v>
      </c>
      <c r="AV376" s="1">
        <f t="shared" si="168"/>
        <v>8.7573000000000008</v>
      </c>
      <c r="BH376" s="146" t="s">
        <v>33</v>
      </c>
      <c r="BI376" s="1">
        <v>2</v>
      </c>
      <c r="BJ376" s="1">
        <f t="shared" si="169"/>
        <v>8.5876999999999999</v>
      </c>
    </row>
    <row r="377" spans="2:62" x14ac:dyDescent="0.25">
      <c r="B377" s="1">
        <v>1</v>
      </c>
      <c r="C377" s="1">
        <f t="shared" si="165"/>
        <v>7.8689123333333342</v>
      </c>
      <c r="D377" s="3">
        <v>7.4796040000000001</v>
      </c>
      <c r="E377" s="3">
        <v>8.0100719999999992</v>
      </c>
      <c r="F377" s="3">
        <v>8.1170609999999996</v>
      </c>
      <c r="R377" s="1">
        <v>1</v>
      </c>
      <c r="S377" s="1">
        <f t="shared" si="170"/>
        <v>8.0075000000000003</v>
      </c>
      <c r="T377" s="132"/>
      <c r="U377" s="132"/>
      <c r="V377" s="132"/>
      <c r="W377" s="143" t="s">
        <v>25</v>
      </c>
      <c r="X377" s="1">
        <v>1</v>
      </c>
      <c r="Y377" s="1">
        <f t="shared" si="166"/>
        <v>7.8687000000000005</v>
      </c>
      <c r="AK377" s="144" t="s">
        <v>25</v>
      </c>
      <c r="AL377" s="1">
        <v>1</v>
      </c>
      <c r="AM377" s="1">
        <f t="shared" si="167"/>
        <v>7.9856999999999996</v>
      </c>
      <c r="AT377" s="145">
        <v>12</v>
      </c>
      <c r="AU377" s="1">
        <v>1</v>
      </c>
      <c r="AV377" s="1">
        <f t="shared" si="168"/>
        <v>8.3634000000000022</v>
      </c>
      <c r="BH377" s="146" t="s">
        <v>33</v>
      </c>
      <c r="BI377" s="1">
        <v>1</v>
      </c>
      <c r="BJ377" s="1">
        <f t="shared" si="169"/>
        <v>8.5091999999999999</v>
      </c>
    </row>
    <row r="378" spans="2:62" x14ac:dyDescent="0.25">
      <c r="B378" s="1">
        <v>0</v>
      </c>
      <c r="C378" s="1">
        <f t="shared" si="165"/>
        <v>7.5215330000000007</v>
      </c>
      <c r="D378" s="3">
        <v>7.1583560000000004</v>
      </c>
      <c r="E378" s="3">
        <v>7.6477930000000001</v>
      </c>
      <c r="F378" s="3">
        <v>7.7584499999999998</v>
      </c>
      <c r="R378" s="1">
        <v>0</v>
      </c>
      <c r="S378" s="1">
        <f>((R378*R378)*(P$373+$Q$409))+(R378*(P$374+$S$409))+(P$375+$U$409)</f>
        <v>7.3971</v>
      </c>
      <c r="T378" s="132"/>
      <c r="U378" s="132"/>
      <c r="V378" s="132"/>
      <c r="W378" s="143" t="s">
        <v>25</v>
      </c>
      <c r="X378" s="1">
        <v>0</v>
      </c>
      <c r="Y378" s="1">
        <f>((X378*X378)*($P$373+$E$458))+(X378*($P$374+$E$459))+($P$375+$E$460)</f>
        <v>7.4406000000000008</v>
      </c>
      <c r="AK378" s="144" t="s">
        <v>25</v>
      </c>
      <c r="AL378" s="1">
        <v>0</v>
      </c>
      <c r="AM378" s="1">
        <f>((AL378*AL378)*($AI$373+$AC$25))+(AL378*($AI$374+$AE$25))+($AI$375+$AG$25)</f>
        <v>7.3827999999999996</v>
      </c>
      <c r="AT378" s="145">
        <v>12</v>
      </c>
      <c r="AU378" s="1">
        <v>0</v>
      </c>
      <c r="AV378" s="1">
        <f>((AU378*AU378)*($AP$373+$AR$23))+(AU378*($AP$374+$AR$24))+($AP$375+$AR$25)</f>
        <v>7.9412000000000003</v>
      </c>
      <c r="BH378" s="146" t="s">
        <v>33</v>
      </c>
      <c r="BI378" s="1">
        <v>0</v>
      </c>
      <c r="BJ378" s="1">
        <f>((BI378*BI378)*($BF$373+$BD$23))+(BI378*($BF$374+$BD$24))+($BF$375+$BD$25)</f>
        <v>7.8834</v>
      </c>
    </row>
    <row r="379" spans="2:62" x14ac:dyDescent="0.25">
      <c r="B379" s="1">
        <v>-5</v>
      </c>
      <c r="C379" s="1">
        <f t="shared" si="165"/>
        <v>5.9902896666666665</v>
      </c>
      <c r="D379" s="3">
        <v>5.6093529999999996</v>
      </c>
      <c r="E379" s="3">
        <v>6.1643929999999996</v>
      </c>
      <c r="F379" s="3">
        <v>6.1971230000000004</v>
      </c>
      <c r="R379" s="1">
        <v>-5</v>
      </c>
      <c r="S379" s="1">
        <f t="shared" ref="S379:S382" si="171">((R379*R379)*(P$373+$Q$409))+(R379*(P$374+$S$409))+(P$375+$U$409)</f>
        <v>6.0621</v>
      </c>
      <c r="T379" s="132"/>
      <c r="U379" s="132"/>
      <c r="V379" s="132"/>
      <c r="W379" s="143" t="s">
        <v>25</v>
      </c>
      <c r="X379" s="1">
        <v>-5</v>
      </c>
      <c r="Y379" s="1">
        <f t="shared" ref="Y379:Y382" si="172">((X379*X379)*($P$373+$E$458))+(X379*($P$374+$E$459))+($P$375+$E$460)</f>
        <v>6.1431000000000004</v>
      </c>
      <c r="AK379" s="144" t="s">
        <v>25</v>
      </c>
      <c r="AL379" s="1">
        <v>-5</v>
      </c>
      <c r="AM379" s="1">
        <f t="shared" ref="AM379:AM382" si="173">((AL379*AL379)*($AI$373+$AC$25))+(AL379*($AI$374+$AE$25))+($AI$375+$AG$25)</f>
        <v>6.0787999999999993</v>
      </c>
      <c r="AT379" s="145">
        <v>12</v>
      </c>
      <c r="AU379" s="1">
        <v>-5</v>
      </c>
      <c r="AV379" s="1">
        <f t="shared" ref="AV379:AV382" si="174">((AU379*AU379)*($AP$373+$AR$23))+(AU379*($AP$374+$AR$24))+($AP$375+$AR$25)</f>
        <v>6.5437000000000003</v>
      </c>
      <c r="BH379" s="146" t="s">
        <v>33</v>
      </c>
      <c r="BI379" s="1">
        <v>-5</v>
      </c>
      <c r="BJ379" s="1">
        <f t="shared" ref="BJ379:BJ382" si="175">((BI379*BI379)*($BF$373+$BD$23))+(BI379*($BF$374+$BD$24))+($BF$375+$BD$25)</f>
        <v>6.4794</v>
      </c>
    </row>
    <row r="380" spans="2:62" x14ac:dyDescent="0.25">
      <c r="B380" s="1">
        <v>-10</v>
      </c>
      <c r="C380" s="1">
        <f t="shared" si="165"/>
        <v>5.2336186666666666</v>
      </c>
      <c r="D380" s="3">
        <v>4.9041300000000003</v>
      </c>
      <c r="E380" s="3">
        <v>5.3740750000000004</v>
      </c>
      <c r="F380" s="3">
        <v>5.4226510000000001</v>
      </c>
      <c r="R380" s="1">
        <v>-10</v>
      </c>
      <c r="S380" s="1">
        <f t="shared" si="171"/>
        <v>5.1721000000000004</v>
      </c>
      <c r="T380" s="132"/>
      <c r="U380" s="132"/>
      <c r="V380" s="132"/>
      <c r="W380" s="143" t="s">
        <v>25</v>
      </c>
      <c r="X380" s="1">
        <v>-10</v>
      </c>
      <c r="Y380" s="1">
        <f t="shared" si="172"/>
        <v>5.2656000000000009</v>
      </c>
      <c r="AK380" s="144" t="s">
        <v>25</v>
      </c>
      <c r="AL380" s="1">
        <v>-10</v>
      </c>
      <c r="AM380" s="1">
        <f t="shared" si="173"/>
        <v>5.2047999999999988</v>
      </c>
      <c r="AT380" s="145">
        <v>12</v>
      </c>
      <c r="AU380" s="1">
        <v>-10</v>
      </c>
      <c r="AV380" s="1">
        <f t="shared" si="174"/>
        <v>5.5662000000000003</v>
      </c>
      <c r="BH380" s="146" t="s">
        <v>33</v>
      </c>
      <c r="BI380" s="1">
        <v>-10</v>
      </c>
      <c r="BJ380" s="1">
        <f t="shared" si="175"/>
        <v>5.5053999999999998</v>
      </c>
    </row>
    <row r="381" spans="2:62" x14ac:dyDescent="0.25">
      <c r="B381" s="1">
        <v>-15</v>
      </c>
      <c r="C381" s="1">
        <f t="shared" si="165"/>
        <v>4.8930463333333334</v>
      </c>
      <c r="D381" s="3">
        <v>4.5966849999999999</v>
      </c>
      <c r="E381" s="3">
        <v>5.0310689999999996</v>
      </c>
      <c r="F381" s="3">
        <v>5.0513849999999998</v>
      </c>
      <c r="R381" s="1">
        <v>-15</v>
      </c>
      <c r="S381" s="1">
        <f t="shared" si="171"/>
        <v>4.7271000000000001</v>
      </c>
      <c r="T381" s="132"/>
      <c r="U381" s="132"/>
      <c r="V381" s="132"/>
      <c r="W381" s="143" t="s">
        <v>25</v>
      </c>
      <c r="X381" s="1">
        <v>-15</v>
      </c>
      <c r="Y381" s="1">
        <f t="shared" si="172"/>
        <v>4.8081000000000005</v>
      </c>
      <c r="AK381" s="144" t="s">
        <v>25</v>
      </c>
      <c r="AL381" s="1">
        <v>-15</v>
      </c>
      <c r="AM381" s="1">
        <f t="shared" si="173"/>
        <v>4.7607999999999997</v>
      </c>
      <c r="AT381" s="145">
        <v>12</v>
      </c>
      <c r="AU381" s="1">
        <v>-15</v>
      </c>
      <c r="AV381" s="1">
        <f t="shared" si="174"/>
        <v>5.008700000000001</v>
      </c>
      <c r="BH381" s="146" t="s">
        <v>33</v>
      </c>
      <c r="BI381" s="1">
        <v>-15</v>
      </c>
      <c r="BJ381" s="1">
        <f t="shared" si="175"/>
        <v>4.9613999999999994</v>
      </c>
    </row>
    <row r="382" spans="2:62" x14ac:dyDescent="0.25">
      <c r="B382" s="1">
        <v>-20</v>
      </c>
      <c r="C382" s="1">
        <f t="shared" si="165"/>
        <v>4.6688106666666664</v>
      </c>
      <c r="D382" s="3">
        <v>4.6003319999999999</v>
      </c>
      <c r="E382" s="3">
        <v>4.6985260000000002</v>
      </c>
      <c r="F382" s="3">
        <v>4.7075740000000001</v>
      </c>
      <c r="R382" s="1">
        <v>-20</v>
      </c>
      <c r="S382" s="1">
        <f t="shared" si="171"/>
        <v>4.7271000000000001</v>
      </c>
      <c r="T382" s="132"/>
      <c r="U382" s="132"/>
      <c r="V382" s="132"/>
      <c r="W382" s="143" t="s">
        <v>25</v>
      </c>
      <c r="X382" s="1">
        <v>-20</v>
      </c>
      <c r="Y382" s="1">
        <f t="shared" si="172"/>
        <v>4.7706000000000017</v>
      </c>
      <c r="AK382" s="144" t="s">
        <v>25</v>
      </c>
      <c r="AL382" s="1">
        <v>-20</v>
      </c>
      <c r="AM382" s="1">
        <f t="shared" si="173"/>
        <v>4.7467999999999986</v>
      </c>
      <c r="AT382" s="145">
        <v>12</v>
      </c>
      <c r="AU382" s="1">
        <v>-20</v>
      </c>
      <c r="AV382" s="1">
        <f t="shared" si="174"/>
        <v>4.8712000000000018</v>
      </c>
      <c r="BH382" s="146" t="s">
        <v>33</v>
      </c>
      <c r="BI382" s="1">
        <v>-20</v>
      </c>
      <c r="BJ382" s="1">
        <f t="shared" si="175"/>
        <v>4.8473999999999986</v>
      </c>
    </row>
    <row r="384" spans="2:62" x14ac:dyDescent="0.25">
      <c r="P384" t="s">
        <v>7</v>
      </c>
    </row>
    <row r="385" spans="2:69" x14ac:dyDescent="0.25">
      <c r="H385" t="s">
        <v>6</v>
      </c>
    </row>
    <row r="386" spans="2:69" x14ac:dyDescent="0.25">
      <c r="B386" s="26" t="s">
        <v>0</v>
      </c>
      <c r="C386" s="26">
        <v>3.6</v>
      </c>
      <c r="D386" s="26"/>
      <c r="E386" s="26"/>
      <c r="F386" s="26"/>
      <c r="P386" s="30" t="s">
        <v>0</v>
      </c>
      <c r="Q386" s="30">
        <v>3.6</v>
      </c>
      <c r="S386" s="132"/>
      <c r="T386" s="132"/>
      <c r="U386" s="132"/>
      <c r="V386" s="132" t="s">
        <v>0</v>
      </c>
      <c r="W386" s="132">
        <v>3.6</v>
      </c>
      <c r="AF386" s="132"/>
      <c r="AG386" s="132" t="s">
        <v>0</v>
      </c>
      <c r="AH386" s="132">
        <v>3.6</v>
      </c>
      <c r="AT386" s="132"/>
      <c r="AU386" s="132" t="s">
        <v>0</v>
      </c>
      <c r="AV386" s="132">
        <v>3.6</v>
      </c>
      <c r="BA386" s="132"/>
      <c r="BB386" s="132" t="s">
        <v>0</v>
      </c>
      <c r="BC386" s="132">
        <v>3.6</v>
      </c>
      <c r="BO386" s="132"/>
      <c r="BP386" s="132" t="s">
        <v>0</v>
      </c>
      <c r="BQ386" s="132">
        <v>3.6</v>
      </c>
    </row>
    <row r="387" spans="2:69" x14ac:dyDescent="0.25">
      <c r="B387" s="1" t="s">
        <v>4</v>
      </c>
      <c r="C387" s="1" t="s">
        <v>5</v>
      </c>
      <c r="D387" s="1">
        <v>1</v>
      </c>
      <c r="E387" s="1">
        <v>2</v>
      </c>
      <c r="F387" s="1">
        <v>3</v>
      </c>
      <c r="P387" s="1" t="s">
        <v>4</v>
      </c>
      <c r="Q387" s="1" t="s">
        <v>5</v>
      </c>
      <c r="S387" s="132" t="s">
        <v>8</v>
      </c>
      <c r="T387" s="132">
        <v>4.1099999999999998E-2</v>
      </c>
      <c r="U387" s="132" t="s">
        <v>13</v>
      </c>
      <c r="V387" s="1" t="s">
        <v>4</v>
      </c>
      <c r="W387" s="1" t="s">
        <v>5</v>
      </c>
      <c r="AF387" s="143" t="s">
        <v>26</v>
      </c>
      <c r="AG387" s="1" t="s">
        <v>4</v>
      </c>
      <c r="AH387" s="1" t="s">
        <v>5</v>
      </c>
      <c r="AQ387" s="132" t="s">
        <v>8</v>
      </c>
      <c r="AR387">
        <v>4.7800000000000002E-2</v>
      </c>
      <c r="AT387" s="144" t="s">
        <v>29</v>
      </c>
      <c r="AU387" s="1" t="s">
        <v>4</v>
      </c>
      <c r="AV387" s="1" t="s">
        <v>5</v>
      </c>
      <c r="AX387" s="132" t="s">
        <v>8</v>
      </c>
      <c r="AY387" s="132">
        <v>4.1099999999999998E-2</v>
      </c>
      <c r="BA387" s="145" t="s">
        <v>30</v>
      </c>
      <c r="BB387" s="1" t="s">
        <v>4</v>
      </c>
      <c r="BC387" s="1" t="s">
        <v>5</v>
      </c>
      <c r="BL387" s="132" t="s">
        <v>8</v>
      </c>
      <c r="BM387" s="132">
        <v>4.2099999999999999E-2</v>
      </c>
      <c r="BO387" s="146" t="s">
        <v>32</v>
      </c>
      <c r="BP387" s="1" t="s">
        <v>4</v>
      </c>
      <c r="BQ387" s="1" t="s">
        <v>5</v>
      </c>
    </row>
    <row r="388" spans="2:69" x14ac:dyDescent="0.25">
      <c r="B388" s="1">
        <v>14</v>
      </c>
      <c r="C388" s="1">
        <f>AVERAGE(E388,F388,D388)</f>
        <v>18.465062333333332</v>
      </c>
      <c r="D388" s="3">
        <v>18.419049999999999</v>
      </c>
      <c r="E388" s="3">
        <v>18.356755</v>
      </c>
      <c r="F388" s="3">
        <v>18.619382000000002</v>
      </c>
      <c r="P388" s="1">
        <v>14</v>
      </c>
      <c r="Q388" s="1">
        <v>24.2</v>
      </c>
      <c r="S388" s="132" t="s">
        <v>9</v>
      </c>
      <c r="T388" s="132">
        <v>0.23319999999999999</v>
      </c>
      <c r="U388" s="132" t="s">
        <v>15</v>
      </c>
      <c r="V388" s="1">
        <v>14</v>
      </c>
      <c r="W388" s="1">
        <f>((V388*V388)*($T$387+$Q$408))+(V388*($T$388+$S$408))+($T$389+$U$408)</f>
        <v>21.4086</v>
      </c>
      <c r="AF388" s="143" t="s">
        <v>25</v>
      </c>
      <c r="AG388" s="1">
        <v>14</v>
      </c>
      <c r="AH388" s="1">
        <f>((AG388*AG388)*($T$387+$C$458))+(AG388*($T$388+$C$459))+($T$389+$C$460)</f>
        <v>19.549900000000001</v>
      </c>
      <c r="AQ388" s="132" t="s">
        <v>9</v>
      </c>
      <c r="AR388">
        <v>0.19819999999999999</v>
      </c>
      <c r="AT388" s="144" t="s">
        <v>25</v>
      </c>
      <c r="AU388" s="1">
        <v>14</v>
      </c>
      <c r="AV388" s="1">
        <f>((AU388*AU388)*($AR$387+$AC$24))+(AU388*($AR$388+$AE$24))+($AR$389+$AG$24)</f>
        <v>22.237299999999998</v>
      </c>
      <c r="AX388" s="132" t="s">
        <v>9</v>
      </c>
      <c r="AY388" s="132">
        <v>0.23319999999999999</v>
      </c>
      <c r="BA388" s="145">
        <v>12</v>
      </c>
      <c r="BB388" s="1">
        <v>14</v>
      </c>
      <c r="BC388" s="1">
        <f>((BB388*BB388)*($AY$387+$AP$23))+(BB388*($AY$388+$AP$24))+($AY$389+$AP$25)</f>
        <v>19.908099999999997</v>
      </c>
      <c r="BL388" s="132" t="s">
        <v>9</v>
      </c>
      <c r="BM388" s="132">
        <v>0.27160000000000001</v>
      </c>
      <c r="BO388" s="146" t="s">
        <v>33</v>
      </c>
      <c r="BP388" s="1">
        <v>14</v>
      </c>
      <c r="BQ388" s="1">
        <f>((BP388*BP388)*($BM$387+$BB$23))+(BP388*($BM$388+$BB$24))+($BM$389+$BB$25)</f>
        <v>22.603499999999997</v>
      </c>
    </row>
    <row r="389" spans="2:69" x14ac:dyDescent="0.25">
      <c r="B389" s="1">
        <v>13</v>
      </c>
      <c r="C389" s="1">
        <f t="shared" ref="C389:C406" si="176">AVERAGE(E389,F389,D389)</f>
        <v>17.441726333333332</v>
      </c>
      <c r="D389" s="3">
        <v>17.330666000000001</v>
      </c>
      <c r="E389" s="3">
        <v>17.364937999999999</v>
      </c>
      <c r="F389" s="3">
        <v>17.629574999999999</v>
      </c>
      <c r="P389" s="1">
        <v>13</v>
      </c>
      <c r="Q389" s="1">
        <v>17.600000000000001</v>
      </c>
      <c r="S389" s="132" t="s">
        <v>10</v>
      </c>
      <c r="T389" s="132">
        <v>7.3752000000000004</v>
      </c>
      <c r="U389" s="132" t="s">
        <v>16</v>
      </c>
      <c r="V389" s="1">
        <v>13</v>
      </c>
      <c r="W389" s="1">
        <f t="shared" ref="W389:W401" si="177">((V389*V389)*($T$387+$Q$408))+(V389*($T$388+$S$408))+($T$389+$U$408)</f>
        <v>19.349299999999999</v>
      </c>
      <c r="AF389" s="143" t="s">
        <v>25</v>
      </c>
      <c r="AG389" s="1">
        <v>13</v>
      </c>
      <c r="AH389" s="1">
        <f t="shared" ref="AH389:AH401" si="178">((AG389*AG389)*($T$387+$C$458))+(AG389*($T$388+$C$459))+($T$389+$C$460)</f>
        <v>18.046500000000002</v>
      </c>
      <c r="AQ389" s="132" t="s">
        <v>10</v>
      </c>
      <c r="AR389">
        <v>7.3807</v>
      </c>
      <c r="AT389" s="144" t="s">
        <v>25</v>
      </c>
      <c r="AU389" s="1">
        <v>13</v>
      </c>
      <c r="AV389" s="1">
        <f t="shared" ref="AV389:AV401" si="179">((AU389*AU389)*($AR$387+$AC$24))+(AU389*($AR$388+$AE$24))+($AR$389+$AG$24)</f>
        <v>20.0321</v>
      </c>
      <c r="AX389" s="132" t="s">
        <v>10</v>
      </c>
      <c r="AY389" s="132">
        <v>7.3752000000000004</v>
      </c>
      <c r="BA389" s="145">
        <v>12</v>
      </c>
      <c r="BB389" s="1">
        <v>13</v>
      </c>
      <c r="BC389" s="1">
        <f t="shared" ref="BC389:BC401" si="180">((BB389*BB389)*($AY$387+$AP$23))+(BB389*($AY$388+$AP$24))+($AY$389+$AP$25)</f>
        <v>18.4908</v>
      </c>
      <c r="BL389" s="132" t="s">
        <v>10</v>
      </c>
      <c r="BM389" s="132">
        <v>7.8365</v>
      </c>
      <c r="BO389" s="146" t="s">
        <v>33</v>
      </c>
      <c r="BP389" s="1">
        <v>13</v>
      </c>
      <c r="BQ389" s="1">
        <f t="shared" ref="BQ389:BQ401" si="181">((BP389*BP389)*($BM$387+$BB$23))+(BP389*($BM$388+$BB$24))+($BM$389+$BB$25)</f>
        <v>20.4788</v>
      </c>
    </row>
    <row r="390" spans="2:69" x14ac:dyDescent="0.25">
      <c r="B390" s="1">
        <v>12</v>
      </c>
      <c r="C390" s="1">
        <f t="shared" si="176"/>
        <v>16.412344999999998</v>
      </c>
      <c r="D390" s="3">
        <v>16.226402</v>
      </c>
      <c r="E390" s="3">
        <v>16.366060000000001</v>
      </c>
      <c r="F390" s="3">
        <v>16.644573000000001</v>
      </c>
      <c r="P390" s="1">
        <v>12</v>
      </c>
      <c r="Q390" s="1">
        <v>16.399999999999999</v>
      </c>
      <c r="S390" s="132"/>
      <c r="T390" s="132"/>
      <c r="U390" s="132"/>
      <c r="V390" s="1">
        <v>12</v>
      </c>
      <c r="W390" s="1">
        <f t="shared" si="177"/>
        <v>17.459199999999999</v>
      </c>
      <c r="AF390" s="143" t="s">
        <v>25</v>
      </c>
      <c r="AG390" s="1">
        <v>12</v>
      </c>
      <c r="AH390" s="1">
        <f t="shared" si="178"/>
        <v>16.6417</v>
      </c>
      <c r="AQ390" s="132"/>
      <c r="AT390" s="144" t="s">
        <v>25</v>
      </c>
      <c r="AU390" s="1">
        <v>12</v>
      </c>
      <c r="AV390" s="1">
        <f t="shared" si="179"/>
        <v>18.009499999999996</v>
      </c>
      <c r="AX390" s="132"/>
      <c r="AY390" s="132"/>
      <c r="BA390" s="145">
        <v>12</v>
      </c>
      <c r="BB390" s="1">
        <v>12</v>
      </c>
      <c r="BC390" s="1">
        <f t="shared" si="180"/>
        <v>17.159499999999998</v>
      </c>
      <c r="BL390" s="132"/>
      <c r="BM390" s="132"/>
      <c r="BO390" s="146" t="s">
        <v>33</v>
      </c>
      <c r="BP390" s="1">
        <v>12</v>
      </c>
      <c r="BQ390" s="1">
        <f t="shared" si="181"/>
        <v>18.525300000000001</v>
      </c>
    </row>
    <row r="391" spans="2:69" x14ac:dyDescent="0.25">
      <c r="B391" s="1">
        <v>11</v>
      </c>
      <c r="C391" s="1">
        <f t="shared" si="176"/>
        <v>14.917305666666666</v>
      </c>
      <c r="D391" s="3">
        <v>14.864708</v>
      </c>
      <c r="E391" s="3">
        <v>14.770237</v>
      </c>
      <c r="F391" s="3">
        <v>15.116972000000001</v>
      </c>
      <c r="P391" s="1">
        <v>11</v>
      </c>
      <c r="Q391" s="1">
        <v>14.9</v>
      </c>
      <c r="S391" s="132"/>
      <c r="T391" s="132"/>
      <c r="U391" s="132"/>
      <c r="V391" s="1">
        <v>11</v>
      </c>
      <c r="W391" s="1">
        <f t="shared" si="177"/>
        <v>15.738299999999999</v>
      </c>
      <c r="AF391" s="143" t="s">
        <v>25</v>
      </c>
      <c r="AG391" s="1">
        <v>11</v>
      </c>
      <c r="AH391" s="1">
        <f t="shared" si="178"/>
        <v>15.3355</v>
      </c>
      <c r="AQ391" s="132"/>
      <c r="AT391" s="144" t="s">
        <v>25</v>
      </c>
      <c r="AU391" s="1">
        <v>11</v>
      </c>
      <c r="AV391" s="1">
        <f t="shared" si="179"/>
        <v>16.169499999999999</v>
      </c>
      <c r="AX391" s="132"/>
      <c r="AY391" s="132"/>
      <c r="BA391" s="145">
        <v>12</v>
      </c>
      <c r="BB391" s="1">
        <v>11</v>
      </c>
      <c r="BC391" s="1">
        <f t="shared" si="180"/>
        <v>15.914200000000001</v>
      </c>
      <c r="BL391" s="132"/>
      <c r="BM391" s="132"/>
      <c r="BO391" s="146" t="s">
        <v>33</v>
      </c>
      <c r="BP391" s="1">
        <v>11</v>
      </c>
      <c r="BQ391" s="1">
        <f t="shared" si="181"/>
        <v>16.743000000000002</v>
      </c>
    </row>
    <row r="392" spans="2:69" x14ac:dyDescent="0.25">
      <c r="B392" s="1">
        <v>10</v>
      </c>
      <c r="C392" s="1">
        <f t="shared" si="176"/>
        <v>13.650369333333332</v>
      </c>
      <c r="D392" s="3">
        <v>13.566708</v>
      </c>
      <c r="E392" s="3">
        <v>13.527047</v>
      </c>
      <c r="F392" s="3">
        <v>13.857353</v>
      </c>
      <c r="P392" s="1">
        <v>10</v>
      </c>
      <c r="Q392" s="1">
        <v>13.5</v>
      </c>
      <c r="S392" s="132"/>
      <c r="T392" s="132"/>
      <c r="U392" s="132"/>
      <c r="V392" s="1">
        <v>10</v>
      </c>
      <c r="W392" s="1">
        <f t="shared" si="177"/>
        <v>14.186599999999999</v>
      </c>
      <c r="AF392" s="143" t="s">
        <v>25</v>
      </c>
      <c r="AG392" s="1">
        <v>10</v>
      </c>
      <c r="AH392" s="1">
        <f t="shared" si="178"/>
        <v>14.1279</v>
      </c>
      <c r="AQ392" s="132"/>
      <c r="AT392" s="144" t="s">
        <v>25</v>
      </c>
      <c r="AU392" s="1">
        <v>10</v>
      </c>
      <c r="AV392" s="1">
        <f t="shared" si="179"/>
        <v>14.512099999999998</v>
      </c>
      <c r="AX392" s="132"/>
      <c r="AY392" s="132"/>
      <c r="BA392" s="145">
        <v>12</v>
      </c>
      <c r="BB392" s="1">
        <v>10</v>
      </c>
      <c r="BC392" s="1">
        <f t="shared" si="180"/>
        <v>14.754899999999999</v>
      </c>
      <c r="BL392" s="132"/>
      <c r="BM392" s="132"/>
      <c r="BO392" s="146" t="s">
        <v>33</v>
      </c>
      <c r="BP392" s="1">
        <v>10</v>
      </c>
      <c r="BQ392" s="1">
        <f t="shared" si="181"/>
        <v>15.131899999999998</v>
      </c>
    </row>
    <row r="393" spans="2:69" x14ac:dyDescent="0.25">
      <c r="B393" s="1">
        <v>9</v>
      </c>
      <c r="C393" s="1">
        <f t="shared" si="176"/>
        <v>12.737344999999999</v>
      </c>
      <c r="D393" s="3">
        <v>12.618188999999999</v>
      </c>
      <c r="E393" s="3">
        <v>12.620718999999999</v>
      </c>
      <c r="F393" s="3">
        <v>12.973127</v>
      </c>
      <c r="P393" s="1">
        <v>9</v>
      </c>
      <c r="Q393" s="1">
        <v>12.7</v>
      </c>
      <c r="S393" s="132"/>
      <c r="T393" s="132"/>
      <c r="U393" s="132"/>
      <c r="V393" s="1">
        <v>9</v>
      </c>
      <c r="W393" s="1">
        <f t="shared" si="177"/>
        <v>12.8041</v>
      </c>
      <c r="AF393" s="143" t="s">
        <v>25</v>
      </c>
      <c r="AG393" s="1">
        <v>9</v>
      </c>
      <c r="AH393" s="1">
        <f t="shared" si="178"/>
        <v>13.0189</v>
      </c>
      <c r="AQ393" s="132"/>
      <c r="AT393" s="144" t="s">
        <v>25</v>
      </c>
      <c r="AU393" s="1">
        <v>9</v>
      </c>
      <c r="AV393" s="1">
        <f t="shared" si="179"/>
        <v>13.0373</v>
      </c>
      <c r="AX393" s="132"/>
      <c r="AY393" s="132"/>
      <c r="BA393" s="145">
        <v>12</v>
      </c>
      <c r="BB393" s="1">
        <v>9</v>
      </c>
      <c r="BC393" s="1">
        <f t="shared" si="180"/>
        <v>13.6816</v>
      </c>
      <c r="BL393" s="132"/>
      <c r="BM393" s="132"/>
      <c r="BO393" s="146" t="s">
        <v>33</v>
      </c>
      <c r="BP393" s="1">
        <v>9</v>
      </c>
      <c r="BQ393" s="1">
        <f t="shared" si="181"/>
        <v>13.691999999999998</v>
      </c>
    </row>
    <row r="394" spans="2:69" x14ac:dyDescent="0.25">
      <c r="B394" s="1">
        <v>8</v>
      </c>
      <c r="C394" s="1">
        <f t="shared" si="176"/>
        <v>11.949089333333333</v>
      </c>
      <c r="D394" s="3">
        <v>11.812868999999999</v>
      </c>
      <c r="E394" s="3">
        <v>11.85023</v>
      </c>
      <c r="F394" s="3">
        <v>12.184169000000001</v>
      </c>
      <c r="P394" s="1">
        <v>8</v>
      </c>
      <c r="Q394" s="1">
        <v>11.9</v>
      </c>
      <c r="S394" s="132"/>
      <c r="T394" s="132"/>
      <c r="U394" s="132"/>
      <c r="V394" s="1">
        <v>8</v>
      </c>
      <c r="W394" s="1">
        <f t="shared" si="177"/>
        <v>11.5908</v>
      </c>
      <c r="AF394" s="143" t="s">
        <v>25</v>
      </c>
      <c r="AG394" s="1">
        <v>8</v>
      </c>
      <c r="AH394" s="1">
        <f t="shared" si="178"/>
        <v>12.008500000000002</v>
      </c>
      <c r="AQ394" s="132"/>
      <c r="AT394" s="144" t="s">
        <v>25</v>
      </c>
      <c r="AU394" s="1">
        <v>8</v>
      </c>
      <c r="AV394" s="1">
        <f t="shared" si="179"/>
        <v>11.745099999999999</v>
      </c>
      <c r="AX394" s="132"/>
      <c r="AY394" s="132"/>
      <c r="BA394" s="145">
        <v>12</v>
      </c>
      <c r="BB394" s="1">
        <v>8</v>
      </c>
      <c r="BC394" s="1">
        <f t="shared" si="180"/>
        <v>12.6943</v>
      </c>
      <c r="BL394" s="132"/>
      <c r="BM394" s="132"/>
      <c r="BO394" s="146" t="s">
        <v>33</v>
      </c>
      <c r="BP394" s="1">
        <v>8</v>
      </c>
      <c r="BQ394" s="1">
        <f t="shared" si="181"/>
        <v>12.423299999999999</v>
      </c>
    </row>
    <row r="395" spans="2:69" x14ac:dyDescent="0.25">
      <c r="B395" s="1">
        <v>7</v>
      </c>
      <c r="C395" s="1">
        <f t="shared" si="176"/>
        <v>11.033325999999997</v>
      </c>
      <c r="D395" s="3">
        <v>10.848445999999999</v>
      </c>
      <c r="E395" s="3">
        <v>10.986419</v>
      </c>
      <c r="F395" s="3">
        <v>11.265112999999999</v>
      </c>
      <c r="P395" s="1">
        <v>7</v>
      </c>
      <c r="Q395" s="1">
        <v>11</v>
      </c>
      <c r="S395" s="132"/>
      <c r="T395" s="132"/>
      <c r="U395" s="132"/>
      <c r="V395" s="1">
        <v>7</v>
      </c>
      <c r="W395" s="1">
        <f t="shared" si="177"/>
        <v>10.5467</v>
      </c>
      <c r="AF395" s="143" t="s">
        <v>25</v>
      </c>
      <c r="AG395" s="1">
        <v>7</v>
      </c>
      <c r="AH395" s="1">
        <f t="shared" si="178"/>
        <v>11.0967</v>
      </c>
      <c r="AQ395" s="132"/>
      <c r="AT395" s="144" t="s">
        <v>25</v>
      </c>
      <c r="AU395" s="1">
        <v>7</v>
      </c>
      <c r="AV395" s="1">
        <f t="shared" si="179"/>
        <v>10.6355</v>
      </c>
      <c r="AX395" s="132"/>
      <c r="AY395" s="132"/>
      <c r="BA395" s="145">
        <v>12</v>
      </c>
      <c r="BB395" s="1">
        <v>7</v>
      </c>
      <c r="BC395" s="1">
        <f t="shared" si="180"/>
        <v>11.792999999999999</v>
      </c>
      <c r="BL395" s="132"/>
      <c r="BM395" s="132"/>
      <c r="BO395" s="146" t="s">
        <v>33</v>
      </c>
      <c r="BP395" s="1">
        <v>7</v>
      </c>
      <c r="BQ395" s="1">
        <f t="shared" si="181"/>
        <v>11.325799999999999</v>
      </c>
    </row>
    <row r="396" spans="2:69" x14ac:dyDescent="0.25">
      <c r="B396" s="1">
        <v>6</v>
      </c>
      <c r="C396" s="1">
        <f t="shared" si="176"/>
        <v>10.250321666666666</v>
      </c>
      <c r="D396" s="3">
        <v>10.0284</v>
      </c>
      <c r="E396" s="3">
        <v>10.247419000000001</v>
      </c>
      <c r="F396" s="3">
        <v>10.475146000000001</v>
      </c>
      <c r="P396" s="1">
        <v>6</v>
      </c>
      <c r="Q396" s="1">
        <v>10.199999999999999</v>
      </c>
      <c r="S396" s="132"/>
      <c r="T396" s="132"/>
      <c r="U396" s="132"/>
      <c r="V396" s="1">
        <v>6</v>
      </c>
      <c r="W396" s="1">
        <f t="shared" si="177"/>
        <v>9.6718000000000011</v>
      </c>
      <c r="AF396" s="143" t="s">
        <v>25</v>
      </c>
      <c r="AG396" s="1">
        <v>6</v>
      </c>
      <c r="AH396" s="1">
        <f t="shared" si="178"/>
        <v>10.2835</v>
      </c>
      <c r="AQ396" s="132"/>
      <c r="AT396" s="144" t="s">
        <v>25</v>
      </c>
      <c r="AU396" s="1">
        <v>6</v>
      </c>
      <c r="AV396" s="1">
        <f t="shared" si="179"/>
        <v>9.708499999999999</v>
      </c>
      <c r="AX396" s="132"/>
      <c r="AY396" s="132"/>
      <c r="BA396" s="145">
        <v>12</v>
      </c>
      <c r="BB396" s="1">
        <v>6</v>
      </c>
      <c r="BC396" s="1">
        <f t="shared" si="180"/>
        <v>10.9777</v>
      </c>
      <c r="BL396" s="132"/>
      <c r="BM396" s="132"/>
      <c r="BO396" s="146" t="s">
        <v>33</v>
      </c>
      <c r="BP396" s="1">
        <v>6</v>
      </c>
      <c r="BQ396" s="1">
        <f t="shared" si="181"/>
        <v>10.3995</v>
      </c>
    </row>
    <row r="397" spans="2:69" x14ac:dyDescent="0.25">
      <c r="B397" s="1">
        <v>5</v>
      </c>
      <c r="C397" s="1">
        <f t="shared" si="176"/>
        <v>9.3794079999999997</v>
      </c>
      <c r="D397" s="3">
        <v>9.0816040000000005</v>
      </c>
      <c r="E397" s="3">
        <v>9.4265629999999998</v>
      </c>
      <c r="F397" s="3">
        <v>9.6300570000000008</v>
      </c>
      <c r="P397" s="1">
        <v>5</v>
      </c>
      <c r="Q397" s="1">
        <v>9.3000000000000007</v>
      </c>
      <c r="S397" s="132" t="s">
        <v>8</v>
      </c>
      <c r="T397" s="132">
        <v>8.3999999999999995E-3</v>
      </c>
      <c r="U397" s="132" t="s">
        <v>14</v>
      </c>
      <c r="V397" s="1">
        <v>5</v>
      </c>
      <c r="W397" s="1">
        <f t="shared" si="177"/>
        <v>8.9661000000000008</v>
      </c>
      <c r="AF397" s="143" t="s">
        <v>25</v>
      </c>
      <c r="AG397" s="1">
        <v>5</v>
      </c>
      <c r="AH397" s="1">
        <f t="shared" si="178"/>
        <v>9.5689000000000011</v>
      </c>
      <c r="AQ397" s="132" t="s">
        <v>8</v>
      </c>
      <c r="AR397">
        <v>8.0999999999999996E-3</v>
      </c>
      <c r="AT397" s="144" t="s">
        <v>25</v>
      </c>
      <c r="AU397" s="1">
        <v>5</v>
      </c>
      <c r="AV397" s="1">
        <f t="shared" si="179"/>
        <v>8.9641000000000002</v>
      </c>
      <c r="AX397" s="132" t="s">
        <v>8</v>
      </c>
      <c r="AY397" s="132">
        <v>8.3999999999999995E-3</v>
      </c>
      <c r="BA397" s="145">
        <v>12</v>
      </c>
      <c r="BB397" s="1">
        <v>5</v>
      </c>
      <c r="BC397" s="1">
        <f t="shared" si="180"/>
        <v>10.2484</v>
      </c>
      <c r="BL397" s="132" t="s">
        <v>8</v>
      </c>
      <c r="BM397" s="132">
        <v>8.0999999999999996E-3</v>
      </c>
      <c r="BO397" s="146" t="s">
        <v>33</v>
      </c>
      <c r="BP397" s="1">
        <v>5</v>
      </c>
      <c r="BQ397" s="1">
        <f t="shared" si="181"/>
        <v>9.6443999999999992</v>
      </c>
    </row>
    <row r="398" spans="2:69" x14ac:dyDescent="0.25">
      <c r="B398" s="1">
        <v>4</v>
      </c>
      <c r="C398" s="1">
        <f t="shared" si="176"/>
        <v>9.0686013333333335</v>
      </c>
      <c r="D398" s="3">
        <v>8.7567439999999994</v>
      </c>
      <c r="E398" s="3">
        <v>9.1335560000000005</v>
      </c>
      <c r="F398" s="3">
        <v>9.3155040000000007</v>
      </c>
      <c r="P398" s="1">
        <v>4</v>
      </c>
      <c r="Q398" s="1">
        <v>9</v>
      </c>
      <c r="S398" s="132" t="s">
        <v>9</v>
      </c>
      <c r="T398" s="132">
        <v>0.30170000000000002</v>
      </c>
      <c r="U398" s="132" t="s">
        <v>17</v>
      </c>
      <c r="V398" s="1">
        <v>4</v>
      </c>
      <c r="W398" s="1">
        <f t="shared" si="177"/>
        <v>8.4296000000000006</v>
      </c>
      <c r="AF398" s="143" t="s">
        <v>25</v>
      </c>
      <c r="AG398" s="1">
        <v>4</v>
      </c>
      <c r="AH398" s="1">
        <f t="shared" si="178"/>
        <v>8.9529000000000014</v>
      </c>
      <c r="AQ398" s="132" t="s">
        <v>9</v>
      </c>
      <c r="AR398">
        <v>0.29399999999999998</v>
      </c>
      <c r="AT398" s="144" t="s">
        <v>25</v>
      </c>
      <c r="AU398" s="1">
        <v>4</v>
      </c>
      <c r="AV398" s="1">
        <f t="shared" si="179"/>
        <v>8.4023000000000003</v>
      </c>
      <c r="AX398" s="132" t="s">
        <v>9</v>
      </c>
      <c r="AY398" s="132">
        <v>0.30170000000000002</v>
      </c>
      <c r="BA398" s="145">
        <v>12</v>
      </c>
      <c r="BB398" s="1">
        <v>4</v>
      </c>
      <c r="BC398" s="1">
        <f t="shared" si="180"/>
        <v>9.6051000000000002</v>
      </c>
      <c r="BL398" s="132" t="s">
        <v>9</v>
      </c>
      <c r="BM398" s="132">
        <v>0.314</v>
      </c>
      <c r="BO398" s="146" t="s">
        <v>33</v>
      </c>
      <c r="BP398" s="1">
        <v>4</v>
      </c>
      <c r="BQ398" s="1">
        <f t="shared" si="181"/>
        <v>9.0604999999999993</v>
      </c>
    </row>
    <row r="399" spans="2:69" x14ac:dyDescent="0.25">
      <c r="B399" s="1">
        <v>3</v>
      </c>
      <c r="C399" s="1">
        <f t="shared" si="176"/>
        <v>8.3962606666666666</v>
      </c>
      <c r="D399" s="3">
        <v>8.0614729999999994</v>
      </c>
      <c r="E399" s="3">
        <v>8.4751709999999996</v>
      </c>
      <c r="F399" s="3">
        <v>8.6521380000000008</v>
      </c>
      <c r="P399" s="1">
        <v>3</v>
      </c>
      <c r="Q399" s="1">
        <v>8.3000000000000007</v>
      </c>
      <c r="S399" s="132" t="s">
        <v>10</v>
      </c>
      <c r="T399" s="132">
        <v>7.2864000000000004</v>
      </c>
      <c r="U399" s="132" t="s">
        <v>18</v>
      </c>
      <c r="V399" s="1">
        <v>3</v>
      </c>
      <c r="W399" s="1">
        <f t="shared" si="177"/>
        <v>8.0623000000000005</v>
      </c>
      <c r="AF399" s="143" t="s">
        <v>25</v>
      </c>
      <c r="AG399" s="1">
        <v>3</v>
      </c>
      <c r="AH399" s="1">
        <f t="shared" si="178"/>
        <v>8.4355000000000011</v>
      </c>
      <c r="AQ399" s="132" t="s">
        <v>10</v>
      </c>
      <c r="AR399">
        <v>7.2721</v>
      </c>
      <c r="AT399" s="144" t="s">
        <v>25</v>
      </c>
      <c r="AU399" s="1">
        <v>3</v>
      </c>
      <c r="AV399" s="1">
        <f t="shared" si="179"/>
        <v>8.0230999999999995</v>
      </c>
      <c r="AX399" s="132" t="s">
        <v>10</v>
      </c>
      <c r="AY399" s="132">
        <v>7.2864000000000004</v>
      </c>
      <c r="BA399" s="145">
        <v>12</v>
      </c>
      <c r="BB399" s="1">
        <v>3</v>
      </c>
      <c r="BC399" s="1">
        <f t="shared" si="180"/>
        <v>9.0478000000000005</v>
      </c>
      <c r="BL399" s="132" t="s">
        <v>10</v>
      </c>
      <c r="BM399" s="132">
        <v>7.7727000000000004</v>
      </c>
      <c r="BO399" s="146" t="s">
        <v>33</v>
      </c>
      <c r="BP399" s="1">
        <v>3</v>
      </c>
      <c r="BQ399" s="1">
        <f t="shared" si="181"/>
        <v>8.6478000000000002</v>
      </c>
    </row>
    <row r="400" spans="2:69" x14ac:dyDescent="0.25">
      <c r="B400" s="1">
        <v>2</v>
      </c>
      <c r="C400" s="1">
        <f t="shared" si="176"/>
        <v>8.0565073333333341</v>
      </c>
      <c r="D400" s="3">
        <v>7.6996479999999998</v>
      </c>
      <c r="E400" s="3">
        <v>8.1604120000000009</v>
      </c>
      <c r="F400" s="3">
        <v>8.3094619999999999</v>
      </c>
      <c r="P400" s="1">
        <v>2</v>
      </c>
      <c r="Q400" s="1">
        <v>8</v>
      </c>
      <c r="S400" s="132"/>
      <c r="T400" s="132"/>
      <c r="U400" s="132"/>
      <c r="V400" s="1">
        <v>2</v>
      </c>
      <c r="W400" s="1">
        <f t="shared" si="177"/>
        <v>7.8642000000000003</v>
      </c>
      <c r="AF400" s="143" t="s">
        <v>25</v>
      </c>
      <c r="AG400" s="1">
        <v>2</v>
      </c>
      <c r="AH400" s="1">
        <f t="shared" si="178"/>
        <v>8.0167000000000002</v>
      </c>
      <c r="AT400" s="144" t="s">
        <v>25</v>
      </c>
      <c r="AU400" s="1">
        <v>2</v>
      </c>
      <c r="AV400" s="1">
        <f t="shared" si="179"/>
        <v>7.8264999999999993</v>
      </c>
      <c r="BA400" s="145">
        <v>12</v>
      </c>
      <c r="BB400" s="1">
        <v>2</v>
      </c>
      <c r="BC400" s="1">
        <f t="shared" si="180"/>
        <v>8.5765000000000011</v>
      </c>
      <c r="BO400" s="146" t="s">
        <v>33</v>
      </c>
      <c r="BP400" s="1">
        <v>2</v>
      </c>
      <c r="BQ400" s="1">
        <f t="shared" si="181"/>
        <v>8.4062999999999999</v>
      </c>
    </row>
    <row r="401" spans="2:69" x14ac:dyDescent="0.25">
      <c r="B401" s="1">
        <v>1</v>
      </c>
      <c r="C401" s="1">
        <f t="shared" si="176"/>
        <v>7.6946593333333331</v>
      </c>
      <c r="D401" s="3">
        <v>7.3302639999999997</v>
      </c>
      <c r="E401" s="3">
        <v>7.8227869999999999</v>
      </c>
      <c r="F401" s="3">
        <v>7.9309269999999996</v>
      </c>
      <c r="P401" s="1">
        <v>1</v>
      </c>
      <c r="Q401" s="1">
        <v>7.6</v>
      </c>
      <c r="S401" s="132"/>
      <c r="T401" s="132"/>
      <c r="U401" s="132"/>
      <c r="V401" s="1">
        <v>1</v>
      </c>
      <c r="W401" s="1">
        <f t="shared" si="177"/>
        <v>7.8353000000000002</v>
      </c>
      <c r="AF401" s="143" t="s">
        <v>25</v>
      </c>
      <c r="AG401" s="1">
        <v>1</v>
      </c>
      <c r="AH401" s="1">
        <f t="shared" si="178"/>
        <v>7.6965000000000003</v>
      </c>
      <c r="AT401" s="144" t="s">
        <v>25</v>
      </c>
      <c r="AU401" s="1">
        <v>1</v>
      </c>
      <c r="AV401" s="1">
        <f t="shared" si="179"/>
        <v>7.8125</v>
      </c>
      <c r="BA401" s="145">
        <v>12</v>
      </c>
      <c r="BB401" s="1">
        <v>1</v>
      </c>
      <c r="BC401" s="1">
        <f t="shared" si="180"/>
        <v>8.1912000000000003</v>
      </c>
      <c r="BO401" s="146" t="s">
        <v>33</v>
      </c>
      <c r="BP401" s="1">
        <v>1</v>
      </c>
      <c r="BQ401" s="1">
        <f t="shared" si="181"/>
        <v>8.3360000000000003</v>
      </c>
    </row>
    <row r="402" spans="2:69" x14ac:dyDescent="0.25">
      <c r="B402" s="1">
        <v>0</v>
      </c>
      <c r="C402" s="1">
        <f t="shared" si="176"/>
        <v>7.3509553333333324</v>
      </c>
      <c r="D402" s="3">
        <v>7.0011330000000003</v>
      </c>
      <c r="E402" s="3">
        <v>7.4773319999999996</v>
      </c>
      <c r="F402" s="3">
        <v>7.5744009999999999</v>
      </c>
      <c r="P402" s="1">
        <v>0</v>
      </c>
      <c r="Q402" s="1">
        <v>7.3</v>
      </c>
      <c r="S402" s="132"/>
      <c r="T402" s="132"/>
      <c r="U402" s="132"/>
      <c r="V402" s="1">
        <v>0</v>
      </c>
      <c r="W402" s="1">
        <f>((V402*V402)*($T$397+$Q$409))+(V402*($T$398+$S$409))+($T$399+$U$409)</f>
        <v>7.2286000000000001</v>
      </c>
      <c r="AF402" s="143" t="s">
        <v>25</v>
      </c>
      <c r="AG402" s="1">
        <v>0</v>
      </c>
      <c r="AH402" s="1">
        <f>((AG402*AG402)*($T$397+$E$458))+(AG402*($T$398+$E$459))+($T$399+$E$460)</f>
        <v>7.2721000000000009</v>
      </c>
      <c r="AT402" s="144" t="s">
        <v>25</v>
      </c>
      <c r="AU402" s="1">
        <v>0</v>
      </c>
      <c r="AV402" s="1">
        <f>((AU402*AU402)*($AR$397+$AC$25))+(AU402*($AR$398+$AE$25))+($AR$399+$AG$25)</f>
        <v>7.2142999999999997</v>
      </c>
      <c r="BA402" s="145">
        <v>12</v>
      </c>
      <c r="BB402" s="1">
        <v>0</v>
      </c>
      <c r="BC402" s="1">
        <f>((BB402*BB402)*($AY$397+$AR$23))+(BB402*($AY$398+$AR$24))+($AY$399+$AR$25)</f>
        <v>7.7727000000000004</v>
      </c>
      <c r="BO402" s="146" t="s">
        <v>33</v>
      </c>
      <c r="BP402" s="1">
        <v>0</v>
      </c>
      <c r="BQ402" s="1">
        <f>((BP402*BP402)*($BM$397+$BD$23))+(BP402*($BM$398+$BD$24))+($BM$399+$BD$25)</f>
        <v>7.7149000000000001</v>
      </c>
    </row>
    <row r="403" spans="2:69" x14ac:dyDescent="0.25">
      <c r="B403" s="1">
        <v>-5</v>
      </c>
      <c r="C403" s="1">
        <f t="shared" si="176"/>
        <v>5.8582426666666665</v>
      </c>
      <c r="D403" s="3">
        <v>5.4807839999999999</v>
      </c>
      <c r="E403" s="3">
        <v>6.0380390000000004</v>
      </c>
      <c r="F403" s="3">
        <v>6.0559050000000001</v>
      </c>
      <c r="P403" s="1">
        <v>-5</v>
      </c>
      <c r="Q403" s="1">
        <v>5.8</v>
      </c>
      <c r="S403" s="132"/>
      <c r="T403" s="132"/>
      <c r="U403" s="132"/>
      <c r="V403" s="1">
        <v>-5</v>
      </c>
      <c r="W403" s="1">
        <f t="shared" ref="W403:W406" si="182">((V403*V403)*($T$397+$Q$409))+(V403*($T$398+$S$409))+($T$399+$U$409)</f>
        <v>5.9236000000000004</v>
      </c>
      <c r="AF403" s="143" t="s">
        <v>25</v>
      </c>
      <c r="AG403" s="1">
        <v>-5</v>
      </c>
      <c r="AH403" s="1">
        <f t="shared" ref="AH403:AH406" si="183">((AG403*AG403)*($T$397+$E$458))+(AG403*($T$398+$E$459))+($T$399+$E$460)</f>
        <v>6.0046000000000008</v>
      </c>
      <c r="AT403" s="144" t="s">
        <v>25</v>
      </c>
      <c r="AU403" s="1">
        <v>-5</v>
      </c>
      <c r="AV403" s="1">
        <f t="shared" ref="AV403:AV406" si="184">((AU403*AU403)*($AR$397+$AC$25))+(AU403*($AR$398+$AE$25))+($AR$399+$AG$25)</f>
        <v>5.9402999999999997</v>
      </c>
      <c r="BA403" s="145">
        <v>12</v>
      </c>
      <c r="BB403" s="1">
        <v>-5</v>
      </c>
      <c r="BC403" s="1">
        <f t="shared" ref="BC403:BC406" si="185">((BB403*BB403)*($AY$397+$AR$23))+(BB403*($AY$398+$AR$24))+($AY$399+$AR$25)</f>
        <v>6.4052000000000007</v>
      </c>
      <c r="BO403" s="146" t="s">
        <v>33</v>
      </c>
      <c r="BP403" s="1">
        <v>-5</v>
      </c>
      <c r="BQ403" s="1">
        <f t="shared" ref="BQ403:BQ406" si="186">((BP403*BP403)*($BM$397+$BD$23))+(BP403*($BM$398+$BD$24))+($BM$399+$BD$25)</f>
        <v>6.3408999999999995</v>
      </c>
    </row>
    <row r="404" spans="2:69" x14ac:dyDescent="0.25">
      <c r="B404" s="1">
        <v>-10</v>
      </c>
      <c r="C404" s="1">
        <f t="shared" si="176"/>
        <v>5.118152666666667</v>
      </c>
      <c r="D404" s="3">
        <v>4.7905439999999997</v>
      </c>
      <c r="E404" s="3">
        <v>5.265657</v>
      </c>
      <c r="F404" s="3">
        <v>5.2982570000000004</v>
      </c>
      <c r="P404" s="1">
        <v>-10</v>
      </c>
      <c r="Q404" s="1">
        <v>5.0999999999999996</v>
      </c>
      <c r="S404" s="132"/>
      <c r="T404" s="132"/>
      <c r="U404" s="132"/>
      <c r="V404" s="1">
        <v>-10</v>
      </c>
      <c r="W404" s="1">
        <f t="shared" si="182"/>
        <v>5.0485999999999995</v>
      </c>
      <c r="AF404" s="143" t="s">
        <v>25</v>
      </c>
      <c r="AG404" s="1">
        <v>-10</v>
      </c>
      <c r="AH404" s="1">
        <f t="shared" si="183"/>
        <v>5.142100000000001</v>
      </c>
      <c r="AT404" s="144" t="s">
        <v>25</v>
      </c>
      <c r="AU404" s="1">
        <v>-10</v>
      </c>
      <c r="AV404" s="1">
        <f t="shared" si="184"/>
        <v>5.0812999999999997</v>
      </c>
      <c r="BA404" s="145">
        <v>12</v>
      </c>
      <c r="BB404" s="1">
        <v>-10</v>
      </c>
      <c r="BC404" s="1">
        <f t="shared" si="185"/>
        <v>5.4427000000000003</v>
      </c>
      <c r="BO404" s="146" t="s">
        <v>33</v>
      </c>
      <c r="BP404" s="1">
        <v>-10</v>
      </c>
      <c r="BQ404" s="1">
        <f t="shared" si="186"/>
        <v>5.3818999999999999</v>
      </c>
    </row>
    <row r="405" spans="2:69" x14ac:dyDescent="0.25">
      <c r="B405" s="1">
        <v>-15</v>
      </c>
      <c r="C405" s="1">
        <f t="shared" si="176"/>
        <v>4.7838413333333332</v>
      </c>
      <c r="D405" s="3">
        <v>4.4986680000000003</v>
      </c>
      <c r="E405" s="3">
        <v>4.928096</v>
      </c>
      <c r="F405" s="3">
        <v>4.92476</v>
      </c>
      <c r="P405" s="1">
        <v>-15</v>
      </c>
      <c r="Q405" s="1">
        <v>4.8</v>
      </c>
      <c r="S405" s="132"/>
      <c r="T405" s="132"/>
      <c r="U405" s="132"/>
      <c r="V405" s="1">
        <v>-15</v>
      </c>
      <c r="W405" s="1">
        <f t="shared" si="182"/>
        <v>4.6036000000000001</v>
      </c>
      <c r="AF405" s="143" t="s">
        <v>25</v>
      </c>
      <c r="AG405" s="1">
        <v>-15</v>
      </c>
      <c r="AH405" s="1">
        <f t="shared" si="183"/>
        <v>4.6846000000000005</v>
      </c>
      <c r="AT405" s="144" t="s">
        <v>25</v>
      </c>
      <c r="AU405" s="1">
        <v>-15</v>
      </c>
      <c r="AV405" s="1">
        <f t="shared" si="184"/>
        <v>4.6372999999999998</v>
      </c>
      <c r="BA405" s="145">
        <v>12</v>
      </c>
      <c r="BB405" s="1">
        <v>-15</v>
      </c>
      <c r="BC405" s="1">
        <f t="shared" si="185"/>
        <v>4.8852000000000002</v>
      </c>
      <c r="BO405" s="146" t="s">
        <v>33</v>
      </c>
      <c r="BP405" s="1">
        <v>-15</v>
      </c>
      <c r="BQ405" s="1">
        <f t="shared" si="186"/>
        <v>4.8378999999999994</v>
      </c>
    </row>
    <row r="406" spans="2:69" x14ac:dyDescent="0.25">
      <c r="B406" s="1">
        <v>-20</v>
      </c>
      <c r="C406" s="1">
        <f t="shared" si="176"/>
        <v>4.5645893333333332</v>
      </c>
      <c r="D406" s="3">
        <v>4.4934570000000003</v>
      </c>
      <c r="E406" s="3">
        <v>4.601763</v>
      </c>
      <c r="F406" s="3">
        <v>4.5985480000000001</v>
      </c>
      <c r="P406" s="1">
        <v>-20</v>
      </c>
      <c r="Q406" s="1">
        <v>4.5999999999999996</v>
      </c>
      <c r="S406" s="132"/>
      <c r="T406" s="132"/>
      <c r="U406" s="132"/>
      <c r="V406" s="1">
        <v>-20</v>
      </c>
      <c r="W406" s="1">
        <f t="shared" si="182"/>
        <v>4.5885999999999996</v>
      </c>
      <c r="AF406" s="143" t="s">
        <v>25</v>
      </c>
      <c r="AG406" s="1">
        <v>-20</v>
      </c>
      <c r="AH406" s="1">
        <f t="shared" si="183"/>
        <v>4.6320999999999994</v>
      </c>
      <c r="AT406" s="144" t="s">
        <v>25</v>
      </c>
      <c r="AU406" s="1">
        <v>-20</v>
      </c>
      <c r="AV406" s="1">
        <f t="shared" si="184"/>
        <v>4.6082999999999998</v>
      </c>
      <c r="BA406" s="145">
        <v>12</v>
      </c>
      <c r="BB406" s="1">
        <v>-20</v>
      </c>
      <c r="BC406" s="1">
        <f t="shared" si="185"/>
        <v>4.7326999999999995</v>
      </c>
      <c r="BO406" s="146" t="s">
        <v>33</v>
      </c>
      <c r="BP406" s="1">
        <v>-20</v>
      </c>
      <c r="BQ406" s="1">
        <f t="shared" si="186"/>
        <v>4.7088999999999999</v>
      </c>
    </row>
    <row r="407" spans="2:69" ht="15.75" thickBot="1" x14ac:dyDescent="0.3"/>
    <row r="408" spans="2:69" x14ac:dyDescent="0.25">
      <c r="O408" s="141" t="s">
        <v>11</v>
      </c>
      <c r="P408" s="140" t="s">
        <v>8</v>
      </c>
      <c r="Q408" s="135">
        <f>0.0846-0.0411</f>
        <v>4.3499999999999997E-2</v>
      </c>
      <c r="R408" s="140" t="s">
        <v>9</v>
      </c>
      <c r="S408" s="135">
        <f>-0.2332+-0.2249</f>
        <v>-0.45809999999999995</v>
      </c>
      <c r="T408" s="140" t="s">
        <v>10</v>
      </c>
      <c r="U408" s="136">
        <f>7.9756-7.3752</f>
        <v>0.6003999999999996</v>
      </c>
    </row>
    <row r="409" spans="2:69" ht="15.75" thickBot="1" x14ac:dyDescent="0.3">
      <c r="O409" s="142" t="s">
        <v>12</v>
      </c>
      <c r="P409" s="139" t="s">
        <v>8</v>
      </c>
      <c r="Q409" s="137">
        <f>0.0086-0.0084</f>
        <v>2.0000000000000052E-4</v>
      </c>
      <c r="R409" s="139" t="s">
        <v>9</v>
      </c>
      <c r="S409" s="137">
        <f>0.3017-0.2994</f>
        <v>2.3000000000000242E-3</v>
      </c>
      <c r="T409" s="139" t="s">
        <v>10</v>
      </c>
      <c r="U409" s="138">
        <f>7.2286-7.2864</f>
        <v>-5.7800000000000296E-2</v>
      </c>
    </row>
    <row r="410" spans="2:69" x14ac:dyDescent="0.25">
      <c r="B410" s="26" t="s">
        <v>0</v>
      </c>
      <c r="C410" s="26">
        <v>3.7</v>
      </c>
      <c r="D410" s="26"/>
      <c r="E410" s="26"/>
      <c r="F410" s="26"/>
      <c r="R410" s="132" t="s">
        <v>0</v>
      </c>
      <c r="S410" s="132">
        <v>3.7</v>
      </c>
      <c r="Y410" s="132"/>
      <c r="Z410" s="132"/>
      <c r="AA410" s="132"/>
      <c r="AB410" s="132" t="s">
        <v>0</v>
      </c>
      <c r="AC410" s="132">
        <v>3.7</v>
      </c>
      <c r="AF410" s="132"/>
      <c r="AG410" s="132" t="s">
        <v>0</v>
      </c>
      <c r="AH410" s="132">
        <v>3.7</v>
      </c>
      <c r="AT410" s="132"/>
      <c r="AU410" s="132" t="s">
        <v>0</v>
      </c>
      <c r="AV410" s="132">
        <v>3.7</v>
      </c>
      <c r="BA410" s="132"/>
      <c r="BB410" s="132" t="s">
        <v>0</v>
      </c>
      <c r="BC410" s="132">
        <v>3.7</v>
      </c>
      <c r="BO410" s="132"/>
      <c r="BP410" s="132" t="s">
        <v>0</v>
      </c>
      <c r="BQ410" s="132">
        <v>3.7</v>
      </c>
    </row>
    <row r="411" spans="2:69" x14ac:dyDescent="0.25">
      <c r="B411" s="1" t="s">
        <v>4</v>
      </c>
      <c r="C411" s="1" t="s">
        <v>5</v>
      </c>
      <c r="D411" s="1">
        <v>1</v>
      </c>
      <c r="E411" s="1">
        <v>2</v>
      </c>
      <c r="F411" s="1">
        <v>3</v>
      </c>
      <c r="O411" t="s">
        <v>8</v>
      </c>
      <c r="P411">
        <f>0.0401+$Q$408</f>
        <v>8.3599999999999994E-2</v>
      </c>
      <c r="R411" s="1" t="s">
        <v>4</v>
      </c>
      <c r="S411" s="1" t="s">
        <v>5</v>
      </c>
      <c r="Y411" s="132" t="s">
        <v>8</v>
      </c>
      <c r="Z411" s="132">
        <v>4.0099999999999997E-2</v>
      </c>
      <c r="AA411" s="132" t="s">
        <v>13</v>
      </c>
      <c r="AB411" s="1" t="s">
        <v>4</v>
      </c>
      <c r="AC411" s="1" t="s">
        <v>5</v>
      </c>
      <c r="AF411" s="143" t="s">
        <v>27</v>
      </c>
      <c r="AG411" s="1" t="s">
        <v>4</v>
      </c>
      <c r="AH411" s="1" t="s">
        <v>5</v>
      </c>
      <c r="AQ411" s="132" t="s">
        <v>8</v>
      </c>
      <c r="AR411">
        <v>4.6800000000000001E-2</v>
      </c>
      <c r="AT411" s="144" t="s">
        <v>29</v>
      </c>
      <c r="AU411" s="1" t="s">
        <v>4</v>
      </c>
      <c r="AV411" s="1" t="s">
        <v>5</v>
      </c>
      <c r="AX411" s="132" t="s">
        <v>8</v>
      </c>
      <c r="AY411" s="132">
        <v>4.0099999999999997E-2</v>
      </c>
      <c r="BA411" s="145" t="s">
        <v>30</v>
      </c>
      <c r="BB411" s="1" t="s">
        <v>4</v>
      </c>
      <c r="BC411" s="1" t="s">
        <v>5</v>
      </c>
      <c r="BL411" s="132" t="s">
        <v>8</v>
      </c>
      <c r="BM411" s="132">
        <v>4.1200000000000001E-2</v>
      </c>
      <c r="BO411" s="146" t="s">
        <v>32</v>
      </c>
      <c r="BP411" s="1" t="s">
        <v>4</v>
      </c>
      <c r="BQ411" s="1" t="s">
        <v>5</v>
      </c>
    </row>
    <row r="412" spans="2:69" x14ac:dyDescent="0.25">
      <c r="B412" s="1">
        <v>14</v>
      </c>
      <c r="C412" s="1">
        <f>AVERAGE(E412,F412,D412)</f>
        <v>18.000882666666666</v>
      </c>
      <c r="D412" s="27">
        <v>17.831852999999999</v>
      </c>
      <c r="E412" s="28">
        <v>17.948433000000001</v>
      </c>
      <c r="F412" s="29">
        <v>18.222362</v>
      </c>
      <c r="O412" t="s">
        <v>9</v>
      </c>
      <c r="P412">
        <f>0.2265+$S$408</f>
        <v>-0.23159999999999994</v>
      </c>
      <c r="R412" s="1">
        <v>14</v>
      </c>
      <c r="S412" s="1">
        <f>V412+W412+$P$413</f>
        <v>20.941700000000001</v>
      </c>
      <c r="V412">
        <f>R412*R412*$P$411</f>
        <v>16.3856</v>
      </c>
      <c r="W412">
        <f>$P$412*R412</f>
        <v>-3.2423999999999991</v>
      </c>
      <c r="Y412" s="132" t="s">
        <v>9</v>
      </c>
      <c r="Z412" s="132">
        <v>0.22650000000000001</v>
      </c>
      <c r="AA412" s="132" t="s">
        <v>15</v>
      </c>
      <c r="AB412" s="1">
        <v>14</v>
      </c>
      <c r="AC412" s="1">
        <f>((AB412*AB412)*($Z$411+$Q$408))+(AB412*($Z$412+$S$408))+($Z$413+$U$408)</f>
        <v>20.941700000000001</v>
      </c>
      <c r="AF412" s="143" t="s">
        <v>25</v>
      </c>
      <c r="AG412" s="1">
        <v>14</v>
      </c>
      <c r="AH412" s="1">
        <f>((AG412*AG412)*($Z$411+$C$458))+(AG412*($Z$412+$C$459))+($Z$413+$C$460)</f>
        <v>19.082999999999998</v>
      </c>
      <c r="AQ412" s="132" t="s">
        <v>9</v>
      </c>
      <c r="AR412">
        <v>0.191</v>
      </c>
      <c r="AT412" s="144" t="s">
        <v>25</v>
      </c>
      <c r="AU412" s="1">
        <v>14</v>
      </c>
      <c r="AV412" s="1">
        <f>((AU412*AU412)*($AR$411+$AC$24))+(AU412*($AR$412+$AE$24))+($AR$413+$AG$24)</f>
        <v>21.765299999999996</v>
      </c>
      <c r="AX412" s="132" t="s">
        <v>9</v>
      </c>
      <c r="AY412" s="132">
        <v>0.22650000000000001</v>
      </c>
      <c r="BA412" s="145">
        <v>12</v>
      </c>
      <c r="BB412" s="1">
        <v>14</v>
      </c>
      <c r="BC412" s="1">
        <f>((BB412*BB412)*($AY$411+$AP$23))+(BB412*($AY$412+$AP$24))+($AY$413+$AP$25)</f>
        <v>19.441200000000002</v>
      </c>
      <c r="BL412" s="132" t="s">
        <v>9</v>
      </c>
      <c r="BM412" s="132">
        <v>0.26429999999999998</v>
      </c>
      <c r="BO412" s="146" t="s">
        <v>33</v>
      </c>
      <c r="BP412" s="1">
        <v>14</v>
      </c>
      <c r="BQ412" s="1">
        <f>((BP412*BP412)*($BM$411+$BB$23))+(BP412*($BM$412+$BB$24))+($BM$413+$BB$25)</f>
        <v>22.149799999999999</v>
      </c>
    </row>
    <row r="413" spans="2:69" x14ac:dyDescent="0.25">
      <c r="B413" s="1">
        <v>13</v>
      </c>
      <c r="C413" s="1">
        <f t="shared" ref="C413:C430" si="187">AVERAGE(E413,F413,D413)</f>
        <v>17.024152666666669</v>
      </c>
      <c r="D413" s="27">
        <v>16.814630999999999</v>
      </c>
      <c r="E413" s="28">
        <v>16.999465000000001</v>
      </c>
      <c r="F413" s="29">
        <v>17.258362000000002</v>
      </c>
      <c r="O413" t="s">
        <v>10</v>
      </c>
      <c r="P413">
        <f>7.1981+$U$408</f>
        <v>7.7984999999999998</v>
      </c>
      <c r="R413" s="1">
        <v>13</v>
      </c>
      <c r="S413" s="1">
        <f t="shared" ref="S413:S430" si="188">V413+W413+$P$413</f>
        <v>18.9161</v>
      </c>
      <c r="V413" s="132">
        <f t="shared" ref="V413:V426" si="189">R413*R413*$P$411</f>
        <v>14.128399999999999</v>
      </c>
      <c r="W413" s="132">
        <f t="shared" ref="W413:W426" si="190">$P$412*R413</f>
        <v>-3.0107999999999993</v>
      </c>
      <c r="Y413" s="132" t="s">
        <v>10</v>
      </c>
      <c r="Z413" s="132">
        <v>7.1981000000000002</v>
      </c>
      <c r="AA413" s="132" t="s">
        <v>16</v>
      </c>
      <c r="AB413" s="1">
        <v>13</v>
      </c>
      <c r="AC413" s="1">
        <f t="shared" ref="AC413:AC425" si="191">((AB413*AB413)*($Z$411+$Q$408))+(AB413*($Z$412+$S$408))+($Z$413+$U$408)</f>
        <v>18.9161</v>
      </c>
      <c r="AF413" s="143" t="s">
        <v>25</v>
      </c>
      <c r="AG413" s="1">
        <v>13</v>
      </c>
      <c r="AH413" s="1">
        <f t="shared" ref="AH413:AH425" si="192">((AG413*AG413)*($Z$411+$C$458))+(AG413*($Z$412+$C$459))+($Z$413+$C$460)</f>
        <v>17.613300000000002</v>
      </c>
      <c r="AQ413" s="132" t="s">
        <v>10</v>
      </c>
      <c r="AR413">
        <v>7.2054999999999998</v>
      </c>
      <c r="AT413" s="144" t="s">
        <v>25</v>
      </c>
      <c r="AU413" s="1">
        <v>13</v>
      </c>
      <c r="AV413" s="1">
        <f t="shared" ref="AV413:AV425" si="193">((AU413*AU413)*($AR$411+$AC$24))+(AU413*($AR$412+$AE$24))+($AR$413+$AG$24)</f>
        <v>19.594299999999997</v>
      </c>
      <c r="AX413" s="132" t="s">
        <v>10</v>
      </c>
      <c r="AY413" s="132">
        <v>7.1981000000000002</v>
      </c>
      <c r="BA413" s="145">
        <v>12</v>
      </c>
      <c r="BB413" s="1">
        <v>13</v>
      </c>
      <c r="BC413" s="1">
        <f t="shared" ref="BC413:BC425" si="194">((BB413*BB413)*($AY$411+$AP$23))+(BB413*($AY$412+$AP$24))+($AY$413+$AP$25)</f>
        <v>18.057600000000001</v>
      </c>
      <c r="BL413" s="132" t="s">
        <v>10</v>
      </c>
      <c r="BM413" s="132">
        <v>7.6614000000000004</v>
      </c>
      <c r="BO413" s="146" t="s">
        <v>33</v>
      </c>
      <c r="BP413" s="1">
        <v>13</v>
      </c>
      <c r="BQ413" s="1">
        <f t="shared" ref="BQ413:BQ425" si="195">((BP413*BP413)*($BM$411+$BB$23))+(BP413*($BM$412+$BB$24))+($BM$413+$BB$25)</f>
        <v>20.056699999999999</v>
      </c>
    </row>
    <row r="414" spans="2:69" x14ac:dyDescent="0.25">
      <c r="B414" s="1">
        <v>12</v>
      </c>
      <c r="C414" s="1">
        <f t="shared" si="187"/>
        <v>16.032515333333333</v>
      </c>
      <c r="D414" s="27">
        <v>15.787167</v>
      </c>
      <c r="E414" s="28">
        <v>16.013396</v>
      </c>
      <c r="F414" s="29">
        <v>16.296983000000001</v>
      </c>
      <c r="R414" s="1">
        <v>12</v>
      </c>
      <c r="S414" s="1">
        <f t="shared" si="188"/>
        <v>17.057700000000001</v>
      </c>
      <c r="V414" s="132">
        <f t="shared" si="189"/>
        <v>12.038399999999999</v>
      </c>
      <c r="W414" s="132">
        <f t="shared" si="190"/>
        <v>-2.7791999999999994</v>
      </c>
      <c r="Y414" s="132"/>
      <c r="Z414" s="132"/>
      <c r="AA414" s="132"/>
      <c r="AB414" s="1">
        <v>12</v>
      </c>
      <c r="AC414" s="1">
        <f t="shared" si="191"/>
        <v>17.057700000000001</v>
      </c>
      <c r="AF414" s="143" t="s">
        <v>25</v>
      </c>
      <c r="AG414" s="1">
        <v>12</v>
      </c>
      <c r="AH414" s="1">
        <f t="shared" si="192"/>
        <v>16.240200000000002</v>
      </c>
      <c r="AQ414" s="132"/>
      <c r="AT414" s="144" t="s">
        <v>25</v>
      </c>
      <c r="AU414" s="1">
        <v>12</v>
      </c>
      <c r="AV414" s="1">
        <f t="shared" si="193"/>
        <v>17.603899999999999</v>
      </c>
      <c r="AX414" s="132"/>
      <c r="AY414" s="132"/>
      <c r="BA414" s="145">
        <v>12</v>
      </c>
      <c r="BB414" s="1">
        <v>12</v>
      </c>
      <c r="BC414" s="1">
        <f t="shared" si="194"/>
        <v>16.757999999999999</v>
      </c>
      <c r="BL414" s="132"/>
      <c r="BM414" s="132"/>
      <c r="BO414" s="146" t="s">
        <v>33</v>
      </c>
      <c r="BP414" s="1">
        <v>12</v>
      </c>
      <c r="BQ414" s="1">
        <f t="shared" si="195"/>
        <v>18.132999999999999</v>
      </c>
    </row>
    <row r="415" spans="2:69" x14ac:dyDescent="0.25">
      <c r="B415" s="1">
        <v>11</v>
      </c>
      <c r="C415" s="1">
        <f t="shared" si="187"/>
        <v>14.537094666666666</v>
      </c>
      <c r="D415" s="27">
        <v>14.374853</v>
      </c>
      <c r="E415" s="28">
        <v>14.435587</v>
      </c>
      <c r="F415" s="29">
        <v>14.800844</v>
      </c>
      <c r="R415" s="1">
        <v>11</v>
      </c>
      <c r="S415" s="1">
        <f t="shared" si="188"/>
        <v>15.366499999999998</v>
      </c>
      <c r="V415" s="132">
        <f t="shared" si="189"/>
        <v>10.115599999999999</v>
      </c>
      <c r="W415" s="132">
        <f t="shared" si="190"/>
        <v>-2.5475999999999992</v>
      </c>
      <c r="Y415" s="132"/>
      <c r="Z415" s="132"/>
      <c r="AA415" s="132"/>
      <c r="AB415" s="1">
        <v>11</v>
      </c>
      <c r="AC415" s="1">
        <f t="shared" si="191"/>
        <v>15.366499999999998</v>
      </c>
      <c r="AF415" s="143" t="s">
        <v>25</v>
      </c>
      <c r="AG415" s="1">
        <v>11</v>
      </c>
      <c r="AH415" s="1">
        <f t="shared" si="192"/>
        <v>14.963699999999999</v>
      </c>
      <c r="AQ415" s="132"/>
      <c r="AT415" s="144" t="s">
        <v>25</v>
      </c>
      <c r="AU415" s="1">
        <v>11</v>
      </c>
      <c r="AV415" s="1">
        <f t="shared" si="193"/>
        <v>15.7941</v>
      </c>
      <c r="AX415" s="132"/>
      <c r="AY415" s="132"/>
      <c r="BA415" s="145">
        <v>12</v>
      </c>
      <c r="BB415" s="1">
        <v>11</v>
      </c>
      <c r="BC415" s="1">
        <f t="shared" si="194"/>
        <v>15.542400000000001</v>
      </c>
      <c r="BL415" s="132"/>
      <c r="BM415" s="132"/>
      <c r="BO415" s="146" t="s">
        <v>33</v>
      </c>
      <c r="BP415" s="1">
        <v>11</v>
      </c>
      <c r="BQ415" s="1">
        <f t="shared" si="195"/>
        <v>16.378700000000002</v>
      </c>
    </row>
    <row r="416" spans="2:69" x14ac:dyDescent="0.25">
      <c r="B416" s="1">
        <v>10</v>
      </c>
      <c r="C416" s="1">
        <f t="shared" si="187"/>
        <v>13.312048333333335</v>
      </c>
      <c r="D416" s="27">
        <v>13.128132000000001</v>
      </c>
      <c r="E416" s="28">
        <v>13.244782000000001</v>
      </c>
      <c r="F416" s="29">
        <v>13.563231</v>
      </c>
      <c r="R416" s="1">
        <v>10</v>
      </c>
      <c r="S416" s="1">
        <f t="shared" si="188"/>
        <v>13.842500000000001</v>
      </c>
      <c r="V416" s="132">
        <f t="shared" si="189"/>
        <v>8.36</v>
      </c>
      <c r="W416" s="132">
        <f t="shared" si="190"/>
        <v>-2.3159999999999994</v>
      </c>
      <c r="Y416" s="132"/>
      <c r="Z416" s="132"/>
      <c r="AA416" s="132"/>
      <c r="AB416" s="1">
        <v>10</v>
      </c>
      <c r="AC416" s="1">
        <f t="shared" si="191"/>
        <v>13.842500000000001</v>
      </c>
      <c r="AF416" s="143" t="s">
        <v>25</v>
      </c>
      <c r="AG416" s="1">
        <v>10</v>
      </c>
      <c r="AH416" s="1">
        <f t="shared" si="192"/>
        <v>13.783799999999999</v>
      </c>
      <c r="AQ416" s="132"/>
      <c r="AT416" s="144" t="s">
        <v>25</v>
      </c>
      <c r="AU416" s="1">
        <v>10</v>
      </c>
      <c r="AV416" s="1">
        <f t="shared" si="193"/>
        <v>14.164899999999999</v>
      </c>
      <c r="AX416" s="132"/>
      <c r="AY416" s="132"/>
      <c r="BA416" s="145">
        <v>12</v>
      </c>
      <c r="BB416" s="1">
        <v>10</v>
      </c>
      <c r="BC416" s="1">
        <f t="shared" si="194"/>
        <v>14.4108</v>
      </c>
      <c r="BL416" s="132"/>
      <c r="BM416" s="132"/>
      <c r="BO416" s="146" t="s">
        <v>33</v>
      </c>
      <c r="BP416" s="1">
        <v>10</v>
      </c>
      <c r="BQ416" s="1">
        <f t="shared" si="195"/>
        <v>14.793799999999999</v>
      </c>
    </row>
    <row r="417" spans="2:69" x14ac:dyDescent="0.25">
      <c r="B417" s="1">
        <v>9</v>
      </c>
      <c r="C417" s="1">
        <f t="shared" si="187"/>
        <v>12.422448000000001</v>
      </c>
      <c r="D417" s="27">
        <v>12.212462</v>
      </c>
      <c r="E417" s="28">
        <v>12.351654</v>
      </c>
      <c r="F417" s="29">
        <v>12.703227999999999</v>
      </c>
      <c r="R417" s="1">
        <v>9</v>
      </c>
      <c r="S417" s="1">
        <f t="shared" si="188"/>
        <v>12.4857</v>
      </c>
      <c r="V417" s="132">
        <f t="shared" si="189"/>
        <v>6.7715999999999994</v>
      </c>
      <c r="W417" s="132">
        <f t="shared" si="190"/>
        <v>-2.0843999999999996</v>
      </c>
      <c r="Y417" s="132"/>
      <c r="Z417" s="132"/>
      <c r="AA417" s="132"/>
      <c r="AB417" s="1">
        <v>9</v>
      </c>
      <c r="AC417" s="1">
        <f t="shared" si="191"/>
        <v>12.4857</v>
      </c>
      <c r="AF417" s="143" t="s">
        <v>25</v>
      </c>
      <c r="AG417" s="1">
        <v>9</v>
      </c>
      <c r="AH417" s="1">
        <f t="shared" si="192"/>
        <v>12.7005</v>
      </c>
      <c r="AQ417" s="132"/>
      <c r="AT417" s="144" t="s">
        <v>25</v>
      </c>
      <c r="AU417" s="1">
        <v>9</v>
      </c>
      <c r="AV417" s="1">
        <f t="shared" si="193"/>
        <v>12.716299999999999</v>
      </c>
      <c r="AX417" s="132"/>
      <c r="AY417" s="132"/>
      <c r="BA417" s="145">
        <v>12</v>
      </c>
      <c r="BB417" s="1">
        <v>9</v>
      </c>
      <c r="BC417" s="1">
        <f t="shared" si="194"/>
        <v>13.363199999999999</v>
      </c>
      <c r="BL417" s="132"/>
      <c r="BM417" s="132"/>
      <c r="BO417" s="146" t="s">
        <v>33</v>
      </c>
      <c r="BP417" s="1">
        <v>9</v>
      </c>
      <c r="BQ417" s="1">
        <f t="shared" si="195"/>
        <v>13.378299999999999</v>
      </c>
    </row>
    <row r="418" spans="2:69" x14ac:dyDescent="0.25">
      <c r="B418" s="1">
        <v>8</v>
      </c>
      <c r="C418" s="1">
        <f t="shared" si="187"/>
        <v>11.653011333333334</v>
      </c>
      <c r="D418" s="27">
        <v>11.439348000000001</v>
      </c>
      <c r="E418" s="28">
        <v>11.587329</v>
      </c>
      <c r="F418" s="29">
        <v>11.932357</v>
      </c>
      <c r="R418" s="1">
        <v>8</v>
      </c>
      <c r="S418" s="1">
        <f t="shared" si="188"/>
        <v>11.296099999999999</v>
      </c>
      <c r="V418" s="132">
        <f t="shared" si="189"/>
        <v>5.3503999999999996</v>
      </c>
      <c r="W418" s="132">
        <f t="shared" si="190"/>
        <v>-1.8527999999999996</v>
      </c>
      <c r="Y418" s="132"/>
      <c r="Z418" s="132"/>
      <c r="AA418" s="132"/>
      <c r="AB418" s="1">
        <v>8</v>
      </c>
      <c r="AC418" s="1">
        <f t="shared" si="191"/>
        <v>11.296099999999999</v>
      </c>
      <c r="AF418" s="143" t="s">
        <v>25</v>
      </c>
      <c r="AG418" s="1">
        <v>8</v>
      </c>
      <c r="AH418" s="1">
        <f t="shared" si="192"/>
        <v>11.713800000000001</v>
      </c>
      <c r="AQ418" s="132"/>
      <c r="AT418" s="144" t="s">
        <v>25</v>
      </c>
      <c r="AU418" s="1">
        <v>8</v>
      </c>
      <c r="AV418" s="1">
        <f t="shared" si="193"/>
        <v>11.4483</v>
      </c>
      <c r="AX418" s="132"/>
      <c r="AY418" s="132"/>
      <c r="BA418" s="145">
        <v>12</v>
      </c>
      <c r="BB418" s="1">
        <v>8</v>
      </c>
      <c r="BC418" s="1">
        <f t="shared" si="194"/>
        <v>12.3996</v>
      </c>
      <c r="BL418" s="132"/>
      <c r="BM418" s="132"/>
      <c r="BO418" s="146" t="s">
        <v>33</v>
      </c>
      <c r="BP418" s="1">
        <v>8</v>
      </c>
      <c r="BQ418" s="1">
        <f t="shared" si="195"/>
        <v>12.132200000000001</v>
      </c>
    </row>
    <row r="419" spans="2:69" x14ac:dyDescent="0.25">
      <c r="B419" s="1">
        <v>7</v>
      </c>
      <c r="C419" s="1">
        <f t="shared" si="187"/>
        <v>10.764873666666666</v>
      </c>
      <c r="D419" s="27">
        <v>10.507733999999999</v>
      </c>
      <c r="E419" s="28">
        <v>10.752996</v>
      </c>
      <c r="F419" s="29">
        <v>11.033891000000001</v>
      </c>
      <c r="R419" s="1">
        <v>7</v>
      </c>
      <c r="S419" s="1">
        <f t="shared" si="188"/>
        <v>10.2737</v>
      </c>
      <c r="V419" s="132">
        <f t="shared" si="189"/>
        <v>4.0964</v>
      </c>
      <c r="W419" s="132">
        <f t="shared" si="190"/>
        <v>-1.6211999999999995</v>
      </c>
      <c r="Y419" s="132"/>
      <c r="Z419" s="132"/>
      <c r="AA419" s="132"/>
      <c r="AB419" s="1">
        <v>7</v>
      </c>
      <c r="AC419" s="1">
        <f t="shared" si="191"/>
        <v>10.2737</v>
      </c>
      <c r="AF419" s="143" t="s">
        <v>25</v>
      </c>
      <c r="AG419" s="1">
        <v>7</v>
      </c>
      <c r="AH419" s="1">
        <f t="shared" si="192"/>
        <v>10.823700000000001</v>
      </c>
      <c r="AQ419" s="132"/>
      <c r="AT419" s="144" t="s">
        <v>25</v>
      </c>
      <c r="AU419" s="1">
        <v>7</v>
      </c>
      <c r="AV419" s="1">
        <f t="shared" si="193"/>
        <v>10.360899999999999</v>
      </c>
      <c r="AX419" s="132"/>
      <c r="AY419" s="132"/>
      <c r="BA419" s="145">
        <v>12</v>
      </c>
      <c r="BB419" s="1">
        <v>7</v>
      </c>
      <c r="BC419" s="1">
        <f t="shared" si="194"/>
        <v>11.52</v>
      </c>
      <c r="BL419" s="132"/>
      <c r="BM419" s="132"/>
      <c r="BO419" s="146" t="s">
        <v>33</v>
      </c>
      <c r="BP419" s="1">
        <v>7</v>
      </c>
      <c r="BQ419" s="1">
        <f t="shared" si="195"/>
        <v>11.0555</v>
      </c>
    </row>
    <row r="420" spans="2:69" x14ac:dyDescent="0.25">
      <c r="B420" s="1">
        <v>6</v>
      </c>
      <c r="C420" s="1">
        <f t="shared" si="187"/>
        <v>10.003240666666667</v>
      </c>
      <c r="D420" s="27">
        <v>9.7197420000000001</v>
      </c>
      <c r="E420" s="28">
        <v>10.032197</v>
      </c>
      <c r="F420" s="29">
        <v>10.257783</v>
      </c>
      <c r="R420" s="1">
        <v>6</v>
      </c>
      <c r="S420" s="1">
        <f t="shared" si="188"/>
        <v>9.4184999999999999</v>
      </c>
      <c r="V420" s="132">
        <f t="shared" si="189"/>
        <v>3.0095999999999998</v>
      </c>
      <c r="W420" s="132">
        <f t="shared" si="190"/>
        <v>-1.3895999999999997</v>
      </c>
      <c r="Y420" s="132"/>
      <c r="Z420" s="132"/>
      <c r="AA420" s="132"/>
      <c r="AB420" s="1">
        <v>6</v>
      </c>
      <c r="AC420" s="1">
        <f t="shared" si="191"/>
        <v>9.4184999999999999</v>
      </c>
      <c r="AF420" s="143" t="s">
        <v>25</v>
      </c>
      <c r="AG420" s="1">
        <v>6</v>
      </c>
      <c r="AH420" s="1">
        <f t="shared" si="192"/>
        <v>10.030200000000001</v>
      </c>
      <c r="AQ420" s="132"/>
      <c r="AT420" s="144" t="s">
        <v>25</v>
      </c>
      <c r="AU420" s="1">
        <v>6</v>
      </c>
      <c r="AV420" s="1">
        <f t="shared" si="193"/>
        <v>9.4541000000000004</v>
      </c>
      <c r="AX420" s="132"/>
      <c r="AY420" s="132"/>
      <c r="BA420" s="145">
        <v>12</v>
      </c>
      <c r="BB420" s="1">
        <v>6</v>
      </c>
      <c r="BC420" s="1">
        <f t="shared" si="194"/>
        <v>10.724399999999999</v>
      </c>
      <c r="BL420" s="132"/>
      <c r="BM420" s="132"/>
      <c r="BO420" s="146" t="s">
        <v>33</v>
      </c>
      <c r="BP420" s="1">
        <v>6</v>
      </c>
      <c r="BQ420" s="1">
        <f t="shared" si="195"/>
        <v>10.148200000000001</v>
      </c>
    </row>
    <row r="421" spans="2:69" x14ac:dyDescent="0.25">
      <c r="B421" s="1">
        <v>5</v>
      </c>
      <c r="C421" s="1">
        <f t="shared" si="187"/>
        <v>9.1541110000000003</v>
      </c>
      <c r="D421" s="27">
        <v>8.7995180000000008</v>
      </c>
      <c r="E421" s="28">
        <v>9.2245819999999998</v>
      </c>
      <c r="F421" s="29">
        <v>9.4382330000000003</v>
      </c>
      <c r="O421" t="s">
        <v>8</v>
      </c>
      <c r="P421">
        <f>0.0082+$Q$409</f>
        <v>8.4000000000000012E-3</v>
      </c>
      <c r="R421" s="1">
        <v>5</v>
      </c>
      <c r="S421" s="1">
        <f t="shared" si="188"/>
        <v>8.7304999999999993</v>
      </c>
      <c r="V421" s="132">
        <f t="shared" si="189"/>
        <v>2.09</v>
      </c>
      <c r="W421" s="132">
        <f t="shared" si="190"/>
        <v>-1.1579999999999997</v>
      </c>
      <c r="Y421" s="132" t="s">
        <v>8</v>
      </c>
      <c r="Z421" s="132">
        <v>8.2000000000000007E-3</v>
      </c>
      <c r="AA421" s="132" t="s">
        <v>14</v>
      </c>
      <c r="AB421" s="1">
        <v>5</v>
      </c>
      <c r="AC421" s="1">
        <f t="shared" si="191"/>
        <v>8.7304999999999993</v>
      </c>
      <c r="AF421" s="143" t="s">
        <v>25</v>
      </c>
      <c r="AG421" s="1">
        <v>5</v>
      </c>
      <c r="AH421" s="1">
        <f t="shared" si="192"/>
        <v>9.3333000000000013</v>
      </c>
      <c r="AQ421" s="132" t="s">
        <v>8</v>
      </c>
      <c r="AR421">
        <v>7.9000000000000008E-3</v>
      </c>
      <c r="AT421" s="144" t="s">
        <v>25</v>
      </c>
      <c r="AU421" s="1">
        <v>5</v>
      </c>
      <c r="AV421" s="1">
        <f t="shared" si="193"/>
        <v>8.7279</v>
      </c>
      <c r="AX421" s="132" t="s">
        <v>8</v>
      </c>
      <c r="AY421" s="132">
        <v>8.2000000000000007E-3</v>
      </c>
      <c r="BA421" s="145">
        <v>12</v>
      </c>
      <c r="BB421" s="1">
        <v>5</v>
      </c>
      <c r="BC421" s="1">
        <f t="shared" si="194"/>
        <v>10.0128</v>
      </c>
      <c r="BL421" s="132" t="s">
        <v>8</v>
      </c>
      <c r="BM421" s="132">
        <v>7.9000000000000008E-3</v>
      </c>
      <c r="BO421" s="146" t="s">
        <v>33</v>
      </c>
      <c r="BP421" s="1">
        <v>5</v>
      </c>
      <c r="BQ421" s="1">
        <f t="shared" si="195"/>
        <v>9.4103000000000012</v>
      </c>
    </row>
    <row r="422" spans="2:69" x14ac:dyDescent="0.25">
      <c r="B422" s="1">
        <v>4</v>
      </c>
      <c r="C422" s="1">
        <f t="shared" si="187"/>
        <v>8.8440309999999993</v>
      </c>
      <c r="D422" s="27">
        <v>8.4780610000000003</v>
      </c>
      <c r="E422" s="28">
        <v>8.9460479999999993</v>
      </c>
      <c r="F422" s="29">
        <v>9.1079840000000001</v>
      </c>
      <c r="O422" t="s">
        <v>9</v>
      </c>
      <c r="P422">
        <f>0.2944+$S$409</f>
        <v>0.29670000000000002</v>
      </c>
      <c r="R422" s="1">
        <v>4</v>
      </c>
      <c r="S422" s="1">
        <f t="shared" si="188"/>
        <v>8.2096999999999998</v>
      </c>
      <c r="V422" s="132">
        <f t="shared" si="189"/>
        <v>1.3375999999999999</v>
      </c>
      <c r="W422" s="132">
        <f t="shared" si="190"/>
        <v>-0.92639999999999978</v>
      </c>
      <c r="Y422" s="132" t="s">
        <v>9</v>
      </c>
      <c r="Z422" s="132">
        <v>0.2944</v>
      </c>
      <c r="AA422" s="132" t="s">
        <v>17</v>
      </c>
      <c r="AB422" s="1">
        <v>4</v>
      </c>
      <c r="AC422" s="1">
        <f t="shared" si="191"/>
        <v>8.2096999999999998</v>
      </c>
      <c r="AF422" s="143" t="s">
        <v>25</v>
      </c>
      <c r="AG422" s="1">
        <v>4</v>
      </c>
      <c r="AH422" s="1">
        <f t="shared" si="192"/>
        <v>8.7330000000000005</v>
      </c>
      <c r="AQ422" s="132" t="s">
        <v>9</v>
      </c>
      <c r="AR422">
        <v>0.28670000000000001</v>
      </c>
      <c r="AT422" s="144" t="s">
        <v>25</v>
      </c>
      <c r="AU422" s="1">
        <v>4</v>
      </c>
      <c r="AV422" s="1">
        <f t="shared" si="193"/>
        <v>8.1822999999999997</v>
      </c>
      <c r="AX422" s="132" t="s">
        <v>9</v>
      </c>
      <c r="AY422" s="132">
        <v>0.2944</v>
      </c>
      <c r="BA422" s="145">
        <v>12</v>
      </c>
      <c r="BB422" s="1">
        <v>4</v>
      </c>
      <c r="BC422" s="1">
        <f t="shared" si="194"/>
        <v>9.3852000000000011</v>
      </c>
      <c r="BL422" s="132" t="s">
        <v>9</v>
      </c>
      <c r="BM422" s="132">
        <v>0.30669999999999997</v>
      </c>
      <c r="BO422" s="146" t="s">
        <v>33</v>
      </c>
      <c r="BP422" s="1">
        <v>4</v>
      </c>
      <c r="BQ422" s="1">
        <f t="shared" si="195"/>
        <v>8.841800000000001</v>
      </c>
    </row>
    <row r="423" spans="2:69" x14ac:dyDescent="0.25">
      <c r="B423" s="1">
        <v>3</v>
      </c>
      <c r="C423" s="1">
        <f t="shared" si="187"/>
        <v>8.1904210000000006</v>
      </c>
      <c r="D423" s="27">
        <v>7.8134969999999999</v>
      </c>
      <c r="E423" s="28">
        <v>8.3057020000000001</v>
      </c>
      <c r="F423" s="29">
        <v>8.452064</v>
      </c>
      <c r="O423" t="s">
        <v>10</v>
      </c>
      <c r="P423">
        <f>7.1135+$U$409</f>
        <v>7.0556999999999999</v>
      </c>
      <c r="R423" s="1">
        <v>3</v>
      </c>
      <c r="S423" s="1">
        <f t="shared" si="188"/>
        <v>7.8560999999999996</v>
      </c>
      <c r="V423" s="132">
        <f t="shared" si="189"/>
        <v>0.75239999999999996</v>
      </c>
      <c r="W423" s="132">
        <f t="shared" si="190"/>
        <v>-0.69479999999999986</v>
      </c>
      <c r="Y423" s="132" t="s">
        <v>10</v>
      </c>
      <c r="Z423" s="132">
        <v>7.1135000000000002</v>
      </c>
      <c r="AA423" s="132" t="s">
        <v>18</v>
      </c>
      <c r="AB423" s="1">
        <v>3</v>
      </c>
      <c r="AC423" s="1">
        <f t="shared" si="191"/>
        <v>7.8560999999999996</v>
      </c>
      <c r="AF423" s="143" t="s">
        <v>25</v>
      </c>
      <c r="AG423" s="1">
        <v>3</v>
      </c>
      <c r="AH423" s="1">
        <f t="shared" si="192"/>
        <v>8.2293000000000003</v>
      </c>
      <c r="AQ423" s="132" t="s">
        <v>10</v>
      </c>
      <c r="AR423">
        <v>7.0991999999999997</v>
      </c>
      <c r="AT423" s="144" t="s">
        <v>25</v>
      </c>
      <c r="AU423" s="1">
        <v>3</v>
      </c>
      <c r="AV423" s="1">
        <f t="shared" si="193"/>
        <v>7.8172999999999995</v>
      </c>
      <c r="AX423" s="132" t="s">
        <v>10</v>
      </c>
      <c r="AY423" s="132">
        <v>7.1135000000000002</v>
      </c>
      <c r="BA423" s="145">
        <v>12</v>
      </c>
      <c r="BB423" s="1">
        <v>3</v>
      </c>
      <c r="BC423" s="1">
        <f t="shared" si="194"/>
        <v>8.8415999999999997</v>
      </c>
      <c r="BL423" s="132" t="s">
        <v>10</v>
      </c>
      <c r="BM423" s="132">
        <v>7.5998000000000001</v>
      </c>
      <c r="BO423" s="146" t="s">
        <v>33</v>
      </c>
      <c r="BP423" s="1">
        <v>3</v>
      </c>
      <c r="BQ423" s="1">
        <f t="shared" si="195"/>
        <v>8.4427000000000003</v>
      </c>
    </row>
    <row r="424" spans="2:69" x14ac:dyDescent="0.25">
      <c r="B424" s="1">
        <v>2</v>
      </c>
      <c r="C424" s="1">
        <f t="shared" si="187"/>
        <v>7.8547556666666667</v>
      </c>
      <c r="D424" s="27">
        <v>7.4571240000000003</v>
      </c>
      <c r="E424" s="28">
        <v>7.9806090000000003</v>
      </c>
      <c r="F424" s="29">
        <v>8.1265339999999995</v>
      </c>
      <c r="R424" s="1">
        <v>2</v>
      </c>
      <c r="S424" s="1">
        <f t="shared" si="188"/>
        <v>7.6696999999999997</v>
      </c>
      <c r="V424" s="132">
        <f t="shared" si="189"/>
        <v>0.33439999999999998</v>
      </c>
      <c r="W424" s="132">
        <f t="shared" si="190"/>
        <v>-0.46319999999999989</v>
      </c>
      <c r="Y424" s="132"/>
      <c r="Z424" s="132"/>
      <c r="AA424" s="132"/>
      <c r="AB424" s="1">
        <v>2</v>
      </c>
      <c r="AC424" s="1">
        <f t="shared" si="191"/>
        <v>7.6696999999999997</v>
      </c>
      <c r="AF424" s="143" t="s">
        <v>25</v>
      </c>
      <c r="AG424" s="1">
        <v>2</v>
      </c>
      <c r="AH424" s="1">
        <f t="shared" si="192"/>
        <v>7.8222000000000005</v>
      </c>
      <c r="AT424" s="144" t="s">
        <v>25</v>
      </c>
      <c r="AU424" s="1">
        <v>2</v>
      </c>
      <c r="AV424" s="1">
        <f t="shared" si="193"/>
        <v>7.6328999999999994</v>
      </c>
      <c r="BA424" s="145">
        <v>12</v>
      </c>
      <c r="BB424" s="1">
        <v>2</v>
      </c>
      <c r="BC424" s="1">
        <f t="shared" si="194"/>
        <v>8.3819999999999997</v>
      </c>
      <c r="BO424" s="146" t="s">
        <v>33</v>
      </c>
      <c r="BP424" s="1">
        <v>2</v>
      </c>
      <c r="BQ424" s="1">
        <f t="shared" si="195"/>
        <v>8.213000000000001</v>
      </c>
    </row>
    <row r="425" spans="2:69" x14ac:dyDescent="0.25">
      <c r="B425" s="1">
        <v>1</v>
      </c>
      <c r="C425" s="1">
        <f t="shared" si="187"/>
        <v>7.5119443333333331</v>
      </c>
      <c r="D425" s="27">
        <v>7.1024390000000004</v>
      </c>
      <c r="E425" s="28">
        <v>7.6661929999999998</v>
      </c>
      <c r="F425" s="29">
        <v>7.767201</v>
      </c>
      <c r="R425" s="1">
        <v>1</v>
      </c>
      <c r="S425" s="1">
        <f t="shared" si="188"/>
        <v>7.6505000000000001</v>
      </c>
      <c r="V425" s="132">
        <f t="shared" si="189"/>
        <v>8.3599999999999994E-2</v>
      </c>
      <c r="W425" s="132">
        <f t="shared" si="190"/>
        <v>-0.23159999999999994</v>
      </c>
      <c r="Y425" s="132"/>
      <c r="Z425" s="132"/>
      <c r="AA425" s="132"/>
      <c r="AB425" s="1">
        <v>1</v>
      </c>
      <c r="AC425" s="1">
        <f t="shared" si="191"/>
        <v>7.6505000000000001</v>
      </c>
      <c r="AF425" s="143" t="s">
        <v>25</v>
      </c>
      <c r="AG425" s="1">
        <v>1</v>
      </c>
      <c r="AH425" s="1">
        <f t="shared" si="192"/>
        <v>7.5117000000000003</v>
      </c>
      <c r="AT425" s="144" t="s">
        <v>25</v>
      </c>
      <c r="AU425" s="1">
        <v>1</v>
      </c>
      <c r="AV425" s="1">
        <f t="shared" si="193"/>
        <v>7.6290999999999993</v>
      </c>
      <c r="BA425" s="145">
        <v>12</v>
      </c>
      <c r="BB425" s="1">
        <v>1</v>
      </c>
      <c r="BC425" s="1">
        <f t="shared" si="194"/>
        <v>8.0064000000000011</v>
      </c>
      <c r="BO425" s="146" t="s">
        <v>33</v>
      </c>
      <c r="BP425" s="1">
        <v>1</v>
      </c>
      <c r="BQ425" s="1">
        <f t="shared" si="195"/>
        <v>8.1527000000000012</v>
      </c>
    </row>
    <row r="426" spans="2:69" x14ac:dyDescent="0.25">
      <c r="B426" s="1">
        <v>0</v>
      </c>
      <c r="C426" s="1">
        <f t="shared" si="187"/>
        <v>7.1765839999999992</v>
      </c>
      <c r="D426" s="27">
        <v>6.7862640000000001</v>
      </c>
      <c r="E426" s="28">
        <v>7.324033</v>
      </c>
      <c r="F426" s="29">
        <v>7.4194550000000001</v>
      </c>
      <c r="R426" s="1">
        <v>0</v>
      </c>
      <c r="S426" s="1">
        <f>V426+W426+$P$423</f>
        <v>7.0556999999999999</v>
      </c>
      <c r="V426" s="132">
        <f t="shared" si="189"/>
        <v>0</v>
      </c>
      <c r="W426" s="132">
        <f t="shared" si="190"/>
        <v>0</v>
      </c>
      <c r="Y426" s="132"/>
      <c r="Z426" s="132"/>
      <c r="AA426" s="132"/>
      <c r="AB426" s="1">
        <v>0</v>
      </c>
      <c r="AC426" s="1">
        <f>((AB426*AB426)*($Z$421+$Q$409))+(AB426*($Z$422+$S$409))+($Z$423+$U$409)</f>
        <v>7.0556999999999999</v>
      </c>
      <c r="AF426" s="143" t="s">
        <v>25</v>
      </c>
      <c r="AG426" s="1">
        <v>0</v>
      </c>
      <c r="AH426" s="1">
        <f>((AG426*AG426)*($Z$421+$E$458))+(AG426*($Z$422+$E$459))+($Z$423+$E$460)</f>
        <v>7.0992000000000006</v>
      </c>
      <c r="AT426" s="144" t="s">
        <v>25</v>
      </c>
      <c r="AU426" s="1">
        <v>0</v>
      </c>
      <c r="AV426" s="1">
        <f>((AU426*AU426)*($AR$421+$AC$25))+(AU426*($AR$422+$AE$25))+($AR$423+$AG$25)</f>
        <v>7.0413999999999994</v>
      </c>
      <c r="BA426" s="145">
        <v>12</v>
      </c>
      <c r="BB426" s="1">
        <v>0</v>
      </c>
      <c r="BC426" s="1">
        <f>((BB426*BB426)*($AY$421+$AR$23))+(BB426*($AY$422+$AR$24))+($AY$423+$AR$25)</f>
        <v>7.5998000000000001</v>
      </c>
      <c r="BO426" s="146" t="s">
        <v>33</v>
      </c>
      <c r="BP426" s="1">
        <v>0</v>
      </c>
      <c r="BQ426" s="1">
        <f>((BP426*BP426)*($BM$421+$BD$23))+(BP426*($BM$422+$BD$24))+($BM$423+$BD$25)</f>
        <v>7.5419999999999998</v>
      </c>
    </row>
    <row r="427" spans="2:69" x14ac:dyDescent="0.25">
      <c r="B427" s="1">
        <v>-5</v>
      </c>
      <c r="C427" s="1">
        <f t="shared" si="187"/>
        <v>5.7192633333333331</v>
      </c>
      <c r="D427" s="27">
        <v>5.3010159999999997</v>
      </c>
      <c r="E427" s="28">
        <v>5.919206</v>
      </c>
      <c r="F427" s="29">
        <v>5.9375679999999997</v>
      </c>
      <c r="R427" s="1">
        <v>-5</v>
      </c>
      <c r="S427" s="1">
        <f t="shared" si="188"/>
        <v>6.5249999999999995</v>
      </c>
      <c r="V427">
        <f>R427*R427*$P$421</f>
        <v>0.21000000000000002</v>
      </c>
      <c r="W427">
        <f>R427*$P$422</f>
        <v>-1.4835</v>
      </c>
      <c r="Y427" s="132"/>
      <c r="Z427" s="132"/>
      <c r="AA427" s="132"/>
      <c r="AB427" s="1">
        <v>-5</v>
      </c>
      <c r="AC427" s="1">
        <f t="shared" ref="AC427:AC430" si="196">((AB427*AB427)*($T$397+$Q$409))+(AB427*($T$398+$S$409))+($T$399+$U$409)</f>
        <v>5.9236000000000004</v>
      </c>
      <c r="AF427" s="143" t="s">
        <v>25</v>
      </c>
      <c r="AG427" s="1">
        <v>-5</v>
      </c>
      <c r="AH427" s="1">
        <f t="shared" ref="AH427:AH430" si="197">((AG427*AG427)*($Z$421+$E$458))+(AG427*($Z$422+$E$459))+($Z$423+$E$460)</f>
        <v>5.8632000000000009</v>
      </c>
      <c r="AT427" s="144" t="s">
        <v>25</v>
      </c>
      <c r="AU427" s="1">
        <v>-5</v>
      </c>
      <c r="AV427" s="1">
        <f t="shared" ref="AV427:AV430" si="198">((AU427*AU427)*($AR$421+$AC$25))+(AU427*($AR$422+$AE$25))+($AR$423+$AG$25)</f>
        <v>5.7988999999999997</v>
      </c>
      <c r="BA427" s="145">
        <v>12</v>
      </c>
      <c r="BB427" s="1">
        <v>-5</v>
      </c>
      <c r="BC427" s="1">
        <f t="shared" ref="BC427:BC430" si="199">((BB427*BB427)*($AY$421+$AR$23))+(BB427*($AY$422+$AR$24))+($AY$423+$AR$25)</f>
        <v>6.2637999999999998</v>
      </c>
      <c r="BO427" s="146" t="s">
        <v>33</v>
      </c>
      <c r="BP427" s="1">
        <v>-5</v>
      </c>
      <c r="BQ427" s="1">
        <f t="shared" ref="BQ427:BQ430" si="200">((BP427*BP427)*($BM$421+$BD$23))+(BP427*($BM$422+$BD$24))+($BM$423+$BD$25)</f>
        <v>6.1995000000000005</v>
      </c>
    </row>
    <row r="428" spans="2:69" x14ac:dyDescent="0.25">
      <c r="B428" s="1">
        <v>-10</v>
      </c>
      <c r="C428" s="1">
        <f t="shared" si="187"/>
        <v>4.9973086666666662</v>
      </c>
      <c r="D428" s="27">
        <v>4.6411990000000003</v>
      </c>
      <c r="E428" s="28">
        <v>5.158366</v>
      </c>
      <c r="F428" s="29">
        <v>5.192361</v>
      </c>
      <c r="R428" s="1">
        <v>-10</v>
      </c>
      <c r="S428" s="1">
        <f t="shared" si="188"/>
        <v>5.6715</v>
      </c>
      <c r="V428" s="132">
        <f t="shared" ref="V428:V430" si="201">R428*R428*$P$421</f>
        <v>0.84000000000000008</v>
      </c>
      <c r="W428" s="132">
        <f t="shared" ref="W428:W430" si="202">R428*$P$422</f>
        <v>-2.9670000000000001</v>
      </c>
      <c r="Y428" s="132"/>
      <c r="Z428" s="132"/>
      <c r="AA428" s="132"/>
      <c r="AB428" s="1">
        <v>-10</v>
      </c>
      <c r="AC428" s="1">
        <f t="shared" si="196"/>
        <v>5.0485999999999995</v>
      </c>
      <c r="AF428" s="143" t="s">
        <v>25</v>
      </c>
      <c r="AG428" s="1">
        <v>-10</v>
      </c>
      <c r="AH428" s="1">
        <f t="shared" si="197"/>
        <v>5.0222000000000007</v>
      </c>
      <c r="AT428" s="144" t="s">
        <v>25</v>
      </c>
      <c r="AU428" s="1">
        <v>-10</v>
      </c>
      <c r="AV428" s="1">
        <f t="shared" si="198"/>
        <v>4.9613999999999994</v>
      </c>
      <c r="BA428" s="145">
        <v>12</v>
      </c>
      <c r="BB428" s="1">
        <v>-10</v>
      </c>
      <c r="BC428" s="1">
        <f t="shared" si="199"/>
        <v>5.3228000000000009</v>
      </c>
      <c r="BO428" s="146" t="s">
        <v>33</v>
      </c>
      <c r="BP428" s="1">
        <v>-10</v>
      </c>
      <c r="BQ428" s="1">
        <f t="shared" si="200"/>
        <v>5.2620000000000005</v>
      </c>
    </row>
    <row r="429" spans="2:69" x14ac:dyDescent="0.25">
      <c r="B429" s="1">
        <v>-15</v>
      </c>
      <c r="C429" s="1">
        <f t="shared" si="187"/>
        <v>4.670339666666667</v>
      </c>
      <c r="D429" s="27">
        <v>4.3635919999999997</v>
      </c>
      <c r="E429" s="28">
        <v>4.82559</v>
      </c>
      <c r="F429" s="29">
        <v>4.8218370000000004</v>
      </c>
      <c r="R429" s="1">
        <v>-15</v>
      </c>
      <c r="S429" s="1">
        <f t="shared" si="188"/>
        <v>5.2380000000000004</v>
      </c>
      <c r="V429" s="132">
        <f t="shared" si="201"/>
        <v>1.8900000000000003</v>
      </c>
      <c r="W429" s="132">
        <f t="shared" si="202"/>
        <v>-4.4504999999999999</v>
      </c>
      <c r="Y429" s="132"/>
      <c r="Z429" s="132"/>
      <c r="AA429" s="132"/>
      <c r="AB429" s="1">
        <v>-15</v>
      </c>
      <c r="AC429" s="1">
        <f t="shared" si="196"/>
        <v>4.6036000000000001</v>
      </c>
      <c r="AF429" s="143" t="s">
        <v>25</v>
      </c>
      <c r="AG429" s="1">
        <v>-15</v>
      </c>
      <c r="AH429" s="1">
        <f t="shared" si="197"/>
        <v>4.5762</v>
      </c>
      <c r="AT429" s="144" t="s">
        <v>25</v>
      </c>
      <c r="AU429" s="1">
        <v>-15</v>
      </c>
      <c r="AV429" s="1">
        <f t="shared" si="198"/>
        <v>4.5288999999999984</v>
      </c>
      <c r="BA429" s="145">
        <v>12</v>
      </c>
      <c r="BB429" s="1">
        <v>-15</v>
      </c>
      <c r="BC429" s="1">
        <f t="shared" si="199"/>
        <v>4.7768000000000006</v>
      </c>
      <c r="BO429" s="146" t="s">
        <v>33</v>
      </c>
      <c r="BP429" s="1">
        <v>-15</v>
      </c>
      <c r="BQ429" s="1">
        <f t="shared" si="200"/>
        <v>4.7294999999999998</v>
      </c>
    </row>
    <row r="430" spans="2:69" x14ac:dyDescent="0.25">
      <c r="B430" s="1">
        <v>-20</v>
      </c>
      <c r="C430" s="1">
        <f t="shared" si="187"/>
        <v>4.4557966666666671</v>
      </c>
      <c r="D430" s="27">
        <v>4.3629150000000001</v>
      </c>
      <c r="E430" s="28">
        <v>4.5012220000000003</v>
      </c>
      <c r="F430" s="29">
        <v>4.503253</v>
      </c>
      <c r="R430" s="1">
        <v>-20</v>
      </c>
      <c r="S430" s="1">
        <f t="shared" si="188"/>
        <v>5.2244999999999999</v>
      </c>
      <c r="V430" s="132">
        <f t="shared" si="201"/>
        <v>3.3600000000000003</v>
      </c>
      <c r="W430" s="132">
        <f t="shared" si="202"/>
        <v>-5.9340000000000002</v>
      </c>
      <c r="Y430" s="132"/>
      <c r="Z430" s="132"/>
      <c r="AA430" s="132"/>
      <c r="AB430" s="1">
        <v>-20</v>
      </c>
      <c r="AC430" s="1">
        <f t="shared" si="196"/>
        <v>4.5885999999999996</v>
      </c>
      <c r="AF430" s="143" t="s">
        <v>25</v>
      </c>
      <c r="AG430" s="1">
        <v>-20</v>
      </c>
      <c r="AH430" s="1">
        <f t="shared" si="197"/>
        <v>4.5252000000000008</v>
      </c>
      <c r="AT430" s="144" t="s">
        <v>25</v>
      </c>
      <c r="AU430" s="1">
        <v>-20</v>
      </c>
      <c r="AV430" s="1">
        <f t="shared" si="198"/>
        <v>4.5013999999999985</v>
      </c>
      <c r="BA430" s="145">
        <v>12</v>
      </c>
      <c r="BB430" s="1">
        <v>-20</v>
      </c>
      <c r="BC430" s="1">
        <f t="shared" si="199"/>
        <v>4.6258000000000008</v>
      </c>
      <c r="BO430" s="146" t="s">
        <v>33</v>
      </c>
      <c r="BP430" s="1">
        <v>-20</v>
      </c>
      <c r="BQ430" s="1">
        <f t="shared" si="200"/>
        <v>4.6020000000000003</v>
      </c>
    </row>
    <row r="434" spans="2:69" x14ac:dyDescent="0.25">
      <c r="B434" s="26" t="s">
        <v>0</v>
      </c>
      <c r="C434" s="26">
        <v>3.8</v>
      </c>
      <c r="D434" s="26"/>
      <c r="E434" s="26"/>
      <c r="F434" s="26"/>
      <c r="R434" s="132" t="s">
        <v>0</v>
      </c>
      <c r="S434" s="132">
        <v>3.8</v>
      </c>
      <c r="Y434" s="132"/>
      <c r="Z434" s="132"/>
      <c r="AA434" s="132"/>
      <c r="AB434" s="132" t="s">
        <v>0</v>
      </c>
      <c r="AC434" s="132">
        <v>3.8</v>
      </c>
      <c r="AG434" s="132" t="s">
        <v>0</v>
      </c>
      <c r="AH434" s="132">
        <v>3.8</v>
      </c>
      <c r="AT434" s="132"/>
      <c r="AU434" s="132" t="s">
        <v>0</v>
      </c>
      <c r="AV434" s="132">
        <v>3.8</v>
      </c>
      <c r="BA434" s="132"/>
      <c r="BB434" s="132" t="s">
        <v>0</v>
      </c>
      <c r="BC434" s="132">
        <v>3.8</v>
      </c>
      <c r="BO434" s="132"/>
      <c r="BP434" s="132" t="s">
        <v>0</v>
      </c>
      <c r="BQ434" s="132">
        <v>3.8</v>
      </c>
    </row>
    <row r="435" spans="2:69" x14ac:dyDescent="0.25">
      <c r="B435" s="1" t="s">
        <v>4</v>
      </c>
      <c r="C435" s="1" t="s">
        <v>5</v>
      </c>
      <c r="D435" s="1">
        <v>1</v>
      </c>
      <c r="E435" s="1">
        <v>2</v>
      </c>
      <c r="F435" s="1">
        <v>3</v>
      </c>
      <c r="O435" s="132" t="s">
        <v>8</v>
      </c>
      <c r="P435" s="132">
        <f>0.0392+$Q$408</f>
        <v>8.2699999999999996E-2</v>
      </c>
      <c r="R435" s="1" t="s">
        <v>4</v>
      </c>
      <c r="S435" s="1" t="s">
        <v>5</v>
      </c>
      <c r="Y435" s="132" t="s">
        <v>8</v>
      </c>
      <c r="Z435" s="132">
        <v>3.9199999999999999E-2</v>
      </c>
      <c r="AA435" s="132" t="s">
        <v>13</v>
      </c>
      <c r="AB435" s="1" t="s">
        <v>4</v>
      </c>
      <c r="AC435" s="1" t="s">
        <v>5</v>
      </c>
      <c r="AF435" s="143" t="s">
        <v>27</v>
      </c>
      <c r="AG435" s="1" t="s">
        <v>4</v>
      </c>
      <c r="AH435" s="1" t="s">
        <v>5</v>
      </c>
      <c r="AQ435" s="132" t="s">
        <v>8</v>
      </c>
      <c r="AR435">
        <v>4.5900000000000003E-2</v>
      </c>
      <c r="AT435" s="144" t="s">
        <v>29</v>
      </c>
      <c r="AU435" s="1" t="s">
        <v>4</v>
      </c>
      <c r="AV435" s="1" t="s">
        <v>5</v>
      </c>
      <c r="AX435" s="132" t="s">
        <v>8</v>
      </c>
      <c r="AY435" s="132">
        <v>3.9199999999999999E-2</v>
      </c>
      <c r="BA435" s="145" t="s">
        <v>31</v>
      </c>
      <c r="BB435" s="1" t="s">
        <v>4</v>
      </c>
      <c r="BC435" s="1" t="s">
        <v>5</v>
      </c>
      <c r="BL435" s="132" t="s">
        <v>8</v>
      </c>
      <c r="BM435" s="132">
        <v>4.0300000000000002E-2</v>
      </c>
      <c r="BO435" s="146" t="s">
        <v>32</v>
      </c>
      <c r="BP435" s="1" t="s">
        <v>4</v>
      </c>
      <c r="BQ435" s="1" t="s">
        <v>5</v>
      </c>
    </row>
    <row r="436" spans="2:69" x14ac:dyDescent="0.25">
      <c r="B436" s="1">
        <v>14</v>
      </c>
      <c r="C436" s="1">
        <f>AVERAGE(E436,F436,D436)</f>
        <v>17.68393833333333</v>
      </c>
      <c r="D436" s="3">
        <v>17.653943999999999</v>
      </c>
      <c r="E436" s="3">
        <v>17.561299999999999</v>
      </c>
      <c r="F436" s="3">
        <v>17.836570999999999</v>
      </c>
      <c r="O436" s="132" t="s">
        <v>9</v>
      </c>
      <c r="P436" s="132">
        <f>0.2261+$S$408</f>
        <v>-0.23199999999999996</v>
      </c>
      <c r="R436" s="1">
        <v>14</v>
      </c>
      <c r="S436" s="1">
        <f>V436+W436+$P$437</f>
        <v>20.637499999999999</v>
      </c>
      <c r="V436" s="132">
        <f>R436*R436*$P$435</f>
        <v>16.209199999999999</v>
      </c>
      <c r="W436" s="132">
        <f>$P$436*R436</f>
        <v>-3.2479999999999993</v>
      </c>
      <c r="Y436" s="132" t="s">
        <v>9</v>
      </c>
      <c r="Z436" s="132">
        <v>0.2261</v>
      </c>
      <c r="AA436" s="132" t="s">
        <v>15</v>
      </c>
      <c r="AB436" s="1">
        <v>14</v>
      </c>
      <c r="AC436" s="1">
        <f>((AB436*AB436)*($Z$435+$Q$408))+(AB436*($Z$436+$S$408))+($Z$437+$U$408)</f>
        <v>20.637499999999999</v>
      </c>
      <c r="AF436" s="143" t="s">
        <v>25</v>
      </c>
      <c r="AG436" s="1">
        <v>14</v>
      </c>
      <c r="AH436" s="1">
        <f>((AG436*AG436)*($Z$435+$C$458))+(AG436*($Z$436+$C$459))+($Z$437+$C$460)</f>
        <v>18.7788</v>
      </c>
      <c r="AQ436" s="132" t="s">
        <v>9</v>
      </c>
      <c r="AR436">
        <v>0.1905</v>
      </c>
      <c r="AT436" s="144" t="s">
        <v>25</v>
      </c>
      <c r="AU436" s="1">
        <v>14</v>
      </c>
      <c r="AV436" s="1">
        <f>((AU436*AU436)*($AR$435+$AC$24))+(AU436*($AR$436+$AE$24))+($AR$437+$AG$24)</f>
        <v>21.4603</v>
      </c>
      <c r="AX436" s="132" t="s">
        <v>9</v>
      </c>
      <c r="AY436" s="132">
        <v>0.2261</v>
      </c>
      <c r="BA436" s="145">
        <v>12</v>
      </c>
      <c r="BB436" s="1">
        <v>14</v>
      </c>
      <c r="BC436" s="1">
        <f>((BB436*BB436)*($AY$435+$AP$23))+(BB436*($AY$436+$AP$24))+($AY$437+$AP$25)</f>
        <v>19.137</v>
      </c>
      <c r="BL436" s="132" t="s">
        <v>9</v>
      </c>
      <c r="BM436" s="132">
        <v>0.26379999999999998</v>
      </c>
      <c r="BO436" s="146" t="s">
        <v>33</v>
      </c>
      <c r="BP436" s="1">
        <v>14</v>
      </c>
      <c r="BQ436" s="1">
        <f>((BP436*BP436)*($BM$435+$BB$23))+(BP436*($BM$436+$BB$24))+($BM$437+$BB$25)</f>
        <v>21.844700000000003</v>
      </c>
    </row>
    <row r="437" spans="2:69" x14ac:dyDescent="0.25">
      <c r="B437" s="1">
        <v>13</v>
      </c>
      <c r="C437" s="1">
        <f t="shared" ref="C437:C454" si="203">AVERAGE(E437,F437,D437)</f>
        <v>16.745926666666666</v>
      </c>
      <c r="D437" s="3">
        <v>16.651724000000002</v>
      </c>
      <c r="E437" s="3">
        <v>16.674631000000002</v>
      </c>
      <c r="F437" s="3">
        <v>16.911425000000001</v>
      </c>
      <c r="O437" s="132" t="s">
        <v>10</v>
      </c>
      <c r="P437" s="132">
        <f>7.0759+$U$408</f>
        <v>7.6762999999999995</v>
      </c>
      <c r="R437" s="1">
        <v>13</v>
      </c>
      <c r="S437" s="1">
        <f t="shared" ref="S437:S449" si="204">V437+W437+$P$437</f>
        <v>18.636599999999998</v>
      </c>
      <c r="V437" s="132">
        <f t="shared" ref="V437:V449" si="205">R437*R437*$P$435</f>
        <v>13.976299999999998</v>
      </c>
      <c r="W437" s="132">
        <f t="shared" ref="W437:W450" si="206">$P$436*R437</f>
        <v>-3.0159999999999996</v>
      </c>
      <c r="Y437" s="132" t="s">
        <v>10</v>
      </c>
      <c r="Z437" s="132">
        <v>7.0758999999999999</v>
      </c>
      <c r="AA437" s="132" t="s">
        <v>16</v>
      </c>
      <c r="AB437" s="1">
        <v>13</v>
      </c>
      <c r="AC437" s="1">
        <f t="shared" ref="AC437:AC449" si="207">((AB437*AB437)*($Z$435+$Q$408))+(AB437*($Z$436+$S$408))+($Z$437+$U$408)</f>
        <v>18.636599999999998</v>
      </c>
      <c r="AF437" s="143" t="s">
        <v>25</v>
      </c>
      <c r="AG437" s="1">
        <v>13</v>
      </c>
      <c r="AH437" s="1">
        <f t="shared" ref="AH437:AH449" si="208">((AG437*AG437)*($Z$435+$C$458))+(AG437*($Z$436+$C$459))+($Z$437+$C$460)</f>
        <v>17.3338</v>
      </c>
      <c r="AQ437" s="132" t="s">
        <v>10</v>
      </c>
      <c r="AR437">
        <v>7.0838999999999999</v>
      </c>
      <c r="AT437" s="144" t="s">
        <v>25</v>
      </c>
      <c r="AU437" s="1">
        <v>13</v>
      </c>
      <c r="AV437" s="1">
        <f t="shared" ref="AV437:AV449" si="209">((AU437*AU437)*($AR$435+$AC$24))+(AU437*($AR$436+$AE$24))+($AR$437+$AG$24)</f>
        <v>19.3141</v>
      </c>
      <c r="AX437" s="132" t="s">
        <v>10</v>
      </c>
      <c r="AY437" s="132">
        <v>7.0758999999999999</v>
      </c>
      <c r="BA437" s="145">
        <v>12</v>
      </c>
      <c r="BB437" s="1">
        <v>13</v>
      </c>
      <c r="BC437" s="1">
        <f t="shared" ref="BC437:BC449" si="210">((BB437*BB437)*($AY$435+$AP$23))+(BB437*($AY$436+$AP$24))+($AY$437+$AP$25)</f>
        <v>17.778100000000002</v>
      </c>
      <c r="BL437" s="132" t="s">
        <v>10</v>
      </c>
      <c r="BM437" s="132">
        <v>7.5396999999999998</v>
      </c>
      <c r="BO437" s="146" t="s">
        <v>33</v>
      </c>
      <c r="BP437" s="1">
        <v>13</v>
      </c>
      <c r="BQ437" s="1">
        <f t="shared" ref="BQ437:BQ449" si="211">((BP437*BP437)*($BM$435+$BB$23))+(BP437*($BM$436+$BB$24))+($BM$437+$BB$25)</f>
        <v>19.776400000000002</v>
      </c>
    </row>
    <row r="438" spans="2:69" x14ac:dyDescent="0.25">
      <c r="B438" s="1">
        <v>12</v>
      </c>
      <c r="C438" s="1">
        <f t="shared" si="203"/>
        <v>15.755603666666666</v>
      </c>
      <c r="D438" s="3">
        <v>15.638071999999999</v>
      </c>
      <c r="E438" s="3">
        <v>15.674851</v>
      </c>
      <c r="F438" s="3">
        <v>15.953887999999999</v>
      </c>
      <c r="O438" s="132"/>
      <c r="P438" s="132"/>
      <c r="R438" s="1">
        <v>12</v>
      </c>
      <c r="S438" s="1">
        <f t="shared" si="204"/>
        <v>16.801099999999998</v>
      </c>
      <c r="V438" s="132">
        <f t="shared" si="205"/>
        <v>11.908799999999999</v>
      </c>
      <c r="W438" s="132">
        <f t="shared" si="206"/>
        <v>-2.7839999999999994</v>
      </c>
      <c r="Y438" s="132"/>
      <c r="Z438" s="132"/>
      <c r="AA438" s="132"/>
      <c r="AB438" s="1">
        <v>12</v>
      </c>
      <c r="AC438" s="1">
        <f t="shared" si="207"/>
        <v>16.801099999999998</v>
      </c>
      <c r="AF438" s="143" t="s">
        <v>25</v>
      </c>
      <c r="AG438" s="1">
        <v>12</v>
      </c>
      <c r="AH438" s="1">
        <f t="shared" si="208"/>
        <v>15.983599999999999</v>
      </c>
      <c r="AQ438" s="132"/>
      <c r="AT438" s="144" t="s">
        <v>25</v>
      </c>
      <c r="AU438" s="1">
        <v>12</v>
      </c>
      <c r="AV438" s="1">
        <f t="shared" si="209"/>
        <v>17.346700000000002</v>
      </c>
      <c r="AX438" s="132"/>
      <c r="AY438" s="132"/>
      <c r="BA438" s="145">
        <v>12</v>
      </c>
      <c r="BB438" s="1">
        <v>12</v>
      </c>
      <c r="BC438" s="1">
        <f t="shared" si="210"/>
        <v>16.5014</v>
      </c>
      <c r="BL438" s="132"/>
      <c r="BM438" s="132"/>
      <c r="BO438" s="146" t="s">
        <v>33</v>
      </c>
      <c r="BP438" s="1">
        <v>12</v>
      </c>
      <c r="BQ438" s="1">
        <f t="shared" si="211"/>
        <v>17.875700000000002</v>
      </c>
    </row>
    <row r="439" spans="2:69" x14ac:dyDescent="0.25">
      <c r="B439" s="1">
        <v>11</v>
      </c>
      <c r="C439" s="1">
        <f t="shared" si="203"/>
        <v>14.294899333333333</v>
      </c>
      <c r="D439" s="3">
        <v>14.243181</v>
      </c>
      <c r="E439" s="3">
        <v>14.149315</v>
      </c>
      <c r="F439" s="3">
        <v>14.492202000000001</v>
      </c>
      <c r="O439" s="132"/>
      <c r="P439" s="132"/>
      <c r="R439" s="1">
        <v>11</v>
      </c>
      <c r="S439" s="1">
        <f t="shared" si="204"/>
        <v>15.130999999999998</v>
      </c>
      <c r="V439" s="132">
        <f t="shared" si="205"/>
        <v>10.006699999999999</v>
      </c>
      <c r="W439" s="132">
        <f t="shared" si="206"/>
        <v>-2.5519999999999996</v>
      </c>
      <c r="Y439" s="132"/>
      <c r="Z439" s="132"/>
      <c r="AA439" s="132"/>
      <c r="AB439" s="1">
        <v>11</v>
      </c>
      <c r="AC439" s="1">
        <f t="shared" si="207"/>
        <v>15.130999999999998</v>
      </c>
      <c r="AF439" s="143" t="s">
        <v>25</v>
      </c>
      <c r="AG439" s="1">
        <v>11</v>
      </c>
      <c r="AH439" s="1">
        <f t="shared" si="208"/>
        <v>14.728200000000001</v>
      </c>
      <c r="AQ439" s="132"/>
      <c r="AT439" s="144" t="s">
        <v>25</v>
      </c>
      <c r="AU439" s="1">
        <v>11</v>
      </c>
      <c r="AV439" s="1">
        <f t="shared" si="209"/>
        <v>15.5581</v>
      </c>
      <c r="AX439" s="132"/>
      <c r="AY439" s="132"/>
      <c r="BA439" s="145">
        <v>12</v>
      </c>
      <c r="BB439" s="1">
        <v>11</v>
      </c>
      <c r="BC439" s="1">
        <f t="shared" si="210"/>
        <v>15.306899999999999</v>
      </c>
      <c r="BL439" s="132"/>
      <c r="BM439" s="132"/>
      <c r="BO439" s="146" t="s">
        <v>33</v>
      </c>
      <c r="BP439" s="1">
        <v>11</v>
      </c>
      <c r="BQ439" s="1">
        <f t="shared" si="211"/>
        <v>16.142600000000002</v>
      </c>
    </row>
    <row r="440" spans="2:69" x14ac:dyDescent="0.25">
      <c r="B440" s="1">
        <v>10</v>
      </c>
      <c r="C440" s="1">
        <f t="shared" si="203"/>
        <v>13.090558333333334</v>
      </c>
      <c r="D440" s="3">
        <v>13.003081</v>
      </c>
      <c r="E440" s="3">
        <v>12.967098999999999</v>
      </c>
      <c r="F440" s="3">
        <v>13.301494999999999</v>
      </c>
      <c r="O440" s="132"/>
      <c r="P440" s="132"/>
      <c r="R440" s="1">
        <v>10</v>
      </c>
      <c r="S440" s="1">
        <f t="shared" si="204"/>
        <v>13.626300000000001</v>
      </c>
      <c r="V440" s="132">
        <f t="shared" si="205"/>
        <v>8.27</v>
      </c>
      <c r="W440" s="132">
        <f t="shared" si="206"/>
        <v>-2.3199999999999994</v>
      </c>
      <c r="Y440" s="132"/>
      <c r="Z440" s="132"/>
      <c r="AA440" s="132"/>
      <c r="AB440" s="1">
        <v>10</v>
      </c>
      <c r="AC440" s="1">
        <f t="shared" si="207"/>
        <v>13.626300000000001</v>
      </c>
      <c r="AF440" s="143" t="s">
        <v>25</v>
      </c>
      <c r="AG440" s="1">
        <v>10</v>
      </c>
      <c r="AH440" s="1">
        <f t="shared" si="208"/>
        <v>13.567600000000001</v>
      </c>
      <c r="AQ440" s="132"/>
      <c r="AT440" s="144" t="s">
        <v>25</v>
      </c>
      <c r="AU440" s="1">
        <v>10</v>
      </c>
      <c r="AV440" s="1">
        <f t="shared" si="209"/>
        <v>13.948300000000001</v>
      </c>
      <c r="AX440" s="132"/>
      <c r="AY440" s="132"/>
      <c r="BA440" s="145">
        <v>12</v>
      </c>
      <c r="BB440" s="1">
        <v>10</v>
      </c>
      <c r="BC440" s="1">
        <f t="shared" si="210"/>
        <v>14.194599999999999</v>
      </c>
      <c r="BL440" s="132"/>
      <c r="BM440" s="132"/>
      <c r="BO440" s="146" t="s">
        <v>33</v>
      </c>
      <c r="BP440" s="1">
        <v>10</v>
      </c>
      <c r="BQ440" s="1">
        <f t="shared" si="211"/>
        <v>14.577100000000002</v>
      </c>
    </row>
    <row r="441" spans="2:69" x14ac:dyDescent="0.25">
      <c r="B441" s="1">
        <v>9</v>
      </c>
      <c r="C441" s="1">
        <f t="shared" si="203"/>
        <v>12.221234999999998</v>
      </c>
      <c r="D441" s="3">
        <v>12.106157</v>
      </c>
      <c r="E441" s="3">
        <v>12.099879</v>
      </c>
      <c r="F441" s="3">
        <v>12.457668999999999</v>
      </c>
      <c r="O441" s="132"/>
      <c r="P441" s="132"/>
      <c r="R441" s="1">
        <v>9</v>
      </c>
      <c r="S441" s="1">
        <f t="shared" si="204"/>
        <v>12.286999999999999</v>
      </c>
      <c r="V441" s="132">
        <f t="shared" si="205"/>
        <v>6.6986999999999997</v>
      </c>
      <c r="W441" s="132">
        <f t="shared" si="206"/>
        <v>-2.0879999999999996</v>
      </c>
      <c r="Y441" s="132"/>
      <c r="Z441" s="132"/>
      <c r="AA441" s="132"/>
      <c r="AB441" s="1">
        <v>9</v>
      </c>
      <c r="AC441" s="1">
        <f t="shared" si="207"/>
        <v>12.286999999999999</v>
      </c>
      <c r="AF441" s="143" t="s">
        <v>25</v>
      </c>
      <c r="AG441" s="1">
        <v>9</v>
      </c>
      <c r="AH441" s="1">
        <f t="shared" si="208"/>
        <v>12.501799999999999</v>
      </c>
      <c r="AQ441" s="132"/>
      <c r="AT441" s="144" t="s">
        <v>25</v>
      </c>
      <c r="AU441" s="1">
        <v>9</v>
      </c>
      <c r="AV441" s="1">
        <f t="shared" si="209"/>
        <v>12.517300000000001</v>
      </c>
      <c r="AX441" s="132"/>
      <c r="AY441" s="132"/>
      <c r="BA441" s="145">
        <v>12</v>
      </c>
      <c r="BB441" s="1">
        <v>9</v>
      </c>
      <c r="BC441" s="1">
        <f t="shared" si="210"/>
        <v>13.1645</v>
      </c>
      <c r="BL441" s="132"/>
      <c r="BM441" s="132"/>
      <c r="BO441" s="146" t="s">
        <v>33</v>
      </c>
      <c r="BP441" s="1">
        <v>9</v>
      </c>
      <c r="BQ441" s="1">
        <f t="shared" si="211"/>
        <v>13.1792</v>
      </c>
    </row>
    <row r="442" spans="2:69" x14ac:dyDescent="0.25">
      <c r="B442" s="1">
        <v>8</v>
      </c>
      <c r="C442" s="1">
        <f t="shared" si="203"/>
        <v>11.465501333333334</v>
      </c>
      <c r="D442" s="3">
        <v>11.333738</v>
      </c>
      <c r="E442" s="3">
        <v>11.361324</v>
      </c>
      <c r="F442" s="3">
        <v>11.701442</v>
      </c>
      <c r="O442" s="132"/>
      <c r="P442" s="132"/>
      <c r="R442" s="1">
        <v>8</v>
      </c>
      <c r="S442" s="1">
        <f t="shared" si="204"/>
        <v>11.113099999999999</v>
      </c>
      <c r="V442" s="132">
        <f t="shared" si="205"/>
        <v>5.2927999999999997</v>
      </c>
      <c r="W442" s="132">
        <f t="shared" si="206"/>
        <v>-1.8559999999999997</v>
      </c>
      <c r="Y442" s="132"/>
      <c r="Z442" s="132"/>
      <c r="AA442" s="132"/>
      <c r="AB442" s="1">
        <v>8</v>
      </c>
      <c r="AC442" s="1">
        <f t="shared" si="207"/>
        <v>11.113099999999999</v>
      </c>
      <c r="AF442" s="143" t="s">
        <v>25</v>
      </c>
      <c r="AG442" s="1">
        <v>8</v>
      </c>
      <c r="AH442" s="1">
        <f t="shared" si="208"/>
        <v>11.530799999999999</v>
      </c>
      <c r="AQ442" s="132"/>
      <c r="AT442" s="144" t="s">
        <v>25</v>
      </c>
      <c r="AU442" s="1">
        <v>8</v>
      </c>
      <c r="AV442" s="1">
        <f t="shared" si="209"/>
        <v>11.2651</v>
      </c>
      <c r="AX442" s="132"/>
      <c r="AY442" s="132"/>
      <c r="BA442" s="145">
        <v>12</v>
      </c>
      <c r="BB442" s="1">
        <v>8</v>
      </c>
      <c r="BC442" s="1">
        <f t="shared" si="210"/>
        <v>12.2166</v>
      </c>
      <c r="BL442" s="132"/>
      <c r="BM442" s="132"/>
      <c r="BO442" s="146" t="s">
        <v>33</v>
      </c>
      <c r="BP442" s="1">
        <v>8</v>
      </c>
      <c r="BQ442" s="1">
        <f t="shared" si="211"/>
        <v>11.9489</v>
      </c>
    </row>
    <row r="443" spans="2:69" x14ac:dyDescent="0.25">
      <c r="B443" s="1">
        <v>7</v>
      </c>
      <c r="C443" s="1">
        <f t="shared" si="203"/>
        <v>10.594182333333334</v>
      </c>
      <c r="D443" s="3">
        <v>10.415995000000001</v>
      </c>
      <c r="E443" s="3">
        <v>10.542006000000001</v>
      </c>
      <c r="F443" s="3">
        <v>10.824546</v>
      </c>
      <c r="O443" s="132"/>
      <c r="P443" s="132"/>
      <c r="R443" s="1">
        <v>7</v>
      </c>
      <c r="S443" s="1">
        <f t="shared" si="204"/>
        <v>10.1046</v>
      </c>
      <c r="V443" s="132">
        <f t="shared" si="205"/>
        <v>4.0522999999999998</v>
      </c>
      <c r="W443" s="132">
        <f t="shared" si="206"/>
        <v>-1.6239999999999997</v>
      </c>
      <c r="Y443" s="132"/>
      <c r="Z443" s="132"/>
      <c r="AA443" s="132"/>
      <c r="AB443" s="1">
        <v>7</v>
      </c>
      <c r="AC443" s="1">
        <f t="shared" si="207"/>
        <v>10.1046</v>
      </c>
      <c r="AF443" s="143" t="s">
        <v>25</v>
      </c>
      <c r="AG443" s="1">
        <v>7</v>
      </c>
      <c r="AH443" s="1">
        <f t="shared" si="208"/>
        <v>10.6546</v>
      </c>
      <c r="AQ443" s="132"/>
      <c r="AT443" s="144" t="s">
        <v>25</v>
      </c>
      <c r="AU443" s="1">
        <v>7</v>
      </c>
      <c r="AV443" s="1">
        <f t="shared" si="209"/>
        <v>10.191700000000001</v>
      </c>
      <c r="AX443" s="132"/>
      <c r="AY443" s="132"/>
      <c r="BA443" s="145">
        <v>12</v>
      </c>
      <c r="BB443" s="1">
        <v>7</v>
      </c>
      <c r="BC443" s="1">
        <f t="shared" si="210"/>
        <v>11.350899999999999</v>
      </c>
      <c r="BL443" s="132"/>
      <c r="BM443" s="132"/>
      <c r="BO443" s="146" t="s">
        <v>33</v>
      </c>
      <c r="BP443" s="1">
        <v>7</v>
      </c>
      <c r="BQ443" s="1">
        <f t="shared" si="211"/>
        <v>10.886200000000001</v>
      </c>
    </row>
    <row r="444" spans="2:69" x14ac:dyDescent="0.25">
      <c r="B444" s="1">
        <v>6</v>
      </c>
      <c r="C444" s="1">
        <f t="shared" si="203"/>
        <v>9.8418673333333331</v>
      </c>
      <c r="D444" s="3">
        <v>9.6261559999999999</v>
      </c>
      <c r="E444" s="3">
        <v>9.8284260000000003</v>
      </c>
      <c r="F444" s="3">
        <v>10.071020000000001</v>
      </c>
      <c r="O444" s="132"/>
      <c r="P444" s="132"/>
      <c r="R444" s="1">
        <v>6</v>
      </c>
      <c r="S444" s="1">
        <f t="shared" si="204"/>
        <v>9.2614999999999998</v>
      </c>
      <c r="V444" s="132">
        <f t="shared" si="205"/>
        <v>2.9771999999999998</v>
      </c>
      <c r="W444" s="132">
        <f t="shared" si="206"/>
        <v>-1.3919999999999997</v>
      </c>
      <c r="Y444" s="132"/>
      <c r="Z444" s="132"/>
      <c r="AA444" s="132"/>
      <c r="AB444" s="1">
        <v>6</v>
      </c>
      <c r="AC444" s="1">
        <f t="shared" si="207"/>
        <v>9.2614999999999998</v>
      </c>
      <c r="AF444" s="143" t="s">
        <v>25</v>
      </c>
      <c r="AG444" s="1">
        <v>6</v>
      </c>
      <c r="AH444" s="1">
        <f t="shared" si="208"/>
        <v>9.8732000000000006</v>
      </c>
      <c r="AQ444" s="132"/>
      <c r="AT444" s="144" t="s">
        <v>25</v>
      </c>
      <c r="AU444" s="1">
        <v>6</v>
      </c>
      <c r="AV444" s="1">
        <f t="shared" si="209"/>
        <v>9.2971000000000004</v>
      </c>
      <c r="AX444" s="132"/>
      <c r="AY444" s="132"/>
      <c r="BA444" s="145">
        <v>12</v>
      </c>
      <c r="BB444" s="1">
        <v>6</v>
      </c>
      <c r="BC444" s="1">
        <f t="shared" si="210"/>
        <v>10.567399999999999</v>
      </c>
      <c r="BL444" s="132"/>
      <c r="BM444" s="132"/>
      <c r="BO444" s="146" t="s">
        <v>33</v>
      </c>
      <c r="BP444" s="1">
        <v>6</v>
      </c>
      <c r="BQ444" s="1">
        <f t="shared" si="211"/>
        <v>9.9910999999999994</v>
      </c>
    </row>
    <row r="445" spans="2:69" x14ac:dyDescent="0.25">
      <c r="B445" s="1">
        <v>5</v>
      </c>
      <c r="C445" s="1">
        <f t="shared" si="203"/>
        <v>9.0069643333333342</v>
      </c>
      <c r="D445" s="3">
        <v>8.7100849999999994</v>
      </c>
      <c r="E445" s="3">
        <v>9.0404859999999996</v>
      </c>
      <c r="F445" s="3">
        <v>9.2703220000000002</v>
      </c>
      <c r="O445" s="132" t="s">
        <v>8</v>
      </c>
      <c r="P445" s="132">
        <f>0.0081+$Q$409</f>
        <v>8.3000000000000001E-3</v>
      </c>
      <c r="R445" s="1">
        <v>5</v>
      </c>
      <c r="S445" s="1">
        <f t="shared" si="204"/>
        <v>8.5838000000000001</v>
      </c>
      <c r="V445" s="132">
        <f t="shared" si="205"/>
        <v>2.0674999999999999</v>
      </c>
      <c r="W445" s="132">
        <f t="shared" si="206"/>
        <v>-1.1599999999999997</v>
      </c>
      <c r="Y445" s="132" t="s">
        <v>8</v>
      </c>
      <c r="Z445" s="132">
        <v>8.0999999999999996E-3</v>
      </c>
      <c r="AA445" s="132" t="s">
        <v>14</v>
      </c>
      <c r="AB445" s="1">
        <v>5</v>
      </c>
      <c r="AC445" s="1">
        <f t="shared" si="207"/>
        <v>8.5838000000000001</v>
      </c>
      <c r="AF445" s="143" t="s">
        <v>25</v>
      </c>
      <c r="AG445" s="1">
        <v>5</v>
      </c>
      <c r="AH445" s="1">
        <f t="shared" si="208"/>
        <v>9.1866000000000003</v>
      </c>
      <c r="AQ445" s="132" t="s">
        <v>8</v>
      </c>
      <c r="AR445">
        <v>7.7999999999999996E-3</v>
      </c>
      <c r="AT445" s="144" t="s">
        <v>25</v>
      </c>
      <c r="AU445" s="1">
        <v>5</v>
      </c>
      <c r="AV445" s="1">
        <f t="shared" si="209"/>
        <v>8.5813000000000006</v>
      </c>
      <c r="AX445" s="132" t="s">
        <v>8</v>
      </c>
      <c r="AY445" s="132">
        <v>8.0999999999999996E-3</v>
      </c>
      <c r="BA445" s="145">
        <v>12</v>
      </c>
      <c r="BB445" s="1">
        <v>5</v>
      </c>
      <c r="BC445" s="1">
        <f t="shared" si="210"/>
        <v>9.8660999999999994</v>
      </c>
      <c r="BL445" s="132" t="s">
        <v>8</v>
      </c>
      <c r="BM445" s="132">
        <v>7.7999999999999996E-3</v>
      </c>
      <c r="BO445" s="146" t="s">
        <v>33</v>
      </c>
      <c r="BP445" s="1">
        <v>5</v>
      </c>
      <c r="BQ445" s="1">
        <f t="shared" si="211"/>
        <v>9.2636000000000003</v>
      </c>
    </row>
    <row r="446" spans="2:69" x14ac:dyDescent="0.25">
      <c r="B446" s="1">
        <v>4</v>
      </c>
      <c r="C446" s="1">
        <f t="shared" si="203"/>
        <v>8.7062860000000004</v>
      </c>
      <c r="D446" s="3">
        <v>8.3946839999999998</v>
      </c>
      <c r="E446" s="3">
        <v>8.7702950000000008</v>
      </c>
      <c r="F446" s="3">
        <v>8.9538790000000006</v>
      </c>
      <c r="O446" s="132" t="s">
        <v>9</v>
      </c>
      <c r="P446" s="132">
        <f>0.2891+$S$409</f>
        <v>0.29140000000000005</v>
      </c>
      <c r="R446" s="1">
        <v>4</v>
      </c>
      <c r="S446" s="1">
        <f t="shared" si="204"/>
        <v>8.0715000000000003</v>
      </c>
      <c r="V446" s="132">
        <f t="shared" si="205"/>
        <v>1.3231999999999999</v>
      </c>
      <c r="W446" s="132">
        <f t="shared" si="206"/>
        <v>-0.92799999999999983</v>
      </c>
      <c r="Y446" s="132" t="s">
        <v>9</v>
      </c>
      <c r="Z446" s="132">
        <v>0.28910000000000002</v>
      </c>
      <c r="AA446" s="132" t="s">
        <v>17</v>
      </c>
      <c r="AB446" s="1">
        <v>4</v>
      </c>
      <c r="AC446" s="1">
        <f t="shared" si="207"/>
        <v>8.0715000000000003</v>
      </c>
      <c r="AF446" s="143" t="s">
        <v>25</v>
      </c>
      <c r="AG446" s="1">
        <v>4</v>
      </c>
      <c r="AH446" s="1">
        <f t="shared" si="208"/>
        <v>8.5947999999999993</v>
      </c>
      <c r="AQ446" s="132" t="s">
        <v>9</v>
      </c>
      <c r="AR446">
        <v>0.28139999999999998</v>
      </c>
      <c r="AT446" s="144" t="s">
        <v>25</v>
      </c>
      <c r="AU446" s="1">
        <v>4</v>
      </c>
      <c r="AV446" s="1">
        <f t="shared" si="209"/>
        <v>8.0442999999999998</v>
      </c>
      <c r="AX446" s="132" t="s">
        <v>9</v>
      </c>
      <c r="AY446" s="132">
        <v>0.28910000000000002</v>
      </c>
      <c r="BA446" s="145">
        <v>12</v>
      </c>
      <c r="BB446" s="1">
        <v>4</v>
      </c>
      <c r="BC446" s="1">
        <f t="shared" si="210"/>
        <v>9.2469999999999999</v>
      </c>
      <c r="BL446" s="132" t="s">
        <v>9</v>
      </c>
      <c r="BM446" s="132">
        <v>0.3014</v>
      </c>
      <c r="BO446" s="146" t="s">
        <v>33</v>
      </c>
      <c r="BP446" s="1">
        <v>4</v>
      </c>
      <c r="BQ446" s="1">
        <f t="shared" si="211"/>
        <v>8.7036999999999995</v>
      </c>
    </row>
    <row r="447" spans="2:69" x14ac:dyDescent="0.25">
      <c r="B447" s="1">
        <v>3</v>
      </c>
      <c r="C447" s="1">
        <f t="shared" si="203"/>
        <v>8.0611673333333318</v>
      </c>
      <c r="D447" s="3">
        <v>7.7293010000000004</v>
      </c>
      <c r="E447" s="3">
        <v>8.1406419999999997</v>
      </c>
      <c r="F447" s="3">
        <v>8.3135589999999997</v>
      </c>
      <c r="O447" s="132" t="s">
        <v>10</v>
      </c>
      <c r="P447" s="132">
        <f>6.9925+$U$409</f>
        <v>6.9346999999999994</v>
      </c>
      <c r="R447" s="1">
        <v>3</v>
      </c>
      <c r="S447" s="1">
        <f t="shared" si="204"/>
        <v>7.7245999999999997</v>
      </c>
      <c r="V447" s="132">
        <f t="shared" si="205"/>
        <v>0.74429999999999996</v>
      </c>
      <c r="W447" s="132">
        <f t="shared" si="206"/>
        <v>-0.69599999999999984</v>
      </c>
      <c r="Y447" s="132" t="s">
        <v>10</v>
      </c>
      <c r="Z447" s="132">
        <v>6.9924999999999997</v>
      </c>
      <c r="AA447" s="132" t="s">
        <v>18</v>
      </c>
      <c r="AB447" s="1">
        <v>3</v>
      </c>
      <c r="AC447" s="1">
        <f t="shared" si="207"/>
        <v>7.7245999999999997</v>
      </c>
      <c r="AF447" s="143" t="s">
        <v>25</v>
      </c>
      <c r="AG447" s="1">
        <v>3</v>
      </c>
      <c r="AH447" s="1">
        <f t="shared" si="208"/>
        <v>8.0977999999999994</v>
      </c>
      <c r="AQ447" s="132" t="s">
        <v>10</v>
      </c>
      <c r="AR447">
        <v>6.9782000000000002</v>
      </c>
      <c r="AT447" s="144" t="s">
        <v>25</v>
      </c>
      <c r="AU447" s="1">
        <v>3</v>
      </c>
      <c r="AV447" s="1">
        <f t="shared" si="209"/>
        <v>7.6860999999999997</v>
      </c>
      <c r="AX447" s="132" t="s">
        <v>10</v>
      </c>
      <c r="AY447" s="132">
        <v>6.9924999999999997</v>
      </c>
      <c r="BA447" s="145">
        <v>12</v>
      </c>
      <c r="BB447" s="1">
        <v>3</v>
      </c>
      <c r="BC447" s="1">
        <f t="shared" si="210"/>
        <v>8.7101000000000006</v>
      </c>
      <c r="BL447" s="132" t="s">
        <v>10</v>
      </c>
      <c r="BM447" s="132">
        <v>7.4787999999999997</v>
      </c>
      <c r="BO447" s="146" t="s">
        <v>33</v>
      </c>
      <c r="BP447" s="1">
        <v>3</v>
      </c>
      <c r="BQ447" s="1">
        <f t="shared" si="211"/>
        <v>8.3114000000000008</v>
      </c>
    </row>
    <row r="448" spans="2:69" x14ac:dyDescent="0.25">
      <c r="B448" s="1">
        <v>2</v>
      </c>
      <c r="C448" s="1">
        <f t="shared" si="203"/>
        <v>7.7255250000000002</v>
      </c>
      <c r="D448" s="3">
        <v>7.3785309999999997</v>
      </c>
      <c r="E448" s="3">
        <v>7.8218730000000001</v>
      </c>
      <c r="F448" s="3">
        <v>7.9761709999999999</v>
      </c>
      <c r="R448" s="1">
        <v>2</v>
      </c>
      <c r="S448" s="1">
        <f t="shared" si="204"/>
        <v>7.5430999999999999</v>
      </c>
      <c r="V448" s="132">
        <f t="shared" si="205"/>
        <v>0.33079999999999998</v>
      </c>
      <c r="W448" s="132">
        <f t="shared" si="206"/>
        <v>-0.46399999999999991</v>
      </c>
      <c r="Y448" s="132"/>
      <c r="Z448" s="132"/>
      <c r="AA448" s="132"/>
      <c r="AB448" s="1">
        <v>2</v>
      </c>
      <c r="AC448" s="1">
        <f t="shared" si="207"/>
        <v>7.5430999999999999</v>
      </c>
      <c r="AF448" s="143" t="s">
        <v>25</v>
      </c>
      <c r="AG448" s="1">
        <v>2</v>
      </c>
      <c r="AH448" s="1">
        <f t="shared" si="208"/>
        <v>7.6956000000000007</v>
      </c>
      <c r="AT448" s="144" t="s">
        <v>25</v>
      </c>
      <c r="AU448" s="1">
        <v>2</v>
      </c>
      <c r="AV448" s="1">
        <f t="shared" si="209"/>
        <v>7.5066999999999995</v>
      </c>
      <c r="BA448" s="145">
        <v>12</v>
      </c>
      <c r="BB448" s="1">
        <v>2</v>
      </c>
      <c r="BC448" s="1">
        <f t="shared" si="210"/>
        <v>8.2553999999999998</v>
      </c>
      <c r="BO448" s="146" t="s">
        <v>33</v>
      </c>
      <c r="BP448" s="1">
        <v>2</v>
      </c>
      <c r="BQ448" s="1">
        <f t="shared" si="211"/>
        <v>8.0867000000000004</v>
      </c>
    </row>
    <row r="449" spans="1:69" x14ac:dyDescent="0.25">
      <c r="B449" s="1">
        <v>1</v>
      </c>
      <c r="C449" s="1">
        <f t="shared" si="203"/>
        <v>7.3862036666666668</v>
      </c>
      <c r="D449" s="3">
        <v>7.0281640000000003</v>
      </c>
      <c r="E449" s="3">
        <v>7.4985460000000002</v>
      </c>
      <c r="F449" s="3">
        <v>7.631901</v>
      </c>
      <c r="R449" s="1">
        <v>1</v>
      </c>
      <c r="S449" s="1">
        <f t="shared" si="204"/>
        <v>7.5269999999999992</v>
      </c>
      <c r="V449" s="132">
        <f t="shared" si="205"/>
        <v>8.2699999999999996E-2</v>
      </c>
      <c r="W449" s="132">
        <f t="shared" si="206"/>
        <v>-0.23199999999999996</v>
      </c>
      <c r="Y449" s="132"/>
      <c r="Z449" s="132"/>
      <c r="AA449" s="132"/>
      <c r="AB449" s="1">
        <v>1</v>
      </c>
      <c r="AC449" s="1">
        <f t="shared" si="207"/>
        <v>7.5269999999999992</v>
      </c>
      <c r="AF449" s="143" t="s">
        <v>25</v>
      </c>
      <c r="AG449" s="1">
        <v>1</v>
      </c>
      <c r="AH449" s="1">
        <f t="shared" si="208"/>
        <v>7.3882000000000003</v>
      </c>
      <c r="AT449" s="144" t="s">
        <v>25</v>
      </c>
      <c r="AU449" s="1">
        <v>1</v>
      </c>
      <c r="AV449" s="1">
        <f t="shared" si="209"/>
        <v>7.5060999999999991</v>
      </c>
      <c r="BA449" s="145">
        <v>12</v>
      </c>
      <c r="BB449" s="1">
        <v>1</v>
      </c>
      <c r="BC449" s="1">
        <f t="shared" si="210"/>
        <v>7.8829000000000002</v>
      </c>
      <c r="BO449" s="146" t="s">
        <v>33</v>
      </c>
      <c r="BP449" s="1">
        <v>1</v>
      </c>
      <c r="BQ449" s="1">
        <f t="shared" si="211"/>
        <v>8.0296000000000003</v>
      </c>
    </row>
    <row r="450" spans="1:69" x14ac:dyDescent="0.25">
      <c r="B450" s="1">
        <v>0</v>
      </c>
      <c r="C450" s="1">
        <f t="shared" si="203"/>
        <v>7.0555563333333327</v>
      </c>
      <c r="D450" s="3">
        <v>6.714232</v>
      </c>
      <c r="E450" s="3">
        <v>7.1659519999999999</v>
      </c>
      <c r="F450" s="3">
        <v>7.2864849999999999</v>
      </c>
      <c r="R450" s="1">
        <v>0</v>
      </c>
      <c r="S450" s="1">
        <f>V450+W450+$P$447</f>
        <v>6.9346999999999994</v>
      </c>
      <c r="V450" s="132">
        <f t="shared" ref="V450" si="212">R450*R450*$P$411</f>
        <v>0</v>
      </c>
      <c r="W450" s="132">
        <f t="shared" si="206"/>
        <v>0</v>
      </c>
      <c r="Y450" s="132"/>
      <c r="Z450" s="132"/>
      <c r="AA450" s="132"/>
      <c r="AB450" s="1">
        <v>0</v>
      </c>
      <c r="AC450" s="1">
        <f>((AB450*AB450)*($Z$445+$Q$409))+(AB450*($Z$446+$S$409))+($Z$447+$U$409)</f>
        <v>6.9346999999999994</v>
      </c>
      <c r="AF450" s="143" t="s">
        <v>25</v>
      </c>
      <c r="AG450" s="1">
        <v>0</v>
      </c>
      <c r="AH450" s="1">
        <f>((AG450*AG450)*($Z$445+$E$458))+(AG450*($Z$446+$E$459))+($Z$447+$E$460)</f>
        <v>6.9782000000000002</v>
      </c>
      <c r="AT450" s="144" t="s">
        <v>25</v>
      </c>
      <c r="AU450" s="1">
        <v>0</v>
      </c>
      <c r="AV450" s="1">
        <f>((AU450*AU450)*($AR$445+$AC$25))+(AU450*($AR$446+$AE$25))+($AR$447+$AG$25)</f>
        <v>6.9203999999999999</v>
      </c>
      <c r="BA450" s="145">
        <v>12</v>
      </c>
      <c r="BB450" s="1">
        <v>0</v>
      </c>
      <c r="BC450" s="1">
        <f>((BB450*BB450)*($AY$445+$AR$23))+(BB450*($AY$446+$AR$24))+($AY$447+$AR$25)</f>
        <v>7.4787999999999997</v>
      </c>
      <c r="BO450" s="146" t="s">
        <v>33</v>
      </c>
      <c r="BP450" s="1">
        <v>0</v>
      </c>
      <c r="BQ450" s="1">
        <f>((BP450*BP450)*($BM$445+$BD$23))+(BP450*($BM$446+$BD$24))+($BM$447+$BD$25)</f>
        <v>7.4209999999999994</v>
      </c>
    </row>
    <row r="451" spans="1:69" x14ac:dyDescent="0.25">
      <c r="B451" s="1">
        <v>-5</v>
      </c>
      <c r="C451" s="1">
        <f t="shared" si="203"/>
        <v>5.6215070000000003</v>
      </c>
      <c r="D451" s="3">
        <v>5.2599479999999996</v>
      </c>
      <c r="E451" s="3">
        <v>5.7868570000000004</v>
      </c>
      <c r="F451" s="3">
        <v>5.8177159999999999</v>
      </c>
      <c r="R451" s="1">
        <v>-5</v>
      </c>
      <c r="S451" s="1">
        <f t="shared" ref="S451:S454" si="213">V451+W451+$P$447</f>
        <v>5.6851999999999991</v>
      </c>
      <c r="V451" s="132">
        <f>R451*R451*$P$445</f>
        <v>0.20749999999999999</v>
      </c>
      <c r="W451" s="132">
        <f>R451*$P$446</f>
        <v>-1.4570000000000003</v>
      </c>
      <c r="Y451" s="132"/>
      <c r="Z451" s="132"/>
      <c r="AA451" s="132"/>
      <c r="AB451" s="1">
        <v>-5</v>
      </c>
      <c r="AC451" s="1">
        <f t="shared" ref="AC451:AC454" si="214">((AB451*AB451)*($Z$445+$Q$409))+(AB451*($Z$446+$S$409))+($Z$447+$U$409)</f>
        <v>5.6851999999999991</v>
      </c>
      <c r="AF451" s="143" t="s">
        <v>25</v>
      </c>
      <c r="AG451" s="1">
        <v>-5</v>
      </c>
      <c r="AH451" s="1">
        <f t="shared" ref="AH451:AH454" si="215">((AG451*AG451)*($Z$445+$E$458))+(AG451*($Z$446+$E$459))+($Z$447+$E$460)</f>
        <v>5.7661999999999995</v>
      </c>
      <c r="AT451" s="144" t="s">
        <v>25</v>
      </c>
      <c r="AU451" s="1">
        <v>-5</v>
      </c>
      <c r="AV451" s="1">
        <f t="shared" ref="AV451:AV454" si="216">((AU451*AU451)*($AR$445+$AC$25))+(AU451*($AR$446+$AE$25))+($AR$447+$AG$25)</f>
        <v>5.7019000000000002</v>
      </c>
      <c r="BA451" s="145">
        <v>12</v>
      </c>
      <c r="BB451" s="1">
        <v>-5</v>
      </c>
      <c r="BC451" s="1">
        <f t="shared" ref="BC451:BC454" si="217">((BB451*BB451)*($AY$445+$AR$23))+(BB451*($AY$446+$AR$24))+($AY$447+$AR$25)</f>
        <v>6.1667999999999994</v>
      </c>
      <c r="BO451" s="146" t="s">
        <v>33</v>
      </c>
      <c r="BP451" s="1">
        <v>-5</v>
      </c>
      <c r="BQ451" s="1">
        <f t="shared" ref="BQ451:BQ454" si="218">((BP451*BP451)*($BM$445+$BD$23))+(BP451*($BM$446+$BD$24))+($BM$447+$BD$25)</f>
        <v>6.1024999999999991</v>
      </c>
    </row>
    <row r="452" spans="1:69" x14ac:dyDescent="0.25">
      <c r="B452" s="1">
        <v>-10</v>
      </c>
      <c r="C452" s="1">
        <f t="shared" si="203"/>
        <v>4.914880666666666</v>
      </c>
      <c r="D452" s="3">
        <v>4.6033790000000003</v>
      </c>
      <c r="E452" s="3">
        <v>5.0520639999999997</v>
      </c>
      <c r="F452" s="3">
        <v>5.0891989999999998</v>
      </c>
      <c r="R452" s="1">
        <v>-10</v>
      </c>
      <c r="S452" s="1">
        <f t="shared" si="213"/>
        <v>4.797699999999999</v>
      </c>
      <c r="V452" s="132">
        <f t="shared" ref="V452:V454" si="219">R452*R452*$P$445</f>
        <v>0.83</v>
      </c>
      <c r="W452" s="132">
        <f t="shared" ref="W452:W454" si="220">R452*$P$422</f>
        <v>-2.9670000000000001</v>
      </c>
      <c r="Y452" s="132"/>
      <c r="Z452" s="132"/>
      <c r="AA452" s="132"/>
      <c r="AB452" s="1">
        <v>-10</v>
      </c>
      <c r="AC452" s="1">
        <f t="shared" si="214"/>
        <v>4.8506999999999989</v>
      </c>
      <c r="AF452" s="143" t="s">
        <v>25</v>
      </c>
      <c r="AG452" s="1">
        <v>-10</v>
      </c>
      <c r="AH452" s="1">
        <f t="shared" si="215"/>
        <v>4.9441999999999995</v>
      </c>
      <c r="AT452" s="144" t="s">
        <v>25</v>
      </c>
      <c r="AU452" s="1">
        <v>-10</v>
      </c>
      <c r="AV452" s="1">
        <f t="shared" si="216"/>
        <v>4.8834</v>
      </c>
      <c r="BA452" s="145">
        <v>12</v>
      </c>
      <c r="BB452" s="1">
        <v>-10</v>
      </c>
      <c r="BC452" s="1">
        <f t="shared" si="217"/>
        <v>5.2447999999999997</v>
      </c>
      <c r="BO452" s="146" t="s">
        <v>33</v>
      </c>
      <c r="BP452" s="1">
        <v>-10</v>
      </c>
      <c r="BQ452" s="1">
        <f t="shared" si="218"/>
        <v>5.1839999999999993</v>
      </c>
    </row>
    <row r="453" spans="1:69" x14ac:dyDescent="0.25">
      <c r="B453" s="1">
        <v>-15</v>
      </c>
      <c r="C453" s="1">
        <f t="shared" si="203"/>
        <v>4.5965036666666661</v>
      </c>
      <c r="D453" s="3">
        <v>4.320309</v>
      </c>
      <c r="E453" s="3">
        <v>4.7346570000000003</v>
      </c>
      <c r="F453" s="3">
        <v>4.7345449999999998</v>
      </c>
      <c r="R453" s="1">
        <v>-15</v>
      </c>
      <c r="S453" s="1">
        <f t="shared" si="213"/>
        <v>4.3516999999999992</v>
      </c>
      <c r="V453" s="132">
        <f t="shared" si="219"/>
        <v>1.8674999999999999</v>
      </c>
      <c r="W453" s="132">
        <f t="shared" si="220"/>
        <v>-4.4504999999999999</v>
      </c>
      <c r="Y453" s="132"/>
      <c r="Z453" s="132"/>
      <c r="AA453" s="132"/>
      <c r="AB453" s="1">
        <v>-15</v>
      </c>
      <c r="AC453" s="1">
        <f t="shared" si="214"/>
        <v>4.4311999999999987</v>
      </c>
      <c r="AF453" s="143" t="s">
        <v>25</v>
      </c>
      <c r="AG453" s="1">
        <v>-15</v>
      </c>
      <c r="AH453" s="1">
        <f t="shared" si="215"/>
        <v>4.5121999999999991</v>
      </c>
      <c r="AT453" s="144" t="s">
        <v>25</v>
      </c>
      <c r="AU453" s="1">
        <v>-15</v>
      </c>
      <c r="AV453" s="1">
        <f t="shared" si="216"/>
        <v>4.4648999999999992</v>
      </c>
      <c r="BA453" s="145">
        <v>12</v>
      </c>
      <c r="BB453" s="1">
        <v>-15</v>
      </c>
      <c r="BC453" s="1">
        <f t="shared" si="217"/>
        <v>4.7127999999999997</v>
      </c>
      <c r="BO453" s="146" t="s">
        <v>33</v>
      </c>
      <c r="BP453" s="1">
        <v>-15</v>
      </c>
      <c r="BQ453" s="1">
        <f t="shared" si="218"/>
        <v>4.6654999999999989</v>
      </c>
    </row>
    <row r="454" spans="1:69" x14ac:dyDescent="0.25">
      <c r="B454" s="1">
        <v>-20</v>
      </c>
      <c r="C454" s="1">
        <f t="shared" si="203"/>
        <v>4.3830090000000004</v>
      </c>
      <c r="D454" s="3">
        <v>4.3204570000000002</v>
      </c>
      <c r="E454" s="3">
        <v>4.4181619999999997</v>
      </c>
      <c r="F454" s="3">
        <v>4.4104080000000003</v>
      </c>
      <c r="R454" s="1">
        <v>-20</v>
      </c>
      <c r="S454" s="1">
        <f t="shared" si="213"/>
        <v>4.3206999999999987</v>
      </c>
      <c r="V454" s="132">
        <f t="shared" si="219"/>
        <v>3.32</v>
      </c>
      <c r="W454" s="132">
        <f t="shared" si="220"/>
        <v>-5.9340000000000002</v>
      </c>
      <c r="Y454" s="132"/>
      <c r="Z454" s="132"/>
      <c r="AA454" s="132"/>
      <c r="AB454" s="1">
        <v>-20</v>
      </c>
      <c r="AC454" s="1">
        <f t="shared" si="214"/>
        <v>4.4266999999999985</v>
      </c>
      <c r="AF454" s="143" t="s">
        <v>25</v>
      </c>
      <c r="AG454" s="1">
        <v>-20</v>
      </c>
      <c r="AH454" s="1">
        <f t="shared" si="215"/>
        <v>4.4701999999999984</v>
      </c>
      <c r="AT454" s="144" t="s">
        <v>25</v>
      </c>
      <c r="AU454" s="1">
        <v>-20</v>
      </c>
      <c r="AV454" s="1">
        <f t="shared" si="216"/>
        <v>4.4463999999999997</v>
      </c>
      <c r="BA454" s="145">
        <v>12</v>
      </c>
      <c r="BB454" s="1">
        <v>-20</v>
      </c>
      <c r="BC454" s="1">
        <f t="shared" si="217"/>
        <v>4.5707999999999984</v>
      </c>
      <c r="BO454" s="146" t="s">
        <v>33</v>
      </c>
      <c r="BP454" s="1">
        <v>-20</v>
      </c>
      <c r="BQ454" s="1">
        <f t="shared" si="218"/>
        <v>4.5469999999999988</v>
      </c>
    </row>
    <row r="458" spans="1:69" x14ac:dyDescent="0.25">
      <c r="A458" t="s">
        <v>28</v>
      </c>
      <c r="B458" s="132" t="s">
        <v>8</v>
      </c>
      <c r="C458" s="132">
        <f>0.0867-0.0785</f>
        <v>8.199999999999999E-3</v>
      </c>
      <c r="D458" s="132" t="s">
        <v>8</v>
      </c>
      <c r="E458" s="132">
        <f>0.0083-0.0086</f>
        <v>-2.9999999999999992E-4</v>
      </c>
    </row>
    <row r="459" spans="1:69" x14ac:dyDescent="0.25">
      <c r="B459" s="132" t="s">
        <v>9</v>
      </c>
      <c r="C459" s="132">
        <f>0.1836-0.2445</f>
        <v>-6.0899999999999982E-2</v>
      </c>
      <c r="D459" s="132" t="s">
        <v>9</v>
      </c>
      <c r="E459" s="132">
        <f>0.3037-0.3114</f>
        <v>-7.6999999999999846E-3</v>
      </c>
    </row>
    <row r="460" spans="1:69" x14ac:dyDescent="0.25">
      <c r="B460" s="132" t="s">
        <v>10</v>
      </c>
      <c r="C460" s="132">
        <f>8.2365-8.1368</f>
        <v>9.9700000000000344E-2</v>
      </c>
      <c r="D460" s="132" t="s">
        <v>10</v>
      </c>
      <c r="E460" s="132">
        <f>7.4343-7.4486</f>
        <v>-1.4299999999999535E-2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U21"/>
  <sheetViews>
    <sheetView workbookViewId="0">
      <selection activeCell="U3" sqref="U3:U21"/>
    </sheetView>
  </sheetViews>
  <sheetFormatPr defaultRowHeight="15" x14ac:dyDescent="0.25"/>
  <sheetData>
    <row r="2" spans="2:21" x14ac:dyDescent="0.25">
      <c r="B2" s="132" t="s">
        <v>0</v>
      </c>
      <c r="C2" s="132">
        <v>2</v>
      </c>
      <c r="D2" s="132">
        <v>2.1</v>
      </c>
      <c r="E2" s="132">
        <v>2.2000000000000002</v>
      </c>
      <c r="F2" s="132">
        <v>2.2999999999999998</v>
      </c>
      <c r="G2" s="132">
        <v>2.4</v>
      </c>
      <c r="H2" s="132">
        <v>2.5</v>
      </c>
      <c r="I2" s="132">
        <v>2.6</v>
      </c>
      <c r="J2" s="132">
        <v>2.7</v>
      </c>
      <c r="K2" s="132">
        <v>2.8</v>
      </c>
      <c r="L2" s="132">
        <v>2.9</v>
      </c>
      <c r="M2" s="132">
        <v>3</v>
      </c>
      <c r="N2" s="132">
        <v>3.1</v>
      </c>
      <c r="O2" s="132">
        <v>3.2</v>
      </c>
      <c r="P2" s="132">
        <v>3.3</v>
      </c>
      <c r="Q2" s="132">
        <v>3.4</v>
      </c>
      <c r="R2" s="132">
        <v>3.5</v>
      </c>
      <c r="S2" s="132">
        <v>3.6</v>
      </c>
      <c r="T2" s="132">
        <v>3.7</v>
      </c>
      <c r="U2" s="132">
        <v>3.8</v>
      </c>
    </row>
    <row r="3" spans="2:21" x14ac:dyDescent="0.25">
      <c r="B3" s="132">
        <v>14</v>
      </c>
      <c r="C3" s="132">
        <v>39.281199999999998</v>
      </c>
      <c r="D3" s="132">
        <v>34.632399999999997</v>
      </c>
      <c r="E3" s="132">
        <v>33.317999999999998</v>
      </c>
      <c r="F3" s="132">
        <v>32.202599999999997</v>
      </c>
      <c r="G3" s="132">
        <v>31.144400000000001</v>
      </c>
      <c r="H3" s="132">
        <v>29.944799999999997</v>
      </c>
      <c r="I3" s="132">
        <v>29.1616</v>
      </c>
      <c r="J3" s="132">
        <v>28.092699999999994</v>
      </c>
      <c r="K3" s="132">
        <v>27.422900000000002</v>
      </c>
      <c r="L3" s="132">
        <v>26.577699999999997</v>
      </c>
      <c r="M3" s="132">
        <v>25.843699999999998</v>
      </c>
      <c r="N3" s="132">
        <v>25.287500000000001</v>
      </c>
      <c r="O3" s="132">
        <v>24.501300000000001</v>
      </c>
      <c r="P3" s="132">
        <v>23.9436</v>
      </c>
      <c r="Q3" s="132">
        <v>23.465199999999996</v>
      </c>
      <c r="R3" s="132">
        <v>23.023699999999998</v>
      </c>
      <c r="S3" s="132">
        <v>22.603499999999997</v>
      </c>
      <c r="T3" s="132">
        <v>22.149799999999999</v>
      </c>
      <c r="U3" s="132">
        <v>21.844700000000003</v>
      </c>
    </row>
    <row r="4" spans="2:21" x14ac:dyDescent="0.25">
      <c r="B4" s="132">
        <v>13</v>
      </c>
      <c r="C4" s="132">
        <v>35.679599999999994</v>
      </c>
      <c r="D4" s="132">
        <v>31.560899999999997</v>
      </c>
      <c r="E4" s="132">
        <v>30.352100000000004</v>
      </c>
      <c r="F4" s="132">
        <v>29.316199999999995</v>
      </c>
      <c r="G4" s="132">
        <v>28.3416</v>
      </c>
      <c r="H4" s="132">
        <v>27.254999999999999</v>
      </c>
      <c r="I4" s="132">
        <v>26.535699999999999</v>
      </c>
      <c r="J4" s="132">
        <v>25.547699999999999</v>
      </c>
      <c r="K4" s="132">
        <v>24.9285</v>
      </c>
      <c r="L4" s="132">
        <v>24.1325</v>
      </c>
      <c r="M4" s="132">
        <v>23.484099999999998</v>
      </c>
      <c r="N4" s="132">
        <v>22.968299999999999</v>
      </c>
      <c r="O4" s="132">
        <v>22.233600000000003</v>
      </c>
      <c r="P4" s="132">
        <v>21.724400000000003</v>
      </c>
      <c r="Q4" s="132">
        <v>21.281599999999997</v>
      </c>
      <c r="R4" s="132">
        <v>20.869199999999999</v>
      </c>
      <c r="S4" s="132">
        <v>20.4788</v>
      </c>
      <c r="T4" s="132">
        <v>20.056699999999999</v>
      </c>
      <c r="U4" s="132">
        <v>19.776400000000002</v>
      </c>
    </row>
    <row r="5" spans="2:21" x14ac:dyDescent="0.25">
      <c r="B5" s="132">
        <v>12</v>
      </c>
      <c r="C5" s="132">
        <v>32.349599999999995</v>
      </c>
      <c r="D5" s="132">
        <v>28.720399999999998</v>
      </c>
      <c r="E5" s="132">
        <v>27.610199999999999</v>
      </c>
      <c r="F5" s="132">
        <v>26.6492</v>
      </c>
      <c r="G5" s="132">
        <v>25.754999999999999</v>
      </c>
      <c r="H5" s="132">
        <v>24.771999999999998</v>
      </c>
      <c r="I5" s="132">
        <v>24.112200000000001</v>
      </c>
      <c r="J5" s="132">
        <v>23.1999</v>
      </c>
      <c r="K5" s="132">
        <v>22.6281</v>
      </c>
      <c r="L5" s="132">
        <v>21.879100000000001</v>
      </c>
      <c r="M5" s="132">
        <v>21.310099999999998</v>
      </c>
      <c r="N5" s="132">
        <v>20.832100000000001</v>
      </c>
      <c r="O5" s="132">
        <v>20.146300000000004</v>
      </c>
      <c r="P5" s="132">
        <v>19.682000000000002</v>
      </c>
      <c r="Q5" s="132">
        <v>19.272599999999997</v>
      </c>
      <c r="R5" s="132">
        <v>18.887699999999999</v>
      </c>
      <c r="S5" s="132">
        <v>18.525300000000001</v>
      </c>
      <c r="T5" s="132">
        <v>18.132999999999999</v>
      </c>
      <c r="U5" s="132">
        <v>17.875700000000002</v>
      </c>
    </row>
    <row r="6" spans="2:21" x14ac:dyDescent="0.25">
      <c r="B6" s="132">
        <v>11</v>
      </c>
      <c r="C6" s="132">
        <v>29.291199999999996</v>
      </c>
      <c r="D6" s="132">
        <v>26.110900000000001</v>
      </c>
      <c r="E6" s="132">
        <v>25.092300000000002</v>
      </c>
      <c r="F6" s="132">
        <v>24.201599999999999</v>
      </c>
      <c r="G6" s="132">
        <v>23.384599999999999</v>
      </c>
      <c r="H6" s="132">
        <v>22.495799999999999</v>
      </c>
      <c r="I6" s="132">
        <v>21.891100000000002</v>
      </c>
      <c r="J6" s="132">
        <v>21.049299999999995</v>
      </c>
      <c r="K6" s="132">
        <v>20.521700000000003</v>
      </c>
      <c r="L6" s="132">
        <v>19.817499999999999</v>
      </c>
      <c r="M6" s="132">
        <v>19.3217</v>
      </c>
      <c r="N6" s="132">
        <v>18.878900000000002</v>
      </c>
      <c r="O6" s="132">
        <v>18.239400000000003</v>
      </c>
      <c r="P6" s="132">
        <v>17.816400000000002</v>
      </c>
      <c r="Q6" s="132">
        <v>17.438199999999998</v>
      </c>
      <c r="R6" s="132">
        <v>17.0792</v>
      </c>
      <c r="S6" s="132">
        <v>16.743000000000002</v>
      </c>
      <c r="T6" s="132">
        <v>16.378700000000002</v>
      </c>
      <c r="U6" s="132">
        <v>16.142600000000002</v>
      </c>
    </row>
    <row r="7" spans="2:21" x14ac:dyDescent="0.25">
      <c r="B7" s="132">
        <v>10</v>
      </c>
      <c r="C7" s="132">
        <v>26.504399999999997</v>
      </c>
      <c r="D7" s="132">
        <v>23.732399999999998</v>
      </c>
      <c r="E7" s="132">
        <v>22.798400000000001</v>
      </c>
      <c r="F7" s="132">
        <v>21.973399999999998</v>
      </c>
      <c r="G7" s="132">
        <v>21.230399999999999</v>
      </c>
      <c r="H7" s="132">
        <v>20.426400000000001</v>
      </c>
      <c r="I7" s="132">
        <v>19.872399999999999</v>
      </c>
      <c r="J7" s="132">
        <v>19.0959</v>
      </c>
      <c r="K7" s="132">
        <v>18.609300000000001</v>
      </c>
      <c r="L7" s="132">
        <v>17.947699999999998</v>
      </c>
      <c r="M7" s="132">
        <v>17.518899999999999</v>
      </c>
      <c r="N7" s="132">
        <v>17.108699999999999</v>
      </c>
      <c r="O7" s="132">
        <v>16.512900000000002</v>
      </c>
      <c r="P7" s="132">
        <v>16.127600000000001</v>
      </c>
      <c r="Q7" s="132">
        <v>15.7784</v>
      </c>
      <c r="R7" s="132">
        <v>15.443699999999998</v>
      </c>
      <c r="S7" s="132">
        <v>15.131899999999998</v>
      </c>
      <c r="T7" s="132">
        <v>14.793799999999999</v>
      </c>
      <c r="U7" s="132">
        <v>14.577100000000002</v>
      </c>
    </row>
    <row r="8" spans="2:21" x14ac:dyDescent="0.25">
      <c r="B8" s="132">
        <v>9</v>
      </c>
      <c r="C8" s="132">
        <v>23.9892</v>
      </c>
      <c r="D8" s="132">
        <v>21.584899999999998</v>
      </c>
      <c r="E8" s="132">
        <v>20.728500000000004</v>
      </c>
      <c r="F8" s="132">
        <v>19.964599999999997</v>
      </c>
      <c r="G8" s="132">
        <v>19.292400000000001</v>
      </c>
      <c r="H8" s="132">
        <v>18.563800000000001</v>
      </c>
      <c r="I8" s="132">
        <v>18.056100000000001</v>
      </c>
      <c r="J8" s="132">
        <v>17.339700000000001</v>
      </c>
      <c r="K8" s="132">
        <v>16.890900000000002</v>
      </c>
      <c r="L8" s="132">
        <v>16.2697</v>
      </c>
      <c r="M8" s="132">
        <v>15.9017</v>
      </c>
      <c r="N8" s="132">
        <v>15.5215</v>
      </c>
      <c r="O8" s="132">
        <v>14.966800000000001</v>
      </c>
      <c r="P8" s="132">
        <v>14.615600000000001</v>
      </c>
      <c r="Q8" s="132">
        <v>14.293199999999999</v>
      </c>
      <c r="R8" s="132">
        <v>13.981199999999999</v>
      </c>
      <c r="S8" s="132">
        <v>13.691999999999998</v>
      </c>
      <c r="T8" s="132">
        <v>13.378299999999999</v>
      </c>
      <c r="U8" s="132">
        <v>13.1792</v>
      </c>
    </row>
    <row r="9" spans="2:21" x14ac:dyDescent="0.25">
      <c r="B9" s="132">
        <v>8</v>
      </c>
      <c r="C9" s="132">
        <v>21.7456</v>
      </c>
      <c r="D9" s="132">
        <v>19.668399999999998</v>
      </c>
      <c r="E9" s="132">
        <v>18.882600000000004</v>
      </c>
      <c r="F9" s="132">
        <v>18.1752</v>
      </c>
      <c r="G9" s="132">
        <v>17.570599999999999</v>
      </c>
      <c r="H9" s="132">
        <v>16.908000000000001</v>
      </c>
      <c r="I9" s="132">
        <v>16.4422</v>
      </c>
      <c r="J9" s="132">
        <v>15.7807</v>
      </c>
      <c r="K9" s="132">
        <v>15.3665</v>
      </c>
      <c r="L9" s="132">
        <v>14.7835</v>
      </c>
      <c r="M9" s="132">
        <v>14.470099999999999</v>
      </c>
      <c r="N9" s="132">
        <v>14.1173</v>
      </c>
      <c r="O9" s="132">
        <v>13.601100000000001</v>
      </c>
      <c r="P9" s="132">
        <v>13.280400000000002</v>
      </c>
      <c r="Q9" s="132">
        <v>12.9826</v>
      </c>
      <c r="R9" s="132">
        <v>12.691699999999999</v>
      </c>
      <c r="S9" s="132">
        <v>12.423299999999999</v>
      </c>
      <c r="T9" s="132">
        <v>12.132200000000001</v>
      </c>
      <c r="U9" s="132">
        <v>11.9489</v>
      </c>
    </row>
    <row r="10" spans="2:21" x14ac:dyDescent="0.25">
      <c r="B10" s="132">
        <v>7</v>
      </c>
      <c r="C10" s="132">
        <v>19.773599999999998</v>
      </c>
      <c r="D10" s="132">
        <v>17.982900000000001</v>
      </c>
      <c r="E10" s="132">
        <v>17.2607</v>
      </c>
      <c r="F10" s="132">
        <v>16.6052</v>
      </c>
      <c r="G10" s="132">
        <v>16.064999999999998</v>
      </c>
      <c r="H10" s="132">
        <v>15.459</v>
      </c>
      <c r="I10" s="132">
        <v>15.030700000000001</v>
      </c>
      <c r="J10" s="132">
        <v>14.418899999999999</v>
      </c>
      <c r="K10" s="132">
        <v>14.036100000000001</v>
      </c>
      <c r="L10" s="132">
        <v>13.489100000000001</v>
      </c>
      <c r="M10" s="132">
        <v>13.2241</v>
      </c>
      <c r="N10" s="132">
        <v>12.896100000000001</v>
      </c>
      <c r="O10" s="132">
        <v>12.415800000000001</v>
      </c>
      <c r="P10" s="132">
        <v>12.122</v>
      </c>
      <c r="Q10" s="132">
        <v>11.846599999999999</v>
      </c>
      <c r="R10" s="132">
        <v>11.575199999999999</v>
      </c>
      <c r="S10" s="132">
        <v>11.325799999999999</v>
      </c>
      <c r="T10" s="132">
        <v>11.0555</v>
      </c>
      <c r="U10" s="132">
        <v>10.886200000000001</v>
      </c>
    </row>
    <row r="11" spans="2:21" x14ac:dyDescent="0.25">
      <c r="B11" s="132">
        <v>6</v>
      </c>
      <c r="C11" s="132">
        <v>18.0732</v>
      </c>
      <c r="D11" s="132">
        <v>16.528399999999998</v>
      </c>
      <c r="E11" s="132">
        <v>15.862800000000002</v>
      </c>
      <c r="F11" s="132">
        <v>15.2546</v>
      </c>
      <c r="G11" s="132">
        <v>14.775600000000001</v>
      </c>
      <c r="H11" s="132">
        <v>14.216799999999999</v>
      </c>
      <c r="I11" s="132">
        <v>13.8216</v>
      </c>
      <c r="J11" s="132">
        <v>13.254299999999999</v>
      </c>
      <c r="K11" s="132">
        <v>12.899700000000001</v>
      </c>
      <c r="L11" s="132">
        <v>12.3865</v>
      </c>
      <c r="M11" s="132">
        <v>12.163699999999999</v>
      </c>
      <c r="N11" s="132">
        <v>11.857900000000001</v>
      </c>
      <c r="O11" s="132">
        <v>11.4109</v>
      </c>
      <c r="P11" s="132">
        <v>11.140400000000001</v>
      </c>
      <c r="Q11" s="132">
        <v>10.885199999999999</v>
      </c>
      <c r="R11" s="132">
        <v>10.6317</v>
      </c>
      <c r="S11" s="132">
        <v>10.3995</v>
      </c>
      <c r="T11" s="132">
        <v>10.148200000000001</v>
      </c>
      <c r="U11" s="132">
        <v>9.9910999999999994</v>
      </c>
    </row>
    <row r="12" spans="2:21" x14ac:dyDescent="0.25">
      <c r="B12" s="132">
        <v>5</v>
      </c>
      <c r="C12" s="132">
        <v>16.644400000000001</v>
      </c>
      <c r="D12" s="132">
        <v>15.3049</v>
      </c>
      <c r="E12" s="132">
        <v>14.688900000000002</v>
      </c>
      <c r="F12" s="132">
        <v>14.1234</v>
      </c>
      <c r="G12" s="132">
        <v>13.702400000000001</v>
      </c>
      <c r="H12" s="132">
        <v>13.1814</v>
      </c>
      <c r="I12" s="132">
        <v>12.814900000000002</v>
      </c>
      <c r="J12" s="132">
        <v>12.286899999999999</v>
      </c>
      <c r="K12" s="132">
        <v>11.9573</v>
      </c>
      <c r="L12" s="132">
        <v>11.4757</v>
      </c>
      <c r="M12" s="132">
        <v>11.2889</v>
      </c>
      <c r="N12" s="132">
        <v>11.002700000000001</v>
      </c>
      <c r="O12" s="132">
        <v>10.586399999999999</v>
      </c>
      <c r="P12" s="132">
        <v>10.335600000000001</v>
      </c>
      <c r="Q12" s="132">
        <v>10.0984</v>
      </c>
      <c r="R12" s="132">
        <v>9.8612000000000002</v>
      </c>
      <c r="S12" s="132">
        <v>9.6443999999999992</v>
      </c>
      <c r="T12" s="132">
        <v>9.4103000000000012</v>
      </c>
      <c r="U12" s="132">
        <v>9.2636000000000003</v>
      </c>
    </row>
    <row r="13" spans="2:21" x14ac:dyDescent="0.25">
      <c r="B13" s="132">
        <v>4</v>
      </c>
      <c r="C13" s="132">
        <v>15.4872</v>
      </c>
      <c r="D13" s="132">
        <v>14.3124</v>
      </c>
      <c r="E13" s="132">
        <v>13.739000000000001</v>
      </c>
      <c r="F13" s="132">
        <v>13.211600000000001</v>
      </c>
      <c r="G13" s="132">
        <v>12.8454</v>
      </c>
      <c r="H13" s="132">
        <v>12.3528</v>
      </c>
      <c r="I13" s="132">
        <v>12.0106</v>
      </c>
      <c r="J13" s="132">
        <v>11.5167</v>
      </c>
      <c r="K13" s="132">
        <v>11.2089</v>
      </c>
      <c r="L13" s="132">
        <v>10.7567</v>
      </c>
      <c r="M13" s="132">
        <v>10.5997</v>
      </c>
      <c r="N13" s="132">
        <v>10.330500000000001</v>
      </c>
      <c r="O13" s="132">
        <v>9.9422999999999995</v>
      </c>
      <c r="P13" s="132">
        <v>9.7076000000000011</v>
      </c>
      <c r="Q13" s="132">
        <v>9.4862000000000002</v>
      </c>
      <c r="R13" s="132">
        <v>9.2637</v>
      </c>
      <c r="S13" s="132">
        <v>9.0604999999999993</v>
      </c>
      <c r="T13" s="132">
        <v>8.841800000000001</v>
      </c>
      <c r="U13" s="132">
        <v>8.7036999999999995</v>
      </c>
    </row>
    <row r="14" spans="2:21" x14ac:dyDescent="0.25">
      <c r="B14" s="132">
        <v>3</v>
      </c>
      <c r="C14" s="132">
        <v>14.601600000000001</v>
      </c>
      <c r="D14" s="132">
        <v>13.5509</v>
      </c>
      <c r="E14" s="132">
        <v>13.013100000000001</v>
      </c>
      <c r="F14" s="132">
        <v>12.5192</v>
      </c>
      <c r="G14" s="132">
        <v>12.204599999999999</v>
      </c>
      <c r="H14" s="132">
        <v>11.731</v>
      </c>
      <c r="I14" s="132">
        <v>11.408700000000001</v>
      </c>
      <c r="J14" s="132">
        <v>10.9437</v>
      </c>
      <c r="K14" s="132">
        <v>10.654500000000001</v>
      </c>
      <c r="L14" s="132">
        <v>10.2295</v>
      </c>
      <c r="M14" s="132">
        <v>10.0961</v>
      </c>
      <c r="N14" s="132">
        <v>9.8413000000000004</v>
      </c>
      <c r="O14" s="132">
        <v>9.4786000000000001</v>
      </c>
      <c r="P14" s="132">
        <v>9.2564000000000011</v>
      </c>
      <c r="Q14" s="132">
        <v>9.0486000000000004</v>
      </c>
      <c r="R14" s="132">
        <v>8.8391999999999999</v>
      </c>
      <c r="S14" s="132">
        <v>8.6478000000000002</v>
      </c>
      <c r="T14" s="132">
        <v>8.4427000000000003</v>
      </c>
      <c r="U14" s="132">
        <v>8.3114000000000008</v>
      </c>
    </row>
    <row r="15" spans="2:21" x14ac:dyDescent="0.25">
      <c r="B15" s="132">
        <v>2</v>
      </c>
      <c r="C15" s="132">
        <v>13.9876</v>
      </c>
      <c r="D15" s="132">
        <v>13.0204</v>
      </c>
      <c r="E15" s="132">
        <v>12.511200000000001</v>
      </c>
      <c r="F15" s="132">
        <v>12.046200000000001</v>
      </c>
      <c r="G15" s="132">
        <v>11.78</v>
      </c>
      <c r="H15" s="132">
        <v>11.316000000000001</v>
      </c>
      <c r="I15" s="132">
        <v>11.009200000000002</v>
      </c>
      <c r="J15" s="132">
        <v>10.5679</v>
      </c>
      <c r="K15" s="132">
        <v>10.2941</v>
      </c>
      <c r="L15" s="132">
        <v>9.8940999999999999</v>
      </c>
      <c r="M15" s="132">
        <v>9.7781000000000002</v>
      </c>
      <c r="N15" s="132">
        <v>9.5350999999999999</v>
      </c>
      <c r="O15" s="132">
        <v>9.1952999999999996</v>
      </c>
      <c r="P15" s="132">
        <v>8.9820000000000011</v>
      </c>
      <c r="Q15" s="132">
        <v>8.7856000000000005</v>
      </c>
      <c r="R15" s="132">
        <v>8.5876999999999999</v>
      </c>
      <c r="S15" s="132">
        <v>8.4062999999999999</v>
      </c>
      <c r="T15" s="132">
        <v>8.213000000000001</v>
      </c>
      <c r="U15" s="132">
        <v>8.0867000000000004</v>
      </c>
    </row>
    <row r="16" spans="2:21" x14ac:dyDescent="0.25">
      <c r="B16" s="132">
        <v>1</v>
      </c>
      <c r="C16" s="132">
        <v>13.645200000000001</v>
      </c>
      <c r="D16" s="132">
        <v>12.7209</v>
      </c>
      <c r="E16" s="132">
        <v>12.233300000000002</v>
      </c>
      <c r="F16" s="132">
        <v>11.7926</v>
      </c>
      <c r="G16" s="132">
        <v>11.5716</v>
      </c>
      <c r="H16" s="132">
        <v>11.107800000000001</v>
      </c>
      <c r="I16" s="132">
        <v>10.812100000000001</v>
      </c>
      <c r="J16" s="132">
        <v>10.3893</v>
      </c>
      <c r="K16" s="132">
        <v>10.127700000000001</v>
      </c>
      <c r="L16" s="132">
        <v>9.7505000000000006</v>
      </c>
      <c r="M16" s="132">
        <v>9.6456999999999997</v>
      </c>
      <c r="N16" s="132">
        <v>9.411900000000001</v>
      </c>
      <c r="O16" s="132">
        <v>9.0923999999999996</v>
      </c>
      <c r="P16" s="132">
        <v>8.8844000000000012</v>
      </c>
      <c r="Q16" s="132">
        <v>8.6972000000000005</v>
      </c>
      <c r="R16" s="132">
        <v>8.5091999999999999</v>
      </c>
      <c r="S16" s="132">
        <v>8.3360000000000003</v>
      </c>
      <c r="T16" s="132">
        <v>8.1527000000000012</v>
      </c>
      <c r="U16" s="132">
        <v>8.0296000000000003</v>
      </c>
    </row>
    <row r="17" spans="2:21" x14ac:dyDescent="0.25">
      <c r="B17" s="132">
        <v>0</v>
      </c>
      <c r="C17" s="132">
        <v>12.811199999999999</v>
      </c>
      <c r="D17" s="132">
        <v>11.895199999999999</v>
      </c>
      <c r="E17" s="132">
        <v>11.4262</v>
      </c>
      <c r="F17" s="132">
        <v>11.0082</v>
      </c>
      <c r="G17" s="132">
        <v>10.850199999999999</v>
      </c>
      <c r="H17" s="132">
        <v>10.3712</v>
      </c>
      <c r="I17" s="132">
        <v>10.061199999999999</v>
      </c>
      <c r="J17" s="132">
        <v>9.6725999999999992</v>
      </c>
      <c r="K17" s="132">
        <v>9.4217999999999993</v>
      </c>
      <c r="L17" s="132">
        <v>9.0617000000000001</v>
      </c>
      <c r="M17" s="132">
        <v>8.9652999999999992</v>
      </c>
      <c r="N17" s="132">
        <v>8.7408999999999999</v>
      </c>
      <c r="O17" s="132">
        <v>8.4391999999999996</v>
      </c>
      <c r="P17" s="132">
        <v>8.2401</v>
      </c>
      <c r="Q17" s="132">
        <v>8.057599999999999</v>
      </c>
      <c r="R17" s="132">
        <v>7.8834</v>
      </c>
      <c r="S17" s="132">
        <v>7.7149000000000001</v>
      </c>
      <c r="T17" s="132">
        <v>7.5419999999999998</v>
      </c>
      <c r="U17" s="132">
        <v>7.4209999999999994</v>
      </c>
    </row>
    <row r="18" spans="2:21" x14ac:dyDescent="0.25">
      <c r="B18" s="132">
        <v>-5</v>
      </c>
      <c r="C18" s="132">
        <v>10.3597</v>
      </c>
      <c r="D18" s="132">
        <v>9.6221999999999994</v>
      </c>
      <c r="E18" s="132">
        <v>9.2407000000000004</v>
      </c>
      <c r="F18" s="132">
        <v>8.8977000000000004</v>
      </c>
      <c r="G18" s="132">
        <v>8.7141999999999982</v>
      </c>
      <c r="H18" s="132">
        <v>8.4527000000000001</v>
      </c>
      <c r="I18" s="132">
        <v>8.1036999999999999</v>
      </c>
      <c r="J18" s="132">
        <v>7.8865999999999996</v>
      </c>
      <c r="K18" s="132">
        <v>7.6767999999999992</v>
      </c>
      <c r="L18" s="132">
        <v>7.3856999999999999</v>
      </c>
      <c r="M18" s="132">
        <v>7.3687999999999994</v>
      </c>
      <c r="N18" s="132">
        <v>7.1844000000000001</v>
      </c>
      <c r="O18" s="132">
        <v>6.9376999999999995</v>
      </c>
      <c r="P18" s="132">
        <v>6.7740999999999998</v>
      </c>
      <c r="Q18" s="132">
        <v>6.6230999999999991</v>
      </c>
      <c r="R18" s="132">
        <v>6.4794</v>
      </c>
      <c r="S18" s="132">
        <v>6.3408999999999995</v>
      </c>
      <c r="T18" s="132">
        <v>6.1995000000000005</v>
      </c>
      <c r="U18" s="132">
        <v>6.1024999999999991</v>
      </c>
    </row>
    <row r="19" spans="2:21" x14ac:dyDescent="0.25">
      <c r="B19" s="132">
        <v>-10</v>
      </c>
      <c r="C19" s="132">
        <v>8.7682000000000002</v>
      </c>
      <c r="D19" s="132">
        <v>8.1441999999999979</v>
      </c>
      <c r="E19" s="132">
        <v>7.815199999999999</v>
      </c>
      <c r="F19" s="132">
        <v>7.5221999999999998</v>
      </c>
      <c r="G19" s="132">
        <v>7.3131999999999984</v>
      </c>
      <c r="H19" s="132">
        <v>7.1641999999999992</v>
      </c>
      <c r="I19" s="132">
        <v>6.8311999999999991</v>
      </c>
      <c r="J19" s="132">
        <v>6.6855999999999991</v>
      </c>
      <c r="K19" s="132">
        <v>6.5017999999999994</v>
      </c>
      <c r="L19" s="132">
        <v>6.2546999999999997</v>
      </c>
      <c r="M19" s="132">
        <v>6.257299999999999</v>
      </c>
      <c r="N19" s="132">
        <v>6.1029</v>
      </c>
      <c r="O19" s="132">
        <v>5.8961999999999994</v>
      </c>
      <c r="P19" s="132">
        <v>5.7580999999999998</v>
      </c>
      <c r="Q19" s="132">
        <v>5.6285999999999987</v>
      </c>
      <c r="R19" s="132">
        <v>5.5053999999999998</v>
      </c>
      <c r="S19" s="132">
        <v>5.3818999999999999</v>
      </c>
      <c r="T19" s="132">
        <v>5.2620000000000005</v>
      </c>
      <c r="U19" s="132">
        <v>5.1839999999999993</v>
      </c>
    </row>
    <row r="20" spans="2:21" x14ac:dyDescent="0.25">
      <c r="B20" s="132">
        <v>-15</v>
      </c>
      <c r="C20" s="132">
        <v>8.0366999999999997</v>
      </c>
      <c r="D20" s="132">
        <v>7.4611999999999981</v>
      </c>
      <c r="E20" s="132">
        <v>7.1496999999999993</v>
      </c>
      <c r="F20" s="132">
        <v>6.8816999999999995</v>
      </c>
      <c r="G20" s="132">
        <v>6.6471999999999989</v>
      </c>
      <c r="H20" s="132">
        <v>6.5056999999999992</v>
      </c>
      <c r="I20" s="132">
        <v>6.2436999999999987</v>
      </c>
      <c r="J20" s="132">
        <v>6.0695999999999994</v>
      </c>
      <c r="K20" s="132">
        <v>5.8967999999999989</v>
      </c>
      <c r="L20" s="132">
        <v>5.6686999999999994</v>
      </c>
      <c r="M20" s="132">
        <v>5.6307999999999989</v>
      </c>
      <c r="N20" s="132">
        <v>5.4963999999999995</v>
      </c>
      <c r="O20" s="132">
        <v>5.3147000000000002</v>
      </c>
      <c r="P20" s="132">
        <v>5.1920999999999999</v>
      </c>
      <c r="Q20" s="132">
        <v>5.0740999999999987</v>
      </c>
      <c r="R20" s="132">
        <v>4.9613999999999994</v>
      </c>
      <c r="S20" s="132">
        <v>4.8378999999999994</v>
      </c>
      <c r="T20" s="132">
        <v>4.7294999999999998</v>
      </c>
      <c r="U20" s="132">
        <v>4.6654999999999989</v>
      </c>
    </row>
    <row r="21" spans="2:21" x14ac:dyDescent="0.25">
      <c r="B21" s="132">
        <v>-20</v>
      </c>
      <c r="C21" s="132">
        <v>8.1652000000000022</v>
      </c>
      <c r="D21" s="132">
        <v>7.5731999999999982</v>
      </c>
      <c r="E21" s="132">
        <v>7.2441999999999993</v>
      </c>
      <c r="F21" s="132">
        <v>6.9762000000000004</v>
      </c>
      <c r="G21" s="132">
        <v>6.7161999999999988</v>
      </c>
      <c r="H21" s="132">
        <v>6.477199999999999</v>
      </c>
      <c r="I21" s="132">
        <v>6.3411999999999988</v>
      </c>
      <c r="J21" s="132">
        <v>6.0385999999999989</v>
      </c>
      <c r="K21" s="132">
        <v>5.8617999999999988</v>
      </c>
      <c r="L21" s="132">
        <v>5.6276999999999999</v>
      </c>
      <c r="M21" s="132">
        <v>5.4892999999999992</v>
      </c>
      <c r="N21" s="132">
        <v>5.3648999999999996</v>
      </c>
      <c r="O21" s="132">
        <v>5.1931999999999992</v>
      </c>
      <c r="P21" s="132">
        <v>5.0761000000000003</v>
      </c>
      <c r="Q21" s="132">
        <v>4.9595999999999982</v>
      </c>
      <c r="R21" s="132">
        <v>4.8473999999999986</v>
      </c>
      <c r="S21" s="132">
        <v>4.7088999999999999</v>
      </c>
      <c r="T21" s="132">
        <v>4.6020000000000003</v>
      </c>
      <c r="U21" s="132">
        <v>4.5469999999999988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U21"/>
  <sheetViews>
    <sheetView workbookViewId="0">
      <selection activeCell="B2" sqref="B2:U21"/>
    </sheetView>
  </sheetViews>
  <sheetFormatPr defaultRowHeight="15" x14ac:dyDescent="0.25"/>
  <sheetData>
    <row r="2" spans="2:21" x14ac:dyDescent="0.25">
      <c r="B2" s="132" t="s">
        <v>0</v>
      </c>
      <c r="C2" s="132">
        <v>2</v>
      </c>
      <c r="D2" s="132">
        <v>2.1</v>
      </c>
      <c r="E2" s="132">
        <v>2.2000000000000002</v>
      </c>
      <c r="F2" s="132">
        <v>2.2999999999999998</v>
      </c>
      <c r="G2" s="132">
        <v>2.4</v>
      </c>
      <c r="H2" s="132">
        <v>2.5</v>
      </c>
      <c r="I2" s="132">
        <v>2.6</v>
      </c>
      <c r="J2" s="132">
        <v>2.7</v>
      </c>
      <c r="K2" s="132">
        <v>2.8</v>
      </c>
      <c r="L2" s="132">
        <v>2.9</v>
      </c>
      <c r="M2" s="132">
        <v>3</v>
      </c>
      <c r="N2" s="132">
        <v>3.1</v>
      </c>
      <c r="O2" s="132">
        <v>3.2</v>
      </c>
      <c r="P2" s="132">
        <v>3.3</v>
      </c>
      <c r="Q2" s="132">
        <v>3.4</v>
      </c>
      <c r="R2" s="132">
        <v>3.5</v>
      </c>
      <c r="S2" s="132">
        <v>3.6</v>
      </c>
      <c r="T2" s="132">
        <v>3.7</v>
      </c>
      <c r="U2" s="132">
        <v>3.8</v>
      </c>
    </row>
    <row r="3" spans="2:21" x14ac:dyDescent="0.25">
      <c r="B3" s="132">
        <v>14</v>
      </c>
      <c r="C3" s="132">
        <v>36.582900000000002</v>
      </c>
      <c r="D3" s="132">
        <v>31.949100000000001</v>
      </c>
      <c r="E3" s="132">
        <v>30.624700000000001</v>
      </c>
      <c r="F3" s="132">
        <v>29.517500000000002</v>
      </c>
      <c r="G3" s="132">
        <v>28.452900000000003</v>
      </c>
      <c r="H3" s="132">
        <v>27.256100000000004</v>
      </c>
      <c r="I3" s="132">
        <v>26.479799999999997</v>
      </c>
      <c r="J3" s="132">
        <v>25.404600000000002</v>
      </c>
      <c r="K3" s="132">
        <v>24.7193</v>
      </c>
      <c r="L3" s="132">
        <v>23.8856</v>
      </c>
      <c r="M3" s="132">
        <v>23.140099999999997</v>
      </c>
      <c r="N3" s="132">
        <v>22.59</v>
      </c>
      <c r="O3" s="132">
        <v>21.805</v>
      </c>
      <c r="P3" s="132">
        <v>21.245200000000004</v>
      </c>
      <c r="Q3" s="132">
        <v>20.761800000000001</v>
      </c>
      <c r="R3" s="132">
        <v>20.332500000000003</v>
      </c>
      <c r="S3" s="132">
        <v>19.908099999999997</v>
      </c>
      <c r="T3" s="132">
        <v>19.441200000000002</v>
      </c>
      <c r="U3" s="132">
        <v>19.137</v>
      </c>
    </row>
    <row r="4" spans="2:21" x14ac:dyDescent="0.25">
      <c r="B4" s="132">
        <v>13</v>
      </c>
      <c r="C4" s="132">
        <v>33.685000000000002</v>
      </c>
      <c r="D4" s="132">
        <v>29.579799999999999</v>
      </c>
      <c r="E4" s="132">
        <v>28.3628</v>
      </c>
      <c r="F4" s="132">
        <v>27.334300000000002</v>
      </c>
      <c r="G4" s="132">
        <v>26.356300000000001</v>
      </c>
      <c r="H4" s="132">
        <v>25.2715</v>
      </c>
      <c r="I4" s="132">
        <v>24.555999999999997</v>
      </c>
      <c r="J4" s="132">
        <v>23.564700000000002</v>
      </c>
      <c r="K4" s="132">
        <v>22.932299999999998</v>
      </c>
      <c r="L4" s="132">
        <v>22.145899999999997</v>
      </c>
      <c r="M4" s="132">
        <v>21.487900000000003</v>
      </c>
      <c r="N4" s="132">
        <v>20.977600000000002</v>
      </c>
      <c r="O4" s="132">
        <v>20.244</v>
      </c>
      <c r="P4" s="132">
        <v>19.733699999999999</v>
      </c>
      <c r="Q4" s="132">
        <v>19.2864</v>
      </c>
      <c r="R4" s="132">
        <v>18.885000000000002</v>
      </c>
      <c r="S4" s="132">
        <v>18.4908</v>
      </c>
      <c r="T4" s="132">
        <v>18.057600000000001</v>
      </c>
      <c r="U4" s="132">
        <v>17.778100000000002</v>
      </c>
    </row>
    <row r="5" spans="2:21" x14ac:dyDescent="0.25">
      <c r="B5" s="132">
        <v>12</v>
      </c>
      <c r="C5" s="132">
        <v>30.974499999999999</v>
      </c>
      <c r="D5" s="132">
        <v>27.357300000000002</v>
      </c>
      <c r="E5" s="132">
        <v>26.240500000000001</v>
      </c>
      <c r="F5" s="132">
        <v>25.286100000000001</v>
      </c>
      <c r="G5" s="132">
        <v>24.390900000000002</v>
      </c>
      <c r="H5" s="132">
        <v>23.408899999999999</v>
      </c>
      <c r="I5" s="132">
        <v>22.750399999999999</v>
      </c>
      <c r="J5" s="132">
        <v>21.837200000000003</v>
      </c>
      <c r="K5" s="132">
        <v>21.254300000000001</v>
      </c>
      <c r="L5" s="132">
        <v>20.513199999999998</v>
      </c>
      <c r="M5" s="132">
        <v>19.936300000000003</v>
      </c>
      <c r="N5" s="132">
        <v>19.463200000000001</v>
      </c>
      <c r="O5" s="132">
        <v>18.778400000000001</v>
      </c>
      <c r="P5" s="132">
        <v>18.313800000000001</v>
      </c>
      <c r="Q5" s="132">
        <v>17.900399999999998</v>
      </c>
      <c r="R5" s="132">
        <v>17.525300000000001</v>
      </c>
      <c r="S5" s="132">
        <v>17.159499999999998</v>
      </c>
      <c r="T5" s="132">
        <v>16.757999999999999</v>
      </c>
      <c r="U5" s="132">
        <v>16.5014</v>
      </c>
    </row>
    <row r="6" spans="2:21" x14ac:dyDescent="0.25">
      <c r="B6" s="132">
        <v>11</v>
      </c>
      <c r="C6" s="132">
        <v>28.4514</v>
      </c>
      <c r="D6" s="132">
        <v>25.281599999999997</v>
      </c>
      <c r="E6" s="132">
        <v>24.2578</v>
      </c>
      <c r="F6" s="132">
        <v>23.372900000000001</v>
      </c>
      <c r="G6" s="132">
        <v>22.556699999999999</v>
      </c>
      <c r="H6" s="132">
        <v>21.668300000000002</v>
      </c>
      <c r="I6" s="132">
        <v>21.062999999999999</v>
      </c>
      <c r="J6" s="132">
        <v>20.222099999999998</v>
      </c>
      <c r="K6" s="132">
        <v>19.685299999999998</v>
      </c>
      <c r="L6" s="132">
        <v>18.987500000000001</v>
      </c>
      <c r="M6" s="132">
        <v>18.485300000000002</v>
      </c>
      <c r="N6" s="132">
        <v>18.046800000000001</v>
      </c>
      <c r="O6" s="132">
        <v>17.408200000000001</v>
      </c>
      <c r="P6" s="132">
        <v>16.985500000000002</v>
      </c>
      <c r="Q6" s="132">
        <v>16.6038</v>
      </c>
      <c r="R6" s="132">
        <v>16.253400000000003</v>
      </c>
      <c r="S6" s="132">
        <v>15.914200000000001</v>
      </c>
      <c r="T6" s="132">
        <v>15.542400000000001</v>
      </c>
      <c r="U6" s="132">
        <v>15.306899999999999</v>
      </c>
    </row>
    <row r="7" spans="2:21" x14ac:dyDescent="0.25">
      <c r="B7" s="132">
        <v>10</v>
      </c>
      <c r="C7" s="132">
        <v>26.1157</v>
      </c>
      <c r="D7" s="132">
        <v>23.352699999999999</v>
      </c>
      <c r="E7" s="132">
        <v>22.4147</v>
      </c>
      <c r="F7" s="132">
        <v>21.5947</v>
      </c>
      <c r="G7" s="132">
        <v>20.8537</v>
      </c>
      <c r="H7" s="132">
        <v>20.049700000000001</v>
      </c>
      <c r="I7" s="132">
        <v>19.4938</v>
      </c>
      <c r="J7" s="132">
        <v>18.7194</v>
      </c>
      <c r="K7" s="132">
        <v>18.225300000000001</v>
      </c>
      <c r="L7" s="132">
        <v>17.5688</v>
      </c>
      <c r="M7" s="132">
        <v>17.134900000000002</v>
      </c>
      <c r="N7" s="132">
        <v>16.728400000000001</v>
      </c>
      <c r="O7" s="132">
        <v>16.133400000000002</v>
      </c>
      <c r="P7" s="132">
        <v>15.748800000000001</v>
      </c>
      <c r="Q7" s="132">
        <v>15.396599999999999</v>
      </c>
      <c r="R7" s="132">
        <v>15.069300000000002</v>
      </c>
      <c r="S7" s="132">
        <v>14.754899999999999</v>
      </c>
      <c r="T7" s="132">
        <v>14.4108</v>
      </c>
      <c r="U7" s="132">
        <v>14.194599999999999</v>
      </c>
    </row>
    <row r="8" spans="2:21" x14ac:dyDescent="0.25">
      <c r="B8" s="132">
        <v>9</v>
      </c>
      <c r="C8" s="132">
        <v>23.967399999999998</v>
      </c>
      <c r="D8" s="132">
        <v>21.570599999999999</v>
      </c>
      <c r="E8" s="132">
        <v>20.711199999999998</v>
      </c>
      <c r="F8" s="132">
        <v>19.951500000000003</v>
      </c>
      <c r="G8" s="132">
        <v>19.2819</v>
      </c>
      <c r="H8" s="132">
        <v>18.553100000000001</v>
      </c>
      <c r="I8" s="132">
        <v>18.0428</v>
      </c>
      <c r="J8" s="132">
        <v>17.3291</v>
      </c>
      <c r="K8" s="132">
        <v>16.874300000000002</v>
      </c>
      <c r="L8" s="132">
        <v>16.257100000000001</v>
      </c>
      <c r="M8" s="132">
        <v>15.885100000000001</v>
      </c>
      <c r="N8" s="132">
        <v>15.508000000000001</v>
      </c>
      <c r="O8" s="132">
        <v>14.954000000000001</v>
      </c>
      <c r="P8" s="132">
        <v>14.6037</v>
      </c>
      <c r="Q8" s="132">
        <v>14.2788</v>
      </c>
      <c r="R8" s="132">
        <v>13.973000000000003</v>
      </c>
      <c r="S8" s="132">
        <v>13.6816</v>
      </c>
      <c r="T8" s="132">
        <v>13.363199999999999</v>
      </c>
      <c r="U8" s="132">
        <v>13.1645</v>
      </c>
    </row>
    <row r="9" spans="2:21" x14ac:dyDescent="0.25">
      <c r="B9" s="132">
        <v>8</v>
      </c>
      <c r="C9" s="132">
        <v>22.006499999999999</v>
      </c>
      <c r="D9" s="132">
        <v>19.935299999999998</v>
      </c>
      <c r="E9" s="132">
        <v>19.147300000000001</v>
      </c>
      <c r="F9" s="132">
        <v>18.443300000000001</v>
      </c>
      <c r="G9" s="132">
        <v>17.8413</v>
      </c>
      <c r="H9" s="132">
        <v>17.1785</v>
      </c>
      <c r="I9" s="132">
        <v>16.71</v>
      </c>
      <c r="J9" s="132">
        <v>16.051200000000001</v>
      </c>
      <c r="K9" s="132">
        <v>15.632300000000001</v>
      </c>
      <c r="L9" s="132">
        <v>15.0524</v>
      </c>
      <c r="M9" s="132">
        <v>14.735900000000001</v>
      </c>
      <c r="N9" s="132">
        <v>14.3856</v>
      </c>
      <c r="O9" s="132">
        <v>13.870000000000001</v>
      </c>
      <c r="P9" s="132">
        <v>13.5502</v>
      </c>
      <c r="Q9" s="132">
        <v>13.250399999999999</v>
      </c>
      <c r="R9" s="132">
        <v>12.964500000000001</v>
      </c>
      <c r="S9" s="132">
        <v>12.6943</v>
      </c>
      <c r="T9" s="132">
        <v>12.3996</v>
      </c>
      <c r="U9" s="132">
        <v>12.2166</v>
      </c>
    </row>
    <row r="10" spans="2:21" x14ac:dyDescent="0.25">
      <c r="B10" s="132">
        <v>7</v>
      </c>
      <c r="C10" s="132">
        <v>20.233000000000001</v>
      </c>
      <c r="D10" s="132">
        <v>18.4468</v>
      </c>
      <c r="E10" s="132">
        <v>17.722999999999999</v>
      </c>
      <c r="F10" s="132">
        <v>17.0701</v>
      </c>
      <c r="G10" s="132">
        <v>16.5319</v>
      </c>
      <c r="H10" s="132">
        <v>15.9259</v>
      </c>
      <c r="I10" s="132">
        <v>15.4954</v>
      </c>
      <c r="J10" s="132">
        <v>14.8857</v>
      </c>
      <c r="K10" s="132">
        <v>14.4993</v>
      </c>
      <c r="L10" s="132">
        <v>13.954700000000001</v>
      </c>
      <c r="M10" s="132">
        <v>13.6873</v>
      </c>
      <c r="N10" s="132">
        <v>13.3612</v>
      </c>
      <c r="O10" s="132">
        <v>12.881400000000001</v>
      </c>
      <c r="P10" s="132">
        <v>12.5883</v>
      </c>
      <c r="Q10" s="132">
        <v>12.311399999999999</v>
      </c>
      <c r="R10" s="132">
        <v>12.043800000000001</v>
      </c>
      <c r="S10" s="132">
        <v>11.792999999999999</v>
      </c>
      <c r="T10" s="132">
        <v>11.52</v>
      </c>
      <c r="U10" s="132">
        <v>11.350899999999999</v>
      </c>
    </row>
    <row r="11" spans="2:21" x14ac:dyDescent="0.25">
      <c r="B11" s="132">
        <v>6</v>
      </c>
      <c r="C11" s="132">
        <v>18.646900000000002</v>
      </c>
      <c r="D11" s="132">
        <v>17.1051</v>
      </c>
      <c r="E11" s="132">
        <v>16.438299999999998</v>
      </c>
      <c r="F11" s="132">
        <v>15.831900000000001</v>
      </c>
      <c r="G11" s="132">
        <v>15.3537</v>
      </c>
      <c r="H11" s="132">
        <v>14.795300000000001</v>
      </c>
      <c r="I11" s="132">
        <v>14.398999999999999</v>
      </c>
      <c r="J11" s="132">
        <v>13.832599999999999</v>
      </c>
      <c r="K11" s="132">
        <v>13.475300000000001</v>
      </c>
      <c r="L11" s="132">
        <v>12.964</v>
      </c>
      <c r="M11" s="132">
        <v>12.7393</v>
      </c>
      <c r="N11" s="132">
        <v>12.434799999999999</v>
      </c>
      <c r="O11" s="132">
        <v>11.988200000000001</v>
      </c>
      <c r="P11" s="132">
        <v>11.718</v>
      </c>
      <c r="Q11" s="132">
        <v>11.4618</v>
      </c>
      <c r="R11" s="132">
        <v>11.210900000000002</v>
      </c>
      <c r="S11" s="132">
        <v>10.9777</v>
      </c>
      <c r="T11" s="132">
        <v>10.724399999999999</v>
      </c>
      <c r="U11" s="132">
        <v>10.567399999999999</v>
      </c>
    </row>
    <row r="12" spans="2:21" x14ac:dyDescent="0.25">
      <c r="B12" s="132">
        <v>5</v>
      </c>
      <c r="C12" s="132">
        <v>17.248200000000001</v>
      </c>
      <c r="D12" s="132">
        <v>15.9102</v>
      </c>
      <c r="E12" s="132">
        <v>15.293199999999999</v>
      </c>
      <c r="F12" s="132">
        <v>14.7287</v>
      </c>
      <c r="G12" s="132">
        <v>14.306699999999999</v>
      </c>
      <c r="H12" s="132">
        <v>13.7867</v>
      </c>
      <c r="I12" s="132">
        <v>13.4208</v>
      </c>
      <c r="J12" s="132">
        <v>12.8919</v>
      </c>
      <c r="K12" s="132">
        <v>12.560300000000002</v>
      </c>
      <c r="L12" s="132">
        <v>12.080299999999999</v>
      </c>
      <c r="M12" s="132">
        <v>11.8919</v>
      </c>
      <c r="N12" s="132">
        <v>11.606400000000001</v>
      </c>
      <c r="O12" s="132">
        <v>11.1904</v>
      </c>
      <c r="P12" s="132">
        <v>10.939300000000001</v>
      </c>
      <c r="Q12" s="132">
        <v>10.701599999999999</v>
      </c>
      <c r="R12" s="132">
        <v>10.465800000000002</v>
      </c>
      <c r="S12" s="132">
        <v>10.2484</v>
      </c>
      <c r="T12" s="132">
        <v>10.0128</v>
      </c>
      <c r="U12" s="132">
        <v>9.8660999999999994</v>
      </c>
    </row>
    <row r="13" spans="2:21" x14ac:dyDescent="0.25">
      <c r="B13" s="132">
        <v>4</v>
      </c>
      <c r="C13" s="132">
        <v>16.036899999999999</v>
      </c>
      <c r="D13" s="132">
        <v>14.862100000000002</v>
      </c>
      <c r="E13" s="132">
        <v>14.287700000000001</v>
      </c>
      <c r="F13" s="132">
        <v>13.7605</v>
      </c>
      <c r="G13" s="132">
        <v>13.3909</v>
      </c>
      <c r="H13" s="132">
        <v>12.9001</v>
      </c>
      <c r="I13" s="132">
        <v>12.5608</v>
      </c>
      <c r="J13" s="132">
        <v>12.063599999999999</v>
      </c>
      <c r="K13" s="132">
        <v>11.754300000000001</v>
      </c>
      <c r="L13" s="132">
        <v>11.303599999999999</v>
      </c>
      <c r="M13" s="132">
        <v>11.145099999999999</v>
      </c>
      <c r="N13" s="132">
        <v>10.875999999999999</v>
      </c>
      <c r="O13" s="132">
        <v>10.488</v>
      </c>
      <c r="P13" s="132">
        <v>10.2522</v>
      </c>
      <c r="Q13" s="132">
        <v>10.030799999999999</v>
      </c>
      <c r="R13" s="132">
        <v>9.8085000000000022</v>
      </c>
      <c r="S13" s="132">
        <v>9.6051000000000002</v>
      </c>
      <c r="T13" s="132">
        <v>9.3852000000000011</v>
      </c>
      <c r="U13" s="132">
        <v>9.2469999999999999</v>
      </c>
    </row>
    <row r="14" spans="2:21" x14ac:dyDescent="0.25">
      <c r="B14" s="132">
        <v>3</v>
      </c>
      <c r="C14" s="132">
        <v>15.013</v>
      </c>
      <c r="D14" s="132">
        <v>13.960800000000001</v>
      </c>
      <c r="E14" s="132">
        <v>13.421799999999999</v>
      </c>
      <c r="F14" s="132">
        <v>12.927300000000001</v>
      </c>
      <c r="G14" s="132">
        <v>12.606300000000001</v>
      </c>
      <c r="H14" s="132">
        <v>12.1355</v>
      </c>
      <c r="I14" s="132">
        <v>11.818999999999999</v>
      </c>
      <c r="J14" s="132">
        <v>11.3477</v>
      </c>
      <c r="K14" s="132">
        <v>11.0573</v>
      </c>
      <c r="L14" s="132">
        <v>10.633900000000001</v>
      </c>
      <c r="M14" s="132">
        <v>10.498899999999999</v>
      </c>
      <c r="N14" s="132">
        <v>10.243600000000001</v>
      </c>
      <c r="O14" s="132">
        <v>9.8810000000000002</v>
      </c>
      <c r="P14" s="132">
        <v>9.6567000000000007</v>
      </c>
      <c r="Q14" s="132">
        <v>9.4494000000000007</v>
      </c>
      <c r="R14" s="132">
        <v>9.2390000000000008</v>
      </c>
      <c r="S14" s="132">
        <v>9.0478000000000005</v>
      </c>
      <c r="T14" s="132">
        <v>8.8415999999999997</v>
      </c>
      <c r="U14" s="132">
        <v>8.7101000000000006</v>
      </c>
    </row>
    <row r="15" spans="2:21" x14ac:dyDescent="0.25">
      <c r="B15" s="132">
        <v>2</v>
      </c>
      <c r="C15" s="132">
        <v>14.176499999999999</v>
      </c>
      <c r="D15" s="132">
        <v>13.206300000000001</v>
      </c>
      <c r="E15" s="132">
        <v>12.695499999999999</v>
      </c>
      <c r="F15" s="132">
        <v>12.229100000000001</v>
      </c>
      <c r="G15" s="132">
        <v>11.9529</v>
      </c>
      <c r="H15" s="132">
        <v>11.492900000000001</v>
      </c>
      <c r="I15" s="132">
        <v>11.195399999999999</v>
      </c>
      <c r="J15" s="132">
        <v>10.744199999999999</v>
      </c>
      <c r="K15" s="132">
        <v>10.4693</v>
      </c>
      <c r="L15" s="132">
        <v>10.071199999999999</v>
      </c>
      <c r="M15" s="132">
        <v>9.9533000000000005</v>
      </c>
      <c r="N15" s="132">
        <v>9.7091999999999992</v>
      </c>
      <c r="O15" s="132">
        <v>9.3694000000000006</v>
      </c>
      <c r="P15" s="132">
        <v>9.1528000000000009</v>
      </c>
      <c r="Q15" s="132">
        <v>8.9573999999999998</v>
      </c>
      <c r="R15" s="132">
        <v>8.7573000000000008</v>
      </c>
      <c r="S15" s="132">
        <v>8.5765000000000011</v>
      </c>
      <c r="T15" s="132">
        <v>8.3819999999999997</v>
      </c>
      <c r="U15" s="132">
        <v>8.2553999999999998</v>
      </c>
    </row>
    <row r="16" spans="2:21" x14ac:dyDescent="0.25">
      <c r="B16" s="132">
        <v>1</v>
      </c>
      <c r="C16" s="132">
        <v>13.5274</v>
      </c>
      <c r="D16" s="132">
        <v>12.598600000000001</v>
      </c>
      <c r="E16" s="132">
        <v>12.1088</v>
      </c>
      <c r="F16" s="132">
        <v>11.665900000000001</v>
      </c>
      <c r="G16" s="132">
        <v>11.4307</v>
      </c>
      <c r="H16" s="132">
        <v>10.972300000000001</v>
      </c>
      <c r="I16" s="132">
        <v>10.69</v>
      </c>
      <c r="J16" s="132">
        <v>10.2531</v>
      </c>
      <c r="K16" s="132">
        <v>9.9902999999999995</v>
      </c>
      <c r="L16" s="132">
        <v>9.6155000000000008</v>
      </c>
      <c r="M16" s="132">
        <v>9.5083000000000002</v>
      </c>
      <c r="N16" s="132">
        <v>9.2728000000000002</v>
      </c>
      <c r="O16" s="132">
        <v>8.9532000000000007</v>
      </c>
      <c r="P16" s="132">
        <v>8.7405000000000008</v>
      </c>
      <c r="Q16" s="132">
        <v>8.5548000000000002</v>
      </c>
      <c r="R16" s="132">
        <v>8.3634000000000022</v>
      </c>
      <c r="S16" s="132">
        <v>8.1912000000000003</v>
      </c>
      <c r="T16" s="132">
        <v>8.0064000000000011</v>
      </c>
      <c r="U16" s="132">
        <v>7.8829000000000002</v>
      </c>
    </row>
    <row r="17" spans="2:21" x14ac:dyDescent="0.25">
      <c r="B17" s="132">
        <v>0</v>
      </c>
      <c r="C17" s="132">
        <v>12.869299999999999</v>
      </c>
      <c r="D17" s="132">
        <v>11.9533</v>
      </c>
      <c r="E17" s="132">
        <v>11.484299999999999</v>
      </c>
      <c r="F17" s="132">
        <v>11.0663</v>
      </c>
      <c r="G17" s="132">
        <v>10.908300000000001</v>
      </c>
      <c r="H17" s="132">
        <v>10.428900000000001</v>
      </c>
      <c r="I17" s="132">
        <v>10.1188</v>
      </c>
      <c r="J17" s="132">
        <v>9.7303999999999995</v>
      </c>
      <c r="K17" s="132">
        <v>9.4795999999999996</v>
      </c>
      <c r="L17" s="132">
        <v>9.1195000000000004</v>
      </c>
      <c r="M17" s="132">
        <v>9.0230999999999995</v>
      </c>
      <c r="N17" s="132">
        <v>8.7987000000000002</v>
      </c>
      <c r="O17" s="132">
        <v>8.4969999999999999</v>
      </c>
      <c r="P17" s="132">
        <v>8.2979000000000003</v>
      </c>
      <c r="Q17" s="132">
        <v>8.1154000000000011</v>
      </c>
      <c r="R17" s="132">
        <v>7.9412000000000003</v>
      </c>
      <c r="S17" s="132">
        <v>7.7727000000000004</v>
      </c>
      <c r="T17" s="132">
        <v>7.5998000000000001</v>
      </c>
      <c r="U17" s="132">
        <v>7.4787999999999997</v>
      </c>
    </row>
    <row r="18" spans="2:21" x14ac:dyDescent="0.25">
      <c r="B18" s="132">
        <v>-5</v>
      </c>
      <c r="C18" s="132">
        <v>10.424299999999999</v>
      </c>
      <c r="D18" s="132">
        <v>9.6868000000000016</v>
      </c>
      <c r="E18" s="132">
        <v>9.305299999999999</v>
      </c>
      <c r="F18" s="132">
        <v>8.962299999999999</v>
      </c>
      <c r="G18" s="132">
        <v>8.7788000000000004</v>
      </c>
      <c r="H18" s="132">
        <v>8.5168999999999997</v>
      </c>
      <c r="I18" s="132">
        <v>8.1677999999999997</v>
      </c>
      <c r="J18" s="132">
        <v>7.950899999999999</v>
      </c>
      <c r="K18" s="132">
        <v>7.7410999999999994</v>
      </c>
      <c r="L18" s="132">
        <v>7.4500000000000011</v>
      </c>
      <c r="M18" s="132">
        <v>7.4330999999999996</v>
      </c>
      <c r="N18" s="132">
        <v>7.2487000000000004</v>
      </c>
      <c r="O18" s="132">
        <v>7.0020000000000007</v>
      </c>
      <c r="P18" s="132">
        <v>6.8384</v>
      </c>
      <c r="Q18" s="132">
        <v>6.6874000000000011</v>
      </c>
      <c r="R18" s="132">
        <v>6.5437000000000003</v>
      </c>
      <c r="S18" s="132">
        <v>6.4052000000000007</v>
      </c>
      <c r="T18" s="132">
        <v>6.2637999999999998</v>
      </c>
      <c r="U18" s="132">
        <v>6.1667999999999994</v>
      </c>
    </row>
    <row r="19" spans="2:21" x14ac:dyDescent="0.25">
      <c r="B19" s="132">
        <v>-10</v>
      </c>
      <c r="C19" s="132">
        <v>8.8292999999999999</v>
      </c>
      <c r="D19" s="132">
        <v>8.2053000000000011</v>
      </c>
      <c r="E19" s="132">
        <v>7.8763000000000005</v>
      </c>
      <c r="F19" s="132">
        <v>7.5833000000000004</v>
      </c>
      <c r="G19" s="132">
        <v>7.3743000000000007</v>
      </c>
      <c r="H19" s="132">
        <v>7.2249000000000008</v>
      </c>
      <c r="I19" s="132">
        <v>6.8917999999999999</v>
      </c>
      <c r="J19" s="132">
        <v>6.7463999999999995</v>
      </c>
      <c r="K19" s="132">
        <v>6.5625999999999998</v>
      </c>
      <c r="L19" s="132">
        <v>6.3155000000000001</v>
      </c>
      <c r="M19" s="132">
        <v>6.3180999999999994</v>
      </c>
      <c r="N19" s="132">
        <v>6.1637000000000004</v>
      </c>
      <c r="O19" s="132">
        <v>5.9570000000000007</v>
      </c>
      <c r="P19" s="132">
        <v>5.8189000000000002</v>
      </c>
      <c r="Q19" s="132">
        <v>5.6894000000000009</v>
      </c>
      <c r="R19" s="132">
        <v>5.5662000000000003</v>
      </c>
      <c r="S19" s="132">
        <v>5.4427000000000003</v>
      </c>
      <c r="T19" s="132">
        <v>5.3228000000000009</v>
      </c>
      <c r="U19" s="132">
        <v>5.2447999999999997</v>
      </c>
    </row>
    <row r="20" spans="2:21" x14ac:dyDescent="0.25">
      <c r="B20" s="132">
        <v>-15</v>
      </c>
      <c r="C20" s="132">
        <v>8.0842999999999989</v>
      </c>
      <c r="D20" s="132">
        <v>7.5088000000000008</v>
      </c>
      <c r="E20" s="132">
        <v>7.1973000000000003</v>
      </c>
      <c r="F20" s="132">
        <v>6.9293000000000005</v>
      </c>
      <c r="G20" s="132">
        <v>6.6948000000000016</v>
      </c>
      <c r="H20" s="132">
        <v>6.5529000000000011</v>
      </c>
      <c r="I20" s="132">
        <v>6.2908000000000008</v>
      </c>
      <c r="J20" s="132">
        <v>6.1168999999999993</v>
      </c>
      <c r="K20" s="132">
        <v>5.9440999999999988</v>
      </c>
      <c r="L20" s="132">
        <v>5.7160000000000002</v>
      </c>
      <c r="M20" s="132">
        <v>5.6780999999999988</v>
      </c>
      <c r="N20" s="132">
        <v>5.5436999999999994</v>
      </c>
      <c r="O20" s="132">
        <v>5.3620000000000001</v>
      </c>
      <c r="P20" s="132">
        <v>5.2394000000000007</v>
      </c>
      <c r="Q20" s="132">
        <v>5.1214000000000013</v>
      </c>
      <c r="R20" s="132">
        <v>5.008700000000001</v>
      </c>
      <c r="S20" s="132">
        <v>4.8852000000000002</v>
      </c>
      <c r="T20" s="132">
        <v>4.7768000000000006</v>
      </c>
      <c r="U20" s="132">
        <v>4.7127999999999997</v>
      </c>
    </row>
    <row r="21" spans="2:21" x14ac:dyDescent="0.25">
      <c r="B21" s="132">
        <v>-20</v>
      </c>
      <c r="C21" s="132">
        <v>8.1893000000000011</v>
      </c>
      <c r="D21" s="132">
        <v>7.5973000000000006</v>
      </c>
      <c r="E21" s="132">
        <v>7.2683000000000018</v>
      </c>
      <c r="F21" s="132">
        <v>7.0003000000000011</v>
      </c>
      <c r="G21" s="132">
        <v>6.7403000000000013</v>
      </c>
      <c r="H21" s="132">
        <v>6.5009000000000006</v>
      </c>
      <c r="I21" s="132">
        <v>6.3648000000000007</v>
      </c>
      <c r="J21" s="132">
        <v>6.0623999999999985</v>
      </c>
      <c r="K21" s="132">
        <v>5.8855999999999993</v>
      </c>
      <c r="L21" s="132">
        <v>5.6515000000000004</v>
      </c>
      <c r="M21" s="132">
        <v>5.5130999999999997</v>
      </c>
      <c r="N21" s="132">
        <v>5.3887</v>
      </c>
      <c r="O21" s="132">
        <v>5.2170000000000005</v>
      </c>
      <c r="P21" s="132">
        <v>5.0998999999999999</v>
      </c>
      <c r="Q21" s="132">
        <v>4.9834000000000014</v>
      </c>
      <c r="R21" s="132">
        <v>4.8712000000000018</v>
      </c>
      <c r="S21" s="132">
        <v>4.7326999999999995</v>
      </c>
      <c r="T21" s="132">
        <v>4.6258000000000008</v>
      </c>
      <c r="U21" s="132">
        <v>4.5707999999999984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X47"/>
  <sheetViews>
    <sheetView topLeftCell="A19" zoomScale="120" zoomScaleNormal="120" workbookViewId="0">
      <selection activeCell="C43" sqref="C43:U43"/>
    </sheetView>
  </sheetViews>
  <sheetFormatPr defaultRowHeight="15" x14ac:dyDescent="0.25"/>
  <cols>
    <col min="4" max="4" width="8.5703125" bestFit="1" customWidth="1"/>
  </cols>
  <sheetData>
    <row r="2" spans="2:21" x14ac:dyDescent="0.25">
      <c r="B2" s="132" t="s">
        <v>0</v>
      </c>
      <c r="C2" s="132">
        <v>2</v>
      </c>
      <c r="D2" s="132">
        <v>2.1</v>
      </c>
      <c r="E2" s="132">
        <v>2.2000000000000002</v>
      </c>
      <c r="F2" s="132">
        <v>2.2999999999999998</v>
      </c>
      <c r="G2" s="132">
        <v>2.4</v>
      </c>
      <c r="H2" s="132">
        <v>2.5</v>
      </c>
      <c r="I2" s="132">
        <v>2.6</v>
      </c>
      <c r="J2" s="132">
        <v>2.7</v>
      </c>
      <c r="K2" s="132">
        <v>2.8</v>
      </c>
      <c r="L2" s="132">
        <v>2.9</v>
      </c>
      <c r="M2" s="132">
        <v>3</v>
      </c>
      <c r="N2" s="132">
        <v>3.1</v>
      </c>
      <c r="O2" s="132">
        <v>3.2</v>
      </c>
      <c r="P2" s="132">
        <v>3.3</v>
      </c>
      <c r="Q2" s="132">
        <v>3.4</v>
      </c>
      <c r="R2" s="132">
        <v>3.5</v>
      </c>
      <c r="S2" s="132">
        <v>3.6</v>
      </c>
      <c r="T2" s="132">
        <v>3.7</v>
      </c>
      <c r="U2" s="132">
        <v>3.8</v>
      </c>
    </row>
    <row r="3" spans="2:21" x14ac:dyDescent="0.25">
      <c r="B3" s="132">
        <v>14</v>
      </c>
      <c r="C3" s="132">
        <v>38.897599999999997</v>
      </c>
      <c r="D3" s="132">
        <v>34.267400000000002</v>
      </c>
      <c r="E3" s="132">
        <v>32.952999999999996</v>
      </c>
      <c r="F3" s="132">
        <v>31.837600000000002</v>
      </c>
      <c r="G3" s="132">
        <v>30.779399999999999</v>
      </c>
      <c r="H3" s="132">
        <v>29.5808</v>
      </c>
      <c r="I3" s="132">
        <v>28.796999999999997</v>
      </c>
      <c r="J3" s="132">
        <v>27.727800000000002</v>
      </c>
      <c r="K3" s="132">
        <v>27.058100000000003</v>
      </c>
      <c r="L3" s="132">
        <v>26.212900000000001</v>
      </c>
      <c r="M3" s="132">
        <v>25.459199999999996</v>
      </c>
      <c r="N3" s="132">
        <v>24.922699999999999</v>
      </c>
      <c r="O3" s="132">
        <v>24.136399999999998</v>
      </c>
      <c r="P3" s="132">
        <v>23.578699999999998</v>
      </c>
      <c r="Q3" s="132">
        <v>23.100300000000004</v>
      </c>
      <c r="R3" s="132">
        <v>22.657500000000002</v>
      </c>
      <c r="S3" s="132">
        <v>22.237299999999998</v>
      </c>
      <c r="T3" s="132">
        <v>21.765299999999996</v>
      </c>
      <c r="U3" s="132">
        <v>21.4603</v>
      </c>
    </row>
    <row r="4" spans="2:21" x14ac:dyDescent="0.25">
      <c r="B4" s="132">
        <v>13</v>
      </c>
      <c r="C4" s="132">
        <v>35.2181</v>
      </c>
      <c r="D4" s="132">
        <v>31.115300000000001</v>
      </c>
      <c r="E4" s="132">
        <v>29.906500000000001</v>
      </c>
      <c r="F4" s="132">
        <v>28.8706</v>
      </c>
      <c r="G4" s="132">
        <v>27.896000000000001</v>
      </c>
      <c r="H4" s="132">
        <v>26.810399999999998</v>
      </c>
      <c r="I4" s="132">
        <v>26.090499999999999</v>
      </c>
      <c r="J4" s="132">
        <v>25.102199999999996</v>
      </c>
      <c r="K4" s="132">
        <v>24.4831</v>
      </c>
      <c r="L4" s="132">
        <v>23.687100000000001</v>
      </c>
      <c r="M4" s="132">
        <v>23.021699999999996</v>
      </c>
      <c r="N4" s="132">
        <v>22.5229</v>
      </c>
      <c r="O4" s="132">
        <v>21.7881</v>
      </c>
      <c r="P4" s="132">
        <v>21.2789</v>
      </c>
      <c r="Q4" s="132">
        <v>20.836100000000002</v>
      </c>
      <c r="R4" s="132">
        <v>20.422499999999999</v>
      </c>
      <c r="S4" s="132">
        <v>20.0321</v>
      </c>
      <c r="T4" s="132">
        <v>19.594299999999997</v>
      </c>
      <c r="U4" s="132">
        <v>19.3141</v>
      </c>
    </row>
    <row r="5" spans="2:21" x14ac:dyDescent="0.25">
      <c r="B5" s="132">
        <v>12</v>
      </c>
      <c r="C5" s="132">
        <v>31.821399999999997</v>
      </c>
      <c r="D5" s="132">
        <v>28.2056</v>
      </c>
      <c r="E5" s="132">
        <v>27.095399999999998</v>
      </c>
      <c r="F5" s="132">
        <v>26.134399999999999</v>
      </c>
      <c r="G5" s="132">
        <v>25.240200000000002</v>
      </c>
      <c r="H5" s="132">
        <v>24.258199999999999</v>
      </c>
      <c r="I5" s="132">
        <v>23.597799999999999</v>
      </c>
      <c r="J5" s="132">
        <v>22.685200000000002</v>
      </c>
      <c r="K5" s="132">
        <v>22.113500000000002</v>
      </c>
      <c r="L5" s="132">
        <v>21.3645</v>
      </c>
      <c r="M5" s="132">
        <v>20.780999999999999</v>
      </c>
      <c r="N5" s="132">
        <v>20.317499999999995</v>
      </c>
      <c r="O5" s="132">
        <v>19.631599999999999</v>
      </c>
      <c r="P5" s="132">
        <v>19.167299999999997</v>
      </c>
      <c r="Q5" s="132">
        <v>18.757899999999999</v>
      </c>
      <c r="R5" s="132">
        <v>18.371900000000004</v>
      </c>
      <c r="S5" s="132">
        <v>18.009499999999996</v>
      </c>
      <c r="T5" s="132">
        <v>17.603899999999999</v>
      </c>
      <c r="U5" s="132">
        <v>17.346700000000002</v>
      </c>
    </row>
    <row r="6" spans="2:21" x14ac:dyDescent="0.25">
      <c r="B6" s="132">
        <v>11</v>
      </c>
      <c r="C6" s="132">
        <v>28.7075</v>
      </c>
      <c r="D6" s="132">
        <v>25.5383</v>
      </c>
      <c r="E6" s="132">
        <v>24.5197</v>
      </c>
      <c r="F6" s="132">
        <v>23.628999999999998</v>
      </c>
      <c r="G6" s="132">
        <v>22.812000000000001</v>
      </c>
      <c r="H6" s="132">
        <v>21.924199999999999</v>
      </c>
      <c r="I6" s="132">
        <v>21.318899999999999</v>
      </c>
      <c r="J6" s="132">
        <v>20.476799999999997</v>
      </c>
      <c r="K6" s="132">
        <v>19.949300000000001</v>
      </c>
      <c r="L6" s="132">
        <v>19.245100000000001</v>
      </c>
      <c r="M6" s="132">
        <v>18.737099999999998</v>
      </c>
      <c r="N6" s="132">
        <v>18.3065</v>
      </c>
      <c r="O6" s="132">
        <v>17.666899999999998</v>
      </c>
      <c r="P6" s="132">
        <v>17.2439</v>
      </c>
      <c r="Q6" s="132">
        <v>16.8657</v>
      </c>
      <c r="R6" s="132">
        <v>16.505700000000001</v>
      </c>
      <c r="S6" s="132">
        <v>16.169499999999999</v>
      </c>
      <c r="T6" s="132">
        <v>15.7941</v>
      </c>
      <c r="U6" s="132">
        <v>15.5581</v>
      </c>
    </row>
    <row r="7" spans="2:21" x14ac:dyDescent="0.25">
      <c r="B7" s="132">
        <v>10</v>
      </c>
      <c r="C7" s="132">
        <v>25.8764</v>
      </c>
      <c r="D7" s="132">
        <v>23.113400000000002</v>
      </c>
      <c r="E7" s="132">
        <v>22.179399999999998</v>
      </c>
      <c r="F7" s="132">
        <v>21.354399999999998</v>
      </c>
      <c r="G7" s="132">
        <v>20.6114</v>
      </c>
      <c r="H7" s="132">
        <v>19.808399999999999</v>
      </c>
      <c r="I7" s="132">
        <v>19.253799999999998</v>
      </c>
      <c r="J7" s="132">
        <v>18.476999999999997</v>
      </c>
      <c r="K7" s="132">
        <v>17.990500000000001</v>
      </c>
      <c r="L7" s="132">
        <v>17.328900000000001</v>
      </c>
      <c r="M7" s="132">
        <v>16.889999999999997</v>
      </c>
      <c r="N7" s="132">
        <v>16.489899999999999</v>
      </c>
      <c r="O7" s="132">
        <v>15.893999999999998</v>
      </c>
      <c r="P7" s="132">
        <v>15.508699999999999</v>
      </c>
      <c r="Q7" s="132">
        <v>15.159500000000001</v>
      </c>
      <c r="R7" s="132">
        <v>14.823900000000002</v>
      </c>
      <c r="S7" s="132">
        <v>14.512099999999998</v>
      </c>
      <c r="T7" s="132">
        <v>14.164899999999999</v>
      </c>
      <c r="U7" s="132">
        <v>13.948300000000001</v>
      </c>
    </row>
    <row r="8" spans="2:21" x14ac:dyDescent="0.25">
      <c r="B8" s="132">
        <v>9</v>
      </c>
      <c r="C8" s="132">
        <v>23.328099999999999</v>
      </c>
      <c r="D8" s="132">
        <v>20.930900000000001</v>
      </c>
      <c r="E8" s="132">
        <v>20.0745</v>
      </c>
      <c r="F8" s="132">
        <v>19.310600000000001</v>
      </c>
      <c r="G8" s="132">
        <v>18.638400000000001</v>
      </c>
      <c r="H8" s="132">
        <v>17.910799999999998</v>
      </c>
      <c r="I8" s="132">
        <v>17.402499999999996</v>
      </c>
      <c r="J8" s="132">
        <v>16.6858</v>
      </c>
      <c r="K8" s="132">
        <v>16.237100000000002</v>
      </c>
      <c r="L8" s="132">
        <v>15.6159</v>
      </c>
      <c r="M8" s="132">
        <v>15.239699999999997</v>
      </c>
      <c r="N8" s="132">
        <v>14.867699999999999</v>
      </c>
      <c r="O8" s="132">
        <v>14.312899999999999</v>
      </c>
      <c r="P8" s="132">
        <v>13.961699999999999</v>
      </c>
      <c r="Q8" s="132">
        <v>13.639300000000002</v>
      </c>
      <c r="R8" s="132">
        <v>13.326500000000001</v>
      </c>
      <c r="S8" s="132">
        <v>13.0373</v>
      </c>
      <c r="T8" s="132">
        <v>12.716299999999999</v>
      </c>
      <c r="U8" s="132">
        <v>12.517300000000001</v>
      </c>
    </row>
    <row r="9" spans="2:21" x14ac:dyDescent="0.25">
      <c r="B9" s="132">
        <v>8</v>
      </c>
      <c r="C9" s="132">
        <v>21.0626</v>
      </c>
      <c r="D9" s="132">
        <v>18.9908</v>
      </c>
      <c r="E9" s="132">
        <v>18.204999999999998</v>
      </c>
      <c r="F9" s="132">
        <v>17.497599999999998</v>
      </c>
      <c r="G9" s="132">
        <v>16.893000000000001</v>
      </c>
      <c r="H9" s="132">
        <v>16.231400000000001</v>
      </c>
      <c r="I9" s="132">
        <v>15.764999999999999</v>
      </c>
      <c r="J9" s="132">
        <v>15.103199999999999</v>
      </c>
      <c r="K9" s="132">
        <v>14.6891</v>
      </c>
      <c r="L9" s="132">
        <v>14.106100000000001</v>
      </c>
      <c r="M9" s="132">
        <v>13.786199999999997</v>
      </c>
      <c r="N9" s="132">
        <v>13.439899999999998</v>
      </c>
      <c r="O9" s="132">
        <v>12.923599999999999</v>
      </c>
      <c r="P9" s="132">
        <v>12.6029</v>
      </c>
      <c r="Q9" s="132">
        <v>12.305100000000001</v>
      </c>
      <c r="R9" s="132">
        <v>12.013500000000001</v>
      </c>
      <c r="S9" s="132">
        <v>11.745099999999999</v>
      </c>
      <c r="T9" s="132">
        <v>11.4483</v>
      </c>
      <c r="U9" s="132">
        <v>11.2651</v>
      </c>
    </row>
    <row r="10" spans="2:21" x14ac:dyDescent="0.25">
      <c r="B10" s="132">
        <v>7</v>
      </c>
      <c r="C10" s="132">
        <v>19.079899999999999</v>
      </c>
      <c r="D10" s="132">
        <v>17.293100000000003</v>
      </c>
      <c r="E10" s="132">
        <v>16.570899999999998</v>
      </c>
      <c r="F10" s="132">
        <v>15.9154</v>
      </c>
      <c r="G10" s="132">
        <v>15.3752</v>
      </c>
      <c r="H10" s="132">
        <v>14.770199999999999</v>
      </c>
      <c r="I10" s="132">
        <v>14.341299999999999</v>
      </c>
      <c r="J10" s="132">
        <v>13.729199999999999</v>
      </c>
      <c r="K10" s="132">
        <v>13.346500000000001</v>
      </c>
      <c r="L10" s="132">
        <v>12.7995</v>
      </c>
      <c r="M10" s="132">
        <v>12.529499999999999</v>
      </c>
      <c r="N10" s="132">
        <v>12.206499999999998</v>
      </c>
      <c r="O10" s="132">
        <v>11.726099999999999</v>
      </c>
      <c r="P10" s="132">
        <v>11.4323</v>
      </c>
      <c r="Q10" s="132">
        <v>11.1569</v>
      </c>
      <c r="R10" s="132">
        <v>10.8849</v>
      </c>
      <c r="S10" s="132">
        <v>10.6355</v>
      </c>
      <c r="T10" s="132">
        <v>10.360899999999999</v>
      </c>
      <c r="U10" s="132">
        <v>10.191700000000001</v>
      </c>
    </row>
    <row r="11" spans="2:21" x14ac:dyDescent="0.25">
      <c r="B11" s="132">
        <v>6</v>
      </c>
      <c r="C11" s="132">
        <v>17.38</v>
      </c>
      <c r="D11" s="132">
        <v>15.837800000000001</v>
      </c>
      <c r="E11" s="132">
        <v>15.172199999999998</v>
      </c>
      <c r="F11" s="132">
        <v>14.564</v>
      </c>
      <c r="G11" s="132">
        <v>14.085000000000001</v>
      </c>
      <c r="H11" s="132">
        <v>13.527199999999999</v>
      </c>
      <c r="I11" s="132">
        <v>13.131399999999999</v>
      </c>
      <c r="J11" s="132">
        <v>12.563799999999999</v>
      </c>
      <c r="K11" s="132">
        <v>12.209300000000001</v>
      </c>
      <c r="L11" s="132">
        <v>11.696100000000001</v>
      </c>
      <c r="M11" s="132">
        <v>11.4696</v>
      </c>
      <c r="N11" s="132">
        <v>11.167499999999999</v>
      </c>
      <c r="O11" s="132">
        <v>10.720399999999998</v>
      </c>
      <c r="P11" s="132">
        <v>10.4499</v>
      </c>
      <c r="Q11" s="132">
        <v>10.194700000000001</v>
      </c>
      <c r="R11" s="132">
        <v>9.9406999999999996</v>
      </c>
      <c r="S11" s="132">
        <v>9.708499999999999</v>
      </c>
      <c r="T11" s="132">
        <v>9.4541000000000004</v>
      </c>
      <c r="U11" s="132">
        <v>9.2971000000000004</v>
      </c>
    </row>
    <row r="12" spans="2:21" x14ac:dyDescent="0.25">
      <c r="B12" s="132">
        <v>5</v>
      </c>
      <c r="C12" s="132">
        <v>15.962899999999999</v>
      </c>
      <c r="D12" s="132">
        <v>14.6249</v>
      </c>
      <c r="E12" s="132">
        <v>14.008899999999997</v>
      </c>
      <c r="F12" s="132">
        <v>13.443399999999999</v>
      </c>
      <c r="G12" s="132">
        <v>13.022399999999999</v>
      </c>
      <c r="H12" s="132">
        <v>12.5024</v>
      </c>
      <c r="I12" s="132">
        <v>12.135299999999999</v>
      </c>
      <c r="J12" s="132">
        <v>11.606999999999999</v>
      </c>
      <c r="K12" s="132">
        <v>11.2775</v>
      </c>
      <c r="L12" s="132">
        <v>10.7959</v>
      </c>
      <c r="M12" s="132">
        <v>10.606499999999999</v>
      </c>
      <c r="N12" s="132">
        <v>10.322899999999999</v>
      </c>
      <c r="O12" s="132">
        <v>9.9064999999999994</v>
      </c>
      <c r="P12" s="132">
        <v>9.6556999999999995</v>
      </c>
      <c r="Q12" s="132">
        <v>9.4185000000000016</v>
      </c>
      <c r="R12" s="132">
        <v>9.1809000000000012</v>
      </c>
      <c r="S12" s="132">
        <v>8.9641000000000002</v>
      </c>
      <c r="T12" s="132">
        <v>8.7279</v>
      </c>
      <c r="U12" s="132">
        <v>8.5813000000000006</v>
      </c>
    </row>
    <row r="13" spans="2:21" x14ac:dyDescent="0.25">
      <c r="B13" s="132">
        <v>4</v>
      </c>
      <c r="C13" s="132">
        <v>14.828599999999998</v>
      </c>
      <c r="D13" s="132">
        <v>13.654400000000001</v>
      </c>
      <c r="E13" s="132">
        <v>13.080999999999998</v>
      </c>
      <c r="F13" s="132">
        <v>12.553599999999999</v>
      </c>
      <c r="G13" s="132">
        <v>12.1874</v>
      </c>
      <c r="H13" s="132">
        <v>11.695799999999998</v>
      </c>
      <c r="I13" s="132">
        <v>11.352999999999998</v>
      </c>
      <c r="J13" s="132">
        <v>10.858799999999999</v>
      </c>
      <c r="K13" s="132">
        <v>10.5511</v>
      </c>
      <c r="L13" s="132">
        <v>10.0989</v>
      </c>
      <c r="M13" s="132">
        <v>9.940199999999999</v>
      </c>
      <c r="N13" s="132">
        <v>9.672699999999999</v>
      </c>
      <c r="O13" s="132">
        <v>9.284399999999998</v>
      </c>
      <c r="P13" s="132">
        <v>9.0496999999999996</v>
      </c>
      <c r="Q13" s="132">
        <v>8.8283000000000005</v>
      </c>
      <c r="R13" s="132">
        <v>8.6054999999999993</v>
      </c>
      <c r="S13" s="132">
        <v>8.4023000000000003</v>
      </c>
      <c r="T13" s="132">
        <v>8.1822999999999997</v>
      </c>
      <c r="U13" s="132">
        <v>8.0442999999999998</v>
      </c>
    </row>
    <row r="14" spans="2:21" x14ac:dyDescent="0.25">
      <c r="B14" s="132">
        <v>3</v>
      </c>
      <c r="C14" s="132">
        <v>13.977099999999998</v>
      </c>
      <c r="D14" s="132">
        <v>12.926300000000001</v>
      </c>
      <c r="E14" s="132">
        <v>12.388499999999999</v>
      </c>
      <c r="F14" s="132">
        <v>11.894599999999999</v>
      </c>
      <c r="G14" s="132">
        <v>11.58</v>
      </c>
      <c r="H14" s="132">
        <v>11.107399999999998</v>
      </c>
      <c r="I14" s="132">
        <v>10.7845</v>
      </c>
      <c r="J14" s="132">
        <v>10.319199999999999</v>
      </c>
      <c r="K14" s="132">
        <v>10.030100000000001</v>
      </c>
      <c r="L14" s="132">
        <v>9.6051000000000002</v>
      </c>
      <c r="M14" s="132">
        <v>9.470699999999999</v>
      </c>
      <c r="N14" s="132">
        <v>9.216899999999999</v>
      </c>
      <c r="O14" s="132">
        <v>8.854099999999999</v>
      </c>
      <c r="P14" s="132">
        <v>8.6318999999999999</v>
      </c>
      <c r="Q14" s="132">
        <v>8.424100000000001</v>
      </c>
      <c r="R14" s="132">
        <v>8.214500000000001</v>
      </c>
      <c r="S14" s="132">
        <v>8.0230999999999995</v>
      </c>
      <c r="T14" s="132">
        <v>7.8172999999999995</v>
      </c>
      <c r="U14" s="132">
        <v>7.6860999999999997</v>
      </c>
    </row>
    <row r="15" spans="2:21" x14ac:dyDescent="0.25">
      <c r="B15" s="132">
        <v>2</v>
      </c>
      <c r="C15" s="132">
        <v>13.4084</v>
      </c>
      <c r="D15" s="132">
        <v>12.4406</v>
      </c>
      <c r="E15" s="132">
        <v>11.931399999999998</v>
      </c>
      <c r="F15" s="132">
        <v>11.466399999999998</v>
      </c>
      <c r="G15" s="132">
        <v>11.200200000000001</v>
      </c>
      <c r="H15" s="132">
        <v>10.7372</v>
      </c>
      <c r="I15" s="132">
        <v>10.429799999999998</v>
      </c>
      <c r="J15" s="132">
        <v>9.9881999999999991</v>
      </c>
      <c r="K15" s="132">
        <v>9.714500000000001</v>
      </c>
      <c r="L15" s="132">
        <v>9.3145000000000007</v>
      </c>
      <c r="M15" s="132">
        <v>9.1979999999999986</v>
      </c>
      <c r="N15" s="132">
        <v>8.9554999999999989</v>
      </c>
      <c r="O15" s="132">
        <v>8.6155999999999988</v>
      </c>
      <c r="P15" s="132">
        <v>8.4023000000000003</v>
      </c>
      <c r="Q15" s="132">
        <v>8.2058999999999997</v>
      </c>
      <c r="R15" s="132">
        <v>8.0078999999999994</v>
      </c>
      <c r="S15" s="132">
        <v>7.8264999999999993</v>
      </c>
      <c r="T15" s="132">
        <v>7.6328999999999994</v>
      </c>
      <c r="U15" s="132">
        <v>7.5066999999999995</v>
      </c>
    </row>
    <row r="16" spans="2:21" x14ac:dyDescent="0.25">
      <c r="B16" s="132">
        <v>1</v>
      </c>
      <c r="C16" s="132">
        <v>13.122499999999999</v>
      </c>
      <c r="D16" s="132">
        <v>12.1973</v>
      </c>
      <c r="E16" s="132">
        <v>11.709699999999998</v>
      </c>
      <c r="F16" s="132">
        <v>11.268999999999998</v>
      </c>
      <c r="G16" s="132">
        <v>11.048</v>
      </c>
      <c r="H16" s="132">
        <v>10.585199999999999</v>
      </c>
      <c r="I16" s="132">
        <v>10.288899999999998</v>
      </c>
      <c r="J16" s="132">
        <v>9.8657999999999983</v>
      </c>
      <c r="K16" s="132">
        <v>9.6043000000000003</v>
      </c>
      <c r="L16" s="132">
        <v>9.2271000000000001</v>
      </c>
      <c r="M16" s="132">
        <v>9.1220999999999979</v>
      </c>
      <c r="N16" s="132">
        <v>8.8884999999999987</v>
      </c>
      <c r="O16" s="132">
        <v>8.5688999999999993</v>
      </c>
      <c r="P16" s="132">
        <v>8.3608999999999991</v>
      </c>
      <c r="Q16" s="132">
        <v>8.1737000000000002</v>
      </c>
      <c r="R16" s="132">
        <v>7.9856999999999996</v>
      </c>
      <c r="S16" s="132">
        <v>7.8125</v>
      </c>
      <c r="T16" s="132">
        <v>7.6290999999999993</v>
      </c>
      <c r="U16" s="132">
        <v>7.5060999999999991</v>
      </c>
    </row>
    <row r="17" spans="2:24" x14ac:dyDescent="0.25">
      <c r="B17" s="132">
        <v>0</v>
      </c>
      <c r="C17" s="132">
        <v>12.311199999999999</v>
      </c>
      <c r="D17" s="132">
        <v>11.395199999999999</v>
      </c>
      <c r="E17" s="132">
        <v>10.9262</v>
      </c>
      <c r="F17" s="132">
        <v>10.4902</v>
      </c>
      <c r="G17" s="132">
        <v>10.350199999999999</v>
      </c>
      <c r="H17" s="132">
        <v>9.8704999999999998</v>
      </c>
      <c r="I17" s="132">
        <v>9.5603999999999996</v>
      </c>
      <c r="J17" s="132">
        <v>9.1719999999999988</v>
      </c>
      <c r="K17" s="132">
        <v>8.9211999999999989</v>
      </c>
      <c r="L17" s="132">
        <v>8.5610999999999997</v>
      </c>
      <c r="M17" s="132">
        <v>8.4647000000000006</v>
      </c>
      <c r="N17" s="132">
        <v>8.2402999999999995</v>
      </c>
      <c r="O17" s="132">
        <v>7.9386000000000001</v>
      </c>
      <c r="P17" s="132">
        <v>7.7394999999999996</v>
      </c>
      <c r="Q17" s="132">
        <v>7.5569999999999995</v>
      </c>
      <c r="R17" s="132">
        <v>7.3827999999999996</v>
      </c>
      <c r="S17" s="132">
        <v>7.2142999999999997</v>
      </c>
      <c r="T17" s="132">
        <v>7.0413999999999994</v>
      </c>
      <c r="U17" s="132">
        <v>6.9203999999999999</v>
      </c>
    </row>
    <row r="18" spans="2:24" x14ac:dyDescent="0.25">
      <c r="B18" s="132">
        <v>-5</v>
      </c>
      <c r="C18" s="132">
        <v>9.9596999999999998</v>
      </c>
      <c r="D18" s="132">
        <v>9.2221999999999991</v>
      </c>
      <c r="E18" s="132">
        <v>8.8407</v>
      </c>
      <c r="F18" s="132">
        <v>8.3546999999999993</v>
      </c>
      <c r="G18" s="132">
        <v>8.3141999999999996</v>
      </c>
      <c r="H18" s="132">
        <v>8.0519999999999996</v>
      </c>
      <c r="I18" s="132">
        <v>7.7028999999999996</v>
      </c>
      <c r="J18" s="132">
        <v>7.4859999999999989</v>
      </c>
      <c r="K18" s="132">
        <v>7.2761999999999993</v>
      </c>
      <c r="L18" s="132">
        <v>6.9850999999999992</v>
      </c>
      <c r="M18" s="132">
        <v>6.9682000000000004</v>
      </c>
      <c r="N18" s="132">
        <v>6.7837999999999994</v>
      </c>
      <c r="O18" s="132">
        <v>6.5370999999999997</v>
      </c>
      <c r="P18" s="132">
        <v>6.3734999999999999</v>
      </c>
      <c r="Q18" s="132">
        <v>6.2224999999999993</v>
      </c>
      <c r="R18" s="132">
        <v>6.0787999999999993</v>
      </c>
      <c r="S18" s="132">
        <v>5.9402999999999997</v>
      </c>
      <c r="T18" s="132">
        <v>5.7988999999999997</v>
      </c>
      <c r="U18" s="132">
        <v>5.7019000000000002</v>
      </c>
      <c r="X18">
        <f>80/5</f>
        <v>16</v>
      </c>
    </row>
    <row r="19" spans="2:24" x14ac:dyDescent="0.25">
      <c r="B19" s="132">
        <v>-10</v>
      </c>
      <c r="C19" s="132">
        <v>8.4681999999999995</v>
      </c>
      <c r="D19" s="132">
        <v>7.844199999999999</v>
      </c>
      <c r="E19" s="132">
        <v>7.5152000000000001</v>
      </c>
      <c r="F19" s="132">
        <v>6.9991999999999983</v>
      </c>
      <c r="G19" s="132">
        <v>7.0131999999999994</v>
      </c>
      <c r="H19" s="132">
        <v>6.8634999999999993</v>
      </c>
      <c r="I19" s="132">
        <v>6.5303999999999993</v>
      </c>
      <c r="J19" s="132">
        <v>6.384999999999998</v>
      </c>
      <c r="K19" s="132">
        <v>6.2011999999999983</v>
      </c>
      <c r="L19" s="132">
        <v>5.9540999999999995</v>
      </c>
      <c r="M19" s="132">
        <v>5.9567000000000005</v>
      </c>
      <c r="N19" s="132">
        <v>5.8022999999999989</v>
      </c>
      <c r="O19" s="132">
        <v>5.5955999999999992</v>
      </c>
      <c r="P19" s="132">
        <v>5.4574999999999996</v>
      </c>
      <c r="Q19" s="132">
        <v>5.3279999999999994</v>
      </c>
      <c r="R19" s="132">
        <v>5.2047999999999988</v>
      </c>
      <c r="S19" s="132">
        <v>5.0812999999999997</v>
      </c>
      <c r="T19" s="132">
        <v>4.9613999999999994</v>
      </c>
      <c r="U19" s="132">
        <v>4.8834</v>
      </c>
    </row>
    <row r="20" spans="2:24" x14ac:dyDescent="0.25">
      <c r="B20" s="132">
        <v>-15</v>
      </c>
      <c r="C20" s="132">
        <v>7.8366999999999996</v>
      </c>
      <c r="D20" s="132">
        <v>7.2611999999999988</v>
      </c>
      <c r="E20" s="132">
        <v>6.9496999999999991</v>
      </c>
      <c r="F20" s="132">
        <v>6.4236999999999984</v>
      </c>
      <c r="G20" s="132">
        <v>6.4471999999999987</v>
      </c>
      <c r="H20" s="132">
        <v>6.3049999999999997</v>
      </c>
      <c r="I20" s="132">
        <v>6.0428999999999995</v>
      </c>
      <c r="J20" s="132">
        <v>5.868999999999998</v>
      </c>
      <c r="K20" s="132">
        <v>5.6961999999999993</v>
      </c>
      <c r="L20" s="132">
        <v>5.4680999999999997</v>
      </c>
      <c r="M20" s="132">
        <v>5.430200000000001</v>
      </c>
      <c r="N20" s="132">
        <v>5.2957999999999981</v>
      </c>
      <c r="O20" s="132">
        <v>5.1140999999999988</v>
      </c>
      <c r="P20" s="132">
        <v>4.9914999999999994</v>
      </c>
      <c r="Q20" s="132">
        <v>4.8734999999999999</v>
      </c>
      <c r="R20" s="132">
        <v>4.7607999999999997</v>
      </c>
      <c r="S20" s="132">
        <v>4.6372999999999998</v>
      </c>
      <c r="T20" s="132">
        <v>4.5288999999999984</v>
      </c>
      <c r="U20" s="132">
        <v>4.4648999999999992</v>
      </c>
    </row>
    <row r="21" spans="2:24" x14ac:dyDescent="0.25">
      <c r="B21" s="132">
        <v>-20</v>
      </c>
      <c r="C21" s="132">
        <v>8.0651999999999973</v>
      </c>
      <c r="D21" s="132">
        <v>7.4731999999999985</v>
      </c>
      <c r="E21" s="132">
        <v>7.1441999999999997</v>
      </c>
      <c r="F21" s="132">
        <v>6.6281999999999979</v>
      </c>
      <c r="G21" s="132">
        <v>6.6161999999999992</v>
      </c>
      <c r="H21" s="132">
        <v>6.3764999999999992</v>
      </c>
      <c r="I21" s="132">
        <v>6.2403999999999993</v>
      </c>
      <c r="J21" s="132">
        <v>5.9379999999999971</v>
      </c>
      <c r="K21" s="132">
        <v>5.7611999999999988</v>
      </c>
      <c r="L21" s="132">
        <v>5.5270999999999999</v>
      </c>
      <c r="M21" s="132">
        <v>5.3887000000000009</v>
      </c>
      <c r="N21" s="132">
        <v>5.2642999999999986</v>
      </c>
      <c r="O21" s="132">
        <v>5.0925999999999991</v>
      </c>
      <c r="P21" s="132">
        <v>4.9754999999999994</v>
      </c>
      <c r="Q21" s="132">
        <v>4.859</v>
      </c>
      <c r="R21" s="132">
        <v>4.7467999999999986</v>
      </c>
      <c r="S21" s="132">
        <v>4.6082999999999998</v>
      </c>
      <c r="T21" s="132">
        <v>4.5013999999999985</v>
      </c>
      <c r="U21" s="132">
        <v>4.4463999999999997</v>
      </c>
    </row>
    <row r="22" spans="2:24" ht="15.75" thickBot="1" x14ac:dyDescent="0.3"/>
    <row r="23" spans="2:24" ht="15.75" thickBot="1" x14ac:dyDescent="0.3">
      <c r="B23" s="153">
        <v>915</v>
      </c>
      <c r="C23" s="150">
        <v>2</v>
      </c>
      <c r="D23" s="148">
        <v>2.1</v>
      </c>
      <c r="E23" s="148">
        <v>2.2000000000000002</v>
      </c>
      <c r="F23" s="148">
        <v>2.2999999999999998</v>
      </c>
      <c r="G23" s="148">
        <v>2.4</v>
      </c>
      <c r="H23" s="148">
        <v>2.5</v>
      </c>
      <c r="I23" s="148">
        <v>2.6</v>
      </c>
      <c r="J23" s="148">
        <v>2.7</v>
      </c>
      <c r="K23" s="148">
        <v>2.8</v>
      </c>
      <c r="L23" s="148">
        <v>2.9</v>
      </c>
      <c r="M23" s="148">
        <v>3</v>
      </c>
      <c r="N23" s="148">
        <v>3.1</v>
      </c>
      <c r="O23" s="148">
        <v>3.2</v>
      </c>
      <c r="P23" s="148">
        <v>3.3</v>
      </c>
      <c r="Q23" s="148">
        <v>3.4</v>
      </c>
      <c r="R23" s="148">
        <v>3.5</v>
      </c>
      <c r="S23" s="148">
        <v>3.6</v>
      </c>
      <c r="T23" s="148">
        <v>3.7</v>
      </c>
      <c r="U23" s="149">
        <v>3.8</v>
      </c>
    </row>
    <row r="24" spans="2:24" x14ac:dyDescent="0.25">
      <c r="B24" s="154">
        <v>20</v>
      </c>
      <c r="C24" s="151">
        <v>48.4375</v>
      </c>
      <c r="D24" s="147">
        <v>48.75</v>
      </c>
      <c r="E24" s="147">
        <v>50</v>
      </c>
      <c r="F24" s="147">
        <v>51</v>
      </c>
      <c r="G24" s="147">
        <v>52.1875</v>
      </c>
      <c r="H24" s="147">
        <v>53.375</v>
      </c>
      <c r="I24" s="147">
        <v>54.75</v>
      </c>
      <c r="J24" s="147">
        <v>55.875</v>
      </c>
      <c r="K24" s="147">
        <v>57.125</v>
      </c>
      <c r="L24" s="147">
        <v>58.25</v>
      </c>
      <c r="M24" s="147">
        <v>59.375</v>
      </c>
      <c r="N24" s="147">
        <v>60.4375</v>
      </c>
      <c r="O24" s="147">
        <v>61.5625</v>
      </c>
      <c r="P24" s="147">
        <v>62.6875</v>
      </c>
      <c r="Q24" s="147">
        <v>64.125</v>
      </c>
      <c r="R24" s="147">
        <v>65.375</v>
      </c>
      <c r="S24" s="147">
        <v>66.625</v>
      </c>
      <c r="T24" s="147">
        <v>68</v>
      </c>
      <c r="U24" s="147">
        <v>69.375</v>
      </c>
    </row>
    <row r="25" spans="2:24" x14ac:dyDescent="0.25">
      <c r="B25" s="155">
        <v>19</v>
      </c>
      <c r="C25" s="152">
        <v>44.125</v>
      </c>
      <c r="D25" s="1">
        <v>44.125</v>
      </c>
      <c r="E25" s="1">
        <v>45.0625</v>
      </c>
      <c r="F25" s="1">
        <v>45.9375</v>
      </c>
      <c r="G25" s="1">
        <v>46.6875</v>
      </c>
      <c r="H25" s="1">
        <v>47.5</v>
      </c>
      <c r="I25" s="1">
        <v>48.5</v>
      </c>
      <c r="J25" s="1">
        <v>49.25</v>
      </c>
      <c r="K25" s="1">
        <v>49.9375</v>
      </c>
      <c r="L25" s="1">
        <v>50.625</v>
      </c>
      <c r="M25" s="1">
        <v>51.25</v>
      </c>
      <c r="N25" s="1">
        <v>52</v>
      </c>
      <c r="O25" s="1">
        <v>52.75</v>
      </c>
      <c r="P25" s="1">
        <v>53.4375</v>
      </c>
      <c r="Q25" s="1">
        <v>54.1875</v>
      </c>
      <c r="R25" s="1">
        <v>54.8125</v>
      </c>
      <c r="S25" s="1">
        <v>55.3125</v>
      </c>
      <c r="T25" s="1">
        <v>55.875</v>
      </c>
      <c r="U25" s="1">
        <v>56.125</v>
      </c>
    </row>
    <row r="26" spans="2:24" x14ac:dyDescent="0.25">
      <c r="B26" s="155">
        <v>18</v>
      </c>
      <c r="C26" s="152">
        <v>39.125</v>
      </c>
      <c r="D26" s="1">
        <v>38.75</v>
      </c>
      <c r="E26" s="1">
        <v>39.4375</v>
      </c>
      <c r="F26" s="1">
        <v>40</v>
      </c>
      <c r="G26" s="1">
        <v>40.375</v>
      </c>
      <c r="H26" s="1">
        <v>40.8125</v>
      </c>
      <c r="I26" s="1">
        <v>41.3125</v>
      </c>
      <c r="J26" s="1">
        <v>41.625</v>
      </c>
      <c r="K26" s="1">
        <v>42.125</v>
      </c>
      <c r="L26" s="1">
        <v>42.5625</v>
      </c>
      <c r="M26" s="1">
        <v>43</v>
      </c>
      <c r="N26" s="1">
        <v>43.375</v>
      </c>
      <c r="O26" s="1">
        <v>43.6875</v>
      </c>
      <c r="P26" s="1">
        <v>43.875</v>
      </c>
      <c r="Q26" s="1">
        <v>44.0625</v>
      </c>
      <c r="R26" s="1">
        <v>44.3125</v>
      </c>
      <c r="S26" s="1">
        <v>44.375</v>
      </c>
      <c r="T26" s="1">
        <v>44.5</v>
      </c>
      <c r="U26" s="1">
        <v>44.5</v>
      </c>
    </row>
    <row r="27" spans="2:24" x14ac:dyDescent="0.25">
      <c r="B27" s="155">
        <v>17</v>
      </c>
      <c r="C27" s="152">
        <v>36.6875</v>
      </c>
      <c r="D27" s="1">
        <v>36.3125</v>
      </c>
      <c r="E27" s="1">
        <v>36.75</v>
      </c>
      <c r="F27" s="1">
        <v>37.25</v>
      </c>
      <c r="G27" s="1">
        <v>37.625</v>
      </c>
      <c r="H27" s="1">
        <v>38</v>
      </c>
      <c r="I27" s="1">
        <v>38.4375</v>
      </c>
      <c r="J27" s="1">
        <v>38.6875</v>
      </c>
      <c r="K27" s="1">
        <v>38.9375</v>
      </c>
      <c r="L27" s="1">
        <v>39.25</v>
      </c>
      <c r="M27" s="1">
        <v>39.4375</v>
      </c>
      <c r="N27" s="1">
        <v>39.625</v>
      </c>
      <c r="O27" s="1">
        <v>39.6875</v>
      </c>
      <c r="P27" s="1">
        <v>39.6875</v>
      </c>
      <c r="Q27" s="1">
        <v>39.6875</v>
      </c>
      <c r="R27" s="1">
        <v>39.625</v>
      </c>
      <c r="S27" s="1">
        <v>39.5625</v>
      </c>
      <c r="T27" s="1">
        <v>39.625</v>
      </c>
      <c r="U27" s="1">
        <v>39.6875</v>
      </c>
    </row>
    <row r="28" spans="2:24" x14ac:dyDescent="0.25">
      <c r="B28" s="155">
        <v>16</v>
      </c>
      <c r="C28" s="152">
        <v>34.75</v>
      </c>
      <c r="D28" s="1">
        <v>34.3125</v>
      </c>
      <c r="E28" s="1">
        <v>34.625</v>
      </c>
      <c r="F28" s="1">
        <v>35</v>
      </c>
      <c r="G28" s="1">
        <v>35.1875</v>
      </c>
      <c r="H28" s="1">
        <v>35.375</v>
      </c>
      <c r="I28" s="1">
        <v>35.6875</v>
      </c>
      <c r="J28" s="1">
        <v>35.75</v>
      </c>
      <c r="K28" s="1">
        <v>35.875</v>
      </c>
      <c r="L28" s="1">
        <v>35.9375</v>
      </c>
      <c r="M28" s="1">
        <v>36</v>
      </c>
      <c r="N28" s="1">
        <v>36</v>
      </c>
      <c r="O28" s="1">
        <v>35.9375</v>
      </c>
      <c r="P28" s="1">
        <v>35.875</v>
      </c>
      <c r="Q28" s="1">
        <v>35.8125</v>
      </c>
      <c r="R28" s="1">
        <v>35.75</v>
      </c>
      <c r="S28" s="1">
        <v>35.625</v>
      </c>
      <c r="T28" s="1">
        <v>35.625</v>
      </c>
      <c r="U28" s="1">
        <v>35.75</v>
      </c>
    </row>
    <row r="29" spans="2:24" x14ac:dyDescent="0.25">
      <c r="B29" s="155">
        <v>15</v>
      </c>
      <c r="C29" s="152">
        <v>32.3125</v>
      </c>
      <c r="D29" s="1">
        <v>31.75</v>
      </c>
      <c r="E29" s="1">
        <v>32</v>
      </c>
      <c r="F29" s="1">
        <v>32.3125</v>
      </c>
      <c r="G29" s="1">
        <v>32.4375</v>
      </c>
      <c r="H29" s="1">
        <v>32.5</v>
      </c>
      <c r="I29" s="1">
        <v>32.6875</v>
      </c>
      <c r="J29" s="1">
        <v>32.625</v>
      </c>
      <c r="K29" s="1">
        <v>32.625</v>
      </c>
      <c r="L29" s="1">
        <v>32.5625</v>
      </c>
      <c r="M29" s="1">
        <v>32.5</v>
      </c>
      <c r="N29" s="1">
        <v>32.5625</v>
      </c>
      <c r="O29" s="1">
        <v>32.4375</v>
      </c>
      <c r="P29" s="1">
        <v>32.3125</v>
      </c>
      <c r="Q29" s="1">
        <v>32.1875</v>
      </c>
      <c r="R29" s="1">
        <v>32.125</v>
      </c>
      <c r="S29" s="1">
        <v>31.9375</v>
      </c>
      <c r="T29" s="1">
        <v>31.875</v>
      </c>
      <c r="U29" s="1">
        <v>31.8125</v>
      </c>
    </row>
    <row r="30" spans="2:24" ht="15.75" thickBot="1" x14ac:dyDescent="0.3">
      <c r="B30" s="156">
        <v>14</v>
      </c>
      <c r="C30" s="157">
        <v>29.6875</v>
      </c>
      <c r="D30" s="1">
        <v>29.1875</v>
      </c>
      <c r="E30" s="1">
        <v>29.5</v>
      </c>
      <c r="F30" s="1">
        <v>29.4375</v>
      </c>
      <c r="G30" s="1">
        <v>29.5625</v>
      </c>
      <c r="H30" s="1">
        <v>29.6875</v>
      </c>
      <c r="I30" s="1">
        <v>29.625</v>
      </c>
      <c r="J30" s="1">
        <v>29.4375</v>
      </c>
      <c r="K30" s="1">
        <v>29.3125</v>
      </c>
      <c r="L30" s="1">
        <v>29.1875</v>
      </c>
      <c r="M30" s="1">
        <v>29.1875</v>
      </c>
      <c r="N30" s="1">
        <v>29.125</v>
      </c>
      <c r="O30" s="1">
        <v>28.875</v>
      </c>
      <c r="P30" s="1">
        <v>28.75</v>
      </c>
      <c r="Q30" s="1">
        <v>28.625</v>
      </c>
      <c r="R30" s="1">
        <v>28.5</v>
      </c>
      <c r="S30" s="1">
        <v>28.375</v>
      </c>
      <c r="T30" s="1">
        <v>28.375</v>
      </c>
      <c r="U30" s="1">
        <v>28.25</v>
      </c>
    </row>
    <row r="31" spans="2:24" x14ac:dyDescent="0.25">
      <c r="B31" s="132">
        <v>0</v>
      </c>
      <c r="C31" s="132">
        <v>12.311199999999999</v>
      </c>
      <c r="D31" s="132">
        <v>11.395199999999999</v>
      </c>
      <c r="E31" s="132">
        <v>10.9262</v>
      </c>
      <c r="F31" s="132">
        <v>10.4902</v>
      </c>
      <c r="G31" s="132">
        <v>10.350199999999999</v>
      </c>
      <c r="H31" s="132">
        <v>9.8704999999999998</v>
      </c>
      <c r="I31" s="132">
        <v>9.5603999999999996</v>
      </c>
      <c r="J31" s="132">
        <v>9.1719999999999988</v>
      </c>
      <c r="K31" s="132">
        <v>8.9211999999999989</v>
      </c>
      <c r="L31" s="132">
        <v>8.5610999999999997</v>
      </c>
      <c r="M31" s="132">
        <v>8.4647000000000006</v>
      </c>
      <c r="N31" s="132">
        <v>8.2402999999999995</v>
      </c>
      <c r="O31" s="132">
        <v>7.9386000000000001</v>
      </c>
      <c r="P31" s="132">
        <v>7.7394999999999996</v>
      </c>
      <c r="Q31" s="132">
        <v>7.5569999999999995</v>
      </c>
      <c r="R31" s="132">
        <v>7.3827999999999996</v>
      </c>
      <c r="S31" s="132">
        <v>7.2142999999999997</v>
      </c>
      <c r="T31" s="132">
        <v>7.0413999999999994</v>
      </c>
      <c r="U31" s="132">
        <v>6.9203999999999999</v>
      </c>
    </row>
    <row r="33" spans="2:24" x14ac:dyDescent="0.25">
      <c r="D33">
        <v>15</v>
      </c>
      <c r="E33">
        <v>14</v>
      </c>
      <c r="F33">
        <v>13</v>
      </c>
      <c r="G33">
        <v>12</v>
      </c>
      <c r="H33">
        <v>11</v>
      </c>
      <c r="I33">
        <v>10</v>
      </c>
      <c r="J33">
        <v>9</v>
      </c>
      <c r="K33">
        <v>8</v>
      </c>
      <c r="L33">
        <v>7</v>
      </c>
      <c r="M33">
        <v>6</v>
      </c>
      <c r="N33">
        <v>5</v>
      </c>
      <c r="O33">
        <v>4</v>
      </c>
      <c r="P33">
        <v>3</v>
      </c>
      <c r="Q33">
        <v>2</v>
      </c>
      <c r="R33">
        <v>1</v>
      </c>
      <c r="W33" s="132" t="s">
        <v>8</v>
      </c>
      <c r="X33">
        <f>0.0549-0.0927</f>
        <v>-3.7800000000000007E-2</v>
      </c>
    </row>
    <row r="34" spans="2:24" x14ac:dyDescent="0.25">
      <c r="D34" s="158">
        <v>0.9375</v>
      </c>
      <c r="E34" s="158">
        <v>0.875</v>
      </c>
      <c r="F34" s="158">
        <v>0.8125</v>
      </c>
      <c r="G34" s="158">
        <v>0.75</v>
      </c>
      <c r="H34" s="158">
        <v>0.6875</v>
      </c>
      <c r="I34" s="158">
        <v>0.625</v>
      </c>
      <c r="J34" s="158">
        <v>0.5625</v>
      </c>
      <c r="K34" s="158">
        <v>0.5</v>
      </c>
      <c r="L34" s="158">
        <v>0.4375</v>
      </c>
      <c r="M34" s="158">
        <v>0.375</v>
      </c>
      <c r="N34" s="158">
        <v>0.3125</v>
      </c>
      <c r="O34" s="158">
        <v>0.25</v>
      </c>
      <c r="P34" s="158">
        <v>0.1875</v>
      </c>
      <c r="Q34" s="158">
        <v>0.125</v>
      </c>
      <c r="R34" s="158">
        <v>6.25E-2</v>
      </c>
      <c r="W34" s="132" t="s">
        <v>9</v>
      </c>
      <c r="X34">
        <f>0.2388+0.1197</f>
        <v>0.35850000000000004</v>
      </c>
    </row>
    <row r="35" spans="2:24" ht="15.75" thickBot="1" x14ac:dyDescent="0.3">
      <c r="W35" s="132" t="s">
        <v>10</v>
      </c>
      <c r="X35">
        <f>8.6426-8.8813</f>
        <v>-0.23869999999999969</v>
      </c>
    </row>
    <row r="36" spans="2:24" ht="15.75" thickBot="1" x14ac:dyDescent="0.3">
      <c r="B36" s="153">
        <v>868</v>
      </c>
      <c r="C36" s="150">
        <v>2</v>
      </c>
      <c r="D36" s="148">
        <v>2.1</v>
      </c>
      <c r="E36" s="148">
        <v>2.2000000000000002</v>
      </c>
      <c r="F36" s="148">
        <v>2.2999999999999998</v>
      </c>
      <c r="G36" s="148">
        <v>2.4</v>
      </c>
      <c r="H36" s="148">
        <v>2.5</v>
      </c>
      <c r="I36" s="148">
        <v>2.6</v>
      </c>
      <c r="J36" s="148">
        <v>2.7</v>
      </c>
      <c r="K36" s="148">
        <v>2.8</v>
      </c>
      <c r="L36" s="148">
        <v>2.9</v>
      </c>
      <c r="M36" s="148">
        <v>3</v>
      </c>
      <c r="N36" s="148">
        <v>3.1</v>
      </c>
      <c r="O36" s="148">
        <v>3.2</v>
      </c>
      <c r="P36" s="148">
        <v>3.3</v>
      </c>
      <c r="Q36" s="148">
        <v>3.4</v>
      </c>
      <c r="R36" s="148">
        <v>3.5</v>
      </c>
      <c r="S36" s="148">
        <v>3.6</v>
      </c>
      <c r="T36" s="148">
        <v>3.7</v>
      </c>
      <c r="U36" s="149">
        <v>3.8</v>
      </c>
    </row>
    <row r="37" spans="2:24" x14ac:dyDescent="0.25">
      <c r="B37" s="154">
        <v>20</v>
      </c>
      <c r="C37" s="151">
        <f>($B37*$B37)*(C$45+$X$33)+($B37*(C$46+$X$34))+(C$47+$X$35)</f>
        <v>39.243300000000005</v>
      </c>
      <c r="D37" s="151">
        <f t="shared" ref="D37:U43" si="0">($B37*$B37)*(D$45+$X$33)+($B37*(D$46+$X$34))+(D$47+$X$35)</f>
        <v>39.426299999999998</v>
      </c>
      <c r="E37" s="151">
        <f t="shared" si="0"/>
        <v>40.546299999999988</v>
      </c>
      <c r="F37" s="151">
        <f t="shared" si="0"/>
        <v>41.574299999999994</v>
      </c>
      <c r="G37" s="151">
        <f t="shared" si="0"/>
        <v>42.581300000000006</v>
      </c>
      <c r="H37" s="151">
        <f t="shared" si="0"/>
        <v>43.620600000000003</v>
      </c>
      <c r="I37" s="151">
        <f t="shared" si="0"/>
        <v>44.835799999999992</v>
      </c>
      <c r="J37" s="151">
        <f t="shared" si="0"/>
        <v>45.867400000000004</v>
      </c>
      <c r="K37" s="151">
        <f t="shared" si="0"/>
        <v>46.923200000000008</v>
      </c>
      <c r="L37" s="151">
        <f t="shared" si="0"/>
        <v>47.932099999999991</v>
      </c>
      <c r="M37" s="151">
        <f t="shared" si="0"/>
        <v>48.902700000000003</v>
      </c>
      <c r="N37" s="151">
        <f t="shared" si="0"/>
        <v>50.582500000000003</v>
      </c>
      <c r="O37" s="151">
        <f t="shared" si="0"/>
        <v>50.831200000000003</v>
      </c>
      <c r="P37" s="151">
        <f t="shared" si="0"/>
        <v>51.767100000000006</v>
      </c>
      <c r="Q37" s="151">
        <f t="shared" si="0"/>
        <v>52.878399999999999</v>
      </c>
      <c r="R37" s="151">
        <f t="shared" si="0"/>
        <v>53.853400000000008</v>
      </c>
      <c r="S37" s="151">
        <f t="shared" si="0"/>
        <v>54.702800000000003</v>
      </c>
      <c r="T37" s="151">
        <f t="shared" si="0"/>
        <v>55.700600000000001</v>
      </c>
      <c r="U37" s="151">
        <f t="shared" si="0"/>
        <v>56.552400000000013</v>
      </c>
    </row>
    <row r="38" spans="2:24" x14ac:dyDescent="0.25">
      <c r="B38" s="155">
        <v>19</v>
      </c>
      <c r="C38" s="151">
        <f t="shared" ref="C38:C43" si="1">($B38*$B38)*(C$45+$X$33)+($B38*(C$46+$X$34))+(C$47+$X$35)</f>
        <v>36.8613</v>
      </c>
      <c r="D38" s="151">
        <f t="shared" si="0"/>
        <v>36.877699999999997</v>
      </c>
      <c r="E38" s="151">
        <f t="shared" si="0"/>
        <v>37.798999999999992</v>
      </c>
      <c r="F38" s="151">
        <f t="shared" si="0"/>
        <v>38.635899999999999</v>
      </c>
      <c r="G38" s="151">
        <f t="shared" si="0"/>
        <v>39.430199999999999</v>
      </c>
      <c r="H38" s="151">
        <f t="shared" si="0"/>
        <v>40.249600000000001</v>
      </c>
      <c r="I38" s="151">
        <f t="shared" si="0"/>
        <v>41.194999999999993</v>
      </c>
      <c r="J38" s="151">
        <f t="shared" si="0"/>
        <v>41.9621</v>
      </c>
      <c r="K38" s="151">
        <f t="shared" si="0"/>
        <v>42.753399999999999</v>
      </c>
      <c r="L38" s="151">
        <f t="shared" si="0"/>
        <v>43.509799999999998</v>
      </c>
      <c r="M38" s="151">
        <f t="shared" si="0"/>
        <v>44.241300000000003</v>
      </c>
      <c r="N38" s="151">
        <f t="shared" si="0"/>
        <v>45.615400000000001</v>
      </c>
      <c r="O38" s="151">
        <f t="shared" si="0"/>
        <v>45.650799999999997</v>
      </c>
      <c r="P38" s="151">
        <f t="shared" si="0"/>
        <v>46.321600000000011</v>
      </c>
      <c r="Q38" s="151">
        <f t="shared" si="0"/>
        <v>47.116399999999999</v>
      </c>
      <c r="R38" s="151">
        <f t="shared" si="0"/>
        <v>47.816200000000002</v>
      </c>
      <c r="S38" s="151">
        <f t="shared" si="0"/>
        <v>48.397100000000016</v>
      </c>
      <c r="T38" s="151">
        <f t="shared" si="0"/>
        <v>49.130200000000009</v>
      </c>
      <c r="U38" s="151">
        <f t="shared" si="0"/>
        <v>49.742300000000007</v>
      </c>
    </row>
    <row r="39" spans="2:24" x14ac:dyDescent="0.25">
      <c r="B39" s="155">
        <v>18</v>
      </c>
      <c r="C39" s="151">
        <f t="shared" si="1"/>
        <v>34.587299999999999</v>
      </c>
      <c r="D39" s="151">
        <f t="shared" si="0"/>
        <v>34.448899999999995</v>
      </c>
      <c r="E39" s="151">
        <f t="shared" si="0"/>
        <v>35.184099999999994</v>
      </c>
      <c r="F39" s="151">
        <f t="shared" si="0"/>
        <v>35.842299999999994</v>
      </c>
      <c r="G39" s="151">
        <f t="shared" si="0"/>
        <v>36.440300000000008</v>
      </c>
      <c r="H39" s="151">
        <f t="shared" si="0"/>
        <v>37.055</v>
      </c>
      <c r="I39" s="151">
        <f t="shared" si="0"/>
        <v>37.750999999999991</v>
      </c>
      <c r="J39" s="151">
        <f t="shared" si="0"/>
        <v>38.274000000000001</v>
      </c>
      <c r="K39" s="151">
        <f t="shared" si="0"/>
        <v>38.82180000000001</v>
      </c>
      <c r="L39" s="151">
        <f t="shared" si="0"/>
        <v>39.345100000000002</v>
      </c>
      <c r="M39" s="151">
        <f t="shared" si="0"/>
        <v>39.857100000000003</v>
      </c>
      <c r="N39" s="151">
        <f t="shared" si="0"/>
        <v>40.947700000000005</v>
      </c>
      <c r="O39" s="151">
        <f t="shared" si="0"/>
        <v>40.789400000000001</v>
      </c>
      <c r="P39" s="151">
        <f t="shared" si="0"/>
        <v>41.217100000000009</v>
      </c>
      <c r="Q39" s="151">
        <f t="shared" si="0"/>
        <v>41.721999999999994</v>
      </c>
      <c r="R39" s="151">
        <f t="shared" si="0"/>
        <v>42.169600000000003</v>
      </c>
      <c r="S39" s="151">
        <f t="shared" si="0"/>
        <v>42.505000000000017</v>
      </c>
      <c r="T39" s="151">
        <f t="shared" si="0"/>
        <v>42.995200000000004</v>
      </c>
      <c r="U39" s="151">
        <f t="shared" si="0"/>
        <v>43.387799999999999</v>
      </c>
    </row>
    <row r="40" spans="2:24" x14ac:dyDescent="0.25">
      <c r="B40" s="155">
        <v>17</v>
      </c>
      <c r="C40" s="151">
        <f t="shared" si="1"/>
        <v>32.421300000000002</v>
      </c>
      <c r="D40" s="151">
        <f t="shared" si="0"/>
        <v>32.139899999999997</v>
      </c>
      <c r="E40" s="151">
        <f t="shared" si="0"/>
        <v>32.701599999999999</v>
      </c>
      <c r="F40" s="151">
        <f t="shared" si="0"/>
        <v>33.1935</v>
      </c>
      <c r="G40" s="151">
        <f t="shared" si="0"/>
        <v>33.611600000000003</v>
      </c>
      <c r="H40" s="151">
        <f t="shared" si="0"/>
        <v>34.036799999999999</v>
      </c>
      <c r="I40" s="151">
        <f t="shared" si="0"/>
        <v>34.503799999999998</v>
      </c>
      <c r="J40" s="151">
        <f t="shared" si="0"/>
        <v>34.803100000000001</v>
      </c>
      <c r="K40" s="151">
        <f t="shared" si="0"/>
        <v>35.128400000000006</v>
      </c>
      <c r="L40" s="151">
        <f t="shared" si="0"/>
        <v>35.438000000000002</v>
      </c>
      <c r="M40" s="151">
        <f t="shared" si="0"/>
        <v>35.750100000000003</v>
      </c>
      <c r="N40" s="151">
        <f t="shared" si="0"/>
        <v>36.5794</v>
      </c>
      <c r="O40" s="151">
        <f t="shared" si="0"/>
        <v>36.247</v>
      </c>
      <c r="P40" s="151">
        <f t="shared" si="0"/>
        <v>36.453600000000002</v>
      </c>
      <c r="Q40" s="151">
        <f t="shared" si="0"/>
        <v>36.6952</v>
      </c>
      <c r="R40" s="151">
        <f t="shared" si="0"/>
        <v>36.913600000000002</v>
      </c>
      <c r="S40" s="151">
        <f t="shared" si="0"/>
        <v>37.026500000000006</v>
      </c>
      <c r="T40" s="151">
        <f t="shared" si="0"/>
        <v>37.2956</v>
      </c>
      <c r="U40" s="151">
        <f t="shared" si="0"/>
        <v>37.488900000000001</v>
      </c>
    </row>
    <row r="41" spans="2:24" x14ac:dyDescent="0.25">
      <c r="B41" s="155">
        <v>16</v>
      </c>
      <c r="C41" s="151">
        <f t="shared" si="1"/>
        <v>30.363300000000002</v>
      </c>
      <c r="D41" s="151">
        <f t="shared" si="0"/>
        <v>29.950699999999998</v>
      </c>
      <c r="E41" s="151">
        <f t="shared" si="0"/>
        <v>30.351499999999994</v>
      </c>
      <c r="F41" s="151">
        <f t="shared" si="0"/>
        <v>30.689499999999999</v>
      </c>
      <c r="G41" s="151">
        <f t="shared" si="0"/>
        <v>30.944100000000002</v>
      </c>
      <c r="H41" s="151">
        <f t="shared" si="0"/>
        <v>31.195</v>
      </c>
      <c r="I41" s="151">
        <f t="shared" si="0"/>
        <v>31.453399999999995</v>
      </c>
      <c r="J41" s="151">
        <f t="shared" si="0"/>
        <v>31.549400000000006</v>
      </c>
      <c r="K41" s="151">
        <f t="shared" si="0"/>
        <v>31.673200000000005</v>
      </c>
      <c r="L41" s="151">
        <f t="shared" si="0"/>
        <v>31.788499999999999</v>
      </c>
      <c r="M41" s="151">
        <f t="shared" si="0"/>
        <v>31.920300000000001</v>
      </c>
      <c r="N41" s="151">
        <f t="shared" si="0"/>
        <v>32.5105</v>
      </c>
      <c r="O41" s="151">
        <f t="shared" si="0"/>
        <v>32.023600000000002</v>
      </c>
      <c r="P41" s="151">
        <f t="shared" si="0"/>
        <v>32.031100000000002</v>
      </c>
      <c r="Q41" s="151">
        <f t="shared" si="0"/>
        <v>32.036000000000001</v>
      </c>
      <c r="R41" s="151">
        <f t="shared" si="0"/>
        <v>32.048200000000001</v>
      </c>
      <c r="S41" s="151">
        <f t="shared" si="0"/>
        <v>31.961600000000004</v>
      </c>
      <c r="T41" s="151">
        <f t="shared" si="0"/>
        <v>32.031400000000005</v>
      </c>
      <c r="U41" s="151">
        <f t="shared" si="0"/>
        <v>32.045600000000007</v>
      </c>
    </row>
    <row r="42" spans="2:24" x14ac:dyDescent="0.25">
      <c r="B42" s="155">
        <v>15</v>
      </c>
      <c r="C42" s="151">
        <f t="shared" si="1"/>
        <v>28.4133</v>
      </c>
      <c r="D42" s="151">
        <f t="shared" si="0"/>
        <v>27.8813</v>
      </c>
      <c r="E42" s="151">
        <f t="shared" si="0"/>
        <v>28.133799999999997</v>
      </c>
      <c r="F42" s="151">
        <f t="shared" si="0"/>
        <v>28.330300000000001</v>
      </c>
      <c r="G42" s="151">
        <f t="shared" si="0"/>
        <v>28.437800000000003</v>
      </c>
      <c r="H42" s="151">
        <f t="shared" si="0"/>
        <v>28.529599999999999</v>
      </c>
      <c r="I42" s="151">
        <f t="shared" si="0"/>
        <v>28.599799999999998</v>
      </c>
      <c r="J42" s="151">
        <f t="shared" si="0"/>
        <v>28.512900000000002</v>
      </c>
      <c r="K42" s="151">
        <f t="shared" si="0"/>
        <v>28.456200000000003</v>
      </c>
      <c r="L42" s="151">
        <f t="shared" si="0"/>
        <v>28.396599999999999</v>
      </c>
      <c r="M42" s="151">
        <f t="shared" si="0"/>
        <v>28.367699999999999</v>
      </c>
      <c r="N42" s="151">
        <f t="shared" si="0"/>
        <v>28.741</v>
      </c>
      <c r="O42" s="151">
        <f t="shared" si="0"/>
        <v>28.119199999999999</v>
      </c>
      <c r="P42" s="151">
        <f t="shared" si="0"/>
        <v>27.949600000000004</v>
      </c>
      <c r="Q42" s="151">
        <f t="shared" si="0"/>
        <v>27.744399999999999</v>
      </c>
      <c r="R42" s="151">
        <f t="shared" si="0"/>
        <v>27.573400000000003</v>
      </c>
      <c r="S42" s="151">
        <f t="shared" si="0"/>
        <v>27.310300000000005</v>
      </c>
      <c r="T42" s="151">
        <f t="shared" si="0"/>
        <v>27.2026</v>
      </c>
      <c r="U42" s="151">
        <f t="shared" si="0"/>
        <v>27.057900000000011</v>
      </c>
    </row>
    <row r="43" spans="2:24" ht="15.75" thickBot="1" x14ac:dyDescent="0.3">
      <c r="B43" s="156">
        <v>14</v>
      </c>
      <c r="C43" s="151">
        <f t="shared" si="1"/>
        <v>26.571300000000001</v>
      </c>
      <c r="D43" s="151">
        <f t="shared" si="0"/>
        <v>25.931699999999999</v>
      </c>
      <c r="E43" s="151">
        <f t="shared" si="0"/>
        <v>26.048499999999997</v>
      </c>
      <c r="F43" s="151">
        <f t="shared" si="0"/>
        <v>26.1159</v>
      </c>
      <c r="G43" s="151">
        <f t="shared" si="0"/>
        <v>26.092700000000001</v>
      </c>
      <c r="H43" s="151">
        <f t="shared" si="0"/>
        <v>26.040599999999998</v>
      </c>
      <c r="I43" s="151">
        <f t="shared" si="0"/>
        <v>25.942999999999998</v>
      </c>
      <c r="J43" s="151">
        <f t="shared" si="0"/>
        <v>25.693600000000004</v>
      </c>
      <c r="K43" s="151">
        <f t="shared" si="0"/>
        <v>25.477400000000003</v>
      </c>
      <c r="L43" s="151">
        <f t="shared" si="0"/>
        <v>25.2623</v>
      </c>
      <c r="M43" s="151">
        <f t="shared" si="0"/>
        <v>25.092300000000002</v>
      </c>
      <c r="N43" s="151">
        <f t="shared" si="0"/>
        <v>25.270900000000001</v>
      </c>
      <c r="O43" s="151">
        <f t="shared" si="0"/>
        <v>24.533799999999999</v>
      </c>
      <c r="P43" s="151">
        <f t="shared" si="0"/>
        <v>24.209099999999999</v>
      </c>
      <c r="Q43" s="151">
        <f t="shared" si="0"/>
        <v>23.820399999999999</v>
      </c>
      <c r="R43" s="151">
        <f t="shared" si="0"/>
        <v>23.489199999999997</v>
      </c>
      <c r="S43" s="151">
        <f t="shared" si="0"/>
        <v>23.072600000000001</v>
      </c>
      <c r="T43" s="151">
        <f t="shared" si="0"/>
        <v>22.809200000000004</v>
      </c>
      <c r="U43" s="151">
        <f t="shared" si="0"/>
        <v>22.525800000000007</v>
      </c>
    </row>
    <row r="45" spans="2:24" x14ac:dyDescent="0.25">
      <c r="B45" t="s">
        <v>8</v>
      </c>
      <c r="C45">
        <v>9.1800000000000007E-2</v>
      </c>
      <c r="D45">
        <v>9.7699999999999995E-2</v>
      </c>
      <c r="E45">
        <v>0.104</v>
      </c>
      <c r="F45">
        <v>0.11020000000000001</v>
      </c>
      <c r="G45">
        <v>0.11840000000000001</v>
      </c>
      <c r="H45">
        <v>0.126</v>
      </c>
      <c r="I45">
        <v>0.13619999999999999</v>
      </c>
      <c r="J45">
        <v>0.1464</v>
      </c>
      <c r="K45">
        <v>0.15690000000000001</v>
      </c>
      <c r="L45">
        <v>0.1666</v>
      </c>
      <c r="M45">
        <v>0.1764</v>
      </c>
      <c r="N45">
        <v>0.1875</v>
      </c>
      <c r="O45">
        <v>0.1973</v>
      </c>
      <c r="P45">
        <v>0.20830000000000001</v>
      </c>
      <c r="Q45">
        <v>0.22159999999999999</v>
      </c>
      <c r="R45">
        <v>0.2331</v>
      </c>
      <c r="S45">
        <v>0.24460000000000001</v>
      </c>
      <c r="T45">
        <v>0.2555</v>
      </c>
      <c r="U45">
        <v>0.2656</v>
      </c>
    </row>
    <row r="46" spans="2:24" x14ac:dyDescent="0.25">
      <c r="B46" t="s">
        <v>9</v>
      </c>
      <c r="C46">
        <v>-8.2500000000000004E-2</v>
      </c>
      <c r="D46">
        <v>-0.14599999999999999</v>
      </c>
      <c r="E46">
        <v>-0.193</v>
      </c>
      <c r="F46">
        <v>-0.2437</v>
      </c>
      <c r="G46">
        <v>-0.3508</v>
      </c>
      <c r="H46">
        <v>-0.42730000000000001</v>
      </c>
      <c r="I46">
        <v>-0.55530000000000002</v>
      </c>
      <c r="J46">
        <v>-0.68859999999999999</v>
      </c>
      <c r="K46">
        <v>-0.83360000000000001</v>
      </c>
      <c r="L46">
        <v>-0.95940000000000003</v>
      </c>
      <c r="M46">
        <v>-1.1025</v>
      </c>
      <c r="N46">
        <v>-1.2297</v>
      </c>
      <c r="O46">
        <v>-1.3986000000000001</v>
      </c>
      <c r="P46">
        <v>-1.5625</v>
      </c>
      <c r="Q46">
        <v>-1.7646999999999999</v>
      </c>
      <c r="R46">
        <v>-1.9379999999999999</v>
      </c>
      <c r="S46">
        <v>-2.1179999999999999</v>
      </c>
      <c r="T46">
        <v>-2.2784</v>
      </c>
      <c r="U46">
        <v>-2.4325999999999999</v>
      </c>
    </row>
    <row r="47" spans="2:24" x14ac:dyDescent="0.25">
      <c r="B47" t="s">
        <v>10</v>
      </c>
      <c r="C47">
        <v>12.362</v>
      </c>
      <c r="D47">
        <v>11.455</v>
      </c>
      <c r="E47">
        <v>10.994999999999999</v>
      </c>
      <c r="F47">
        <v>10.557</v>
      </c>
      <c r="G47">
        <v>10.426</v>
      </c>
      <c r="H47">
        <v>9.9552999999999994</v>
      </c>
      <c r="I47">
        <v>9.6504999999999992</v>
      </c>
      <c r="J47">
        <v>9.2681000000000004</v>
      </c>
      <c r="K47">
        <v>9.0238999999999994</v>
      </c>
      <c r="L47">
        <v>8.6687999999999992</v>
      </c>
      <c r="M47">
        <v>8.5814000000000004</v>
      </c>
      <c r="N47">
        <v>8.3651999999999997</v>
      </c>
      <c r="O47">
        <v>8.0718999999999994</v>
      </c>
      <c r="P47">
        <v>7.8857999999999997</v>
      </c>
      <c r="Q47">
        <v>7.7210999999999999</v>
      </c>
      <c r="R47">
        <v>7.5621</v>
      </c>
      <c r="S47">
        <v>7.4115000000000002</v>
      </c>
      <c r="T47">
        <v>7.2572999999999999</v>
      </c>
      <c r="U47">
        <v>7.1531000000000002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U21"/>
  <sheetViews>
    <sheetView workbookViewId="0">
      <selection activeCell="M3" activeCellId="1" sqref="B3:B17 M3:M17"/>
    </sheetView>
  </sheetViews>
  <sheetFormatPr defaultRowHeight="15" x14ac:dyDescent="0.25"/>
  <sheetData>
    <row r="2" spans="2:21" x14ac:dyDescent="0.25">
      <c r="B2" s="132" t="s">
        <v>0</v>
      </c>
      <c r="C2" s="132">
        <v>2</v>
      </c>
      <c r="D2" s="132">
        <v>2.1</v>
      </c>
      <c r="E2" s="132">
        <v>2.2000000000000002</v>
      </c>
      <c r="F2" s="132">
        <v>2.2999999999999998</v>
      </c>
      <c r="G2" s="132">
        <v>2.4</v>
      </c>
      <c r="H2" s="132">
        <v>2.5</v>
      </c>
      <c r="I2" s="132">
        <v>2.6</v>
      </c>
      <c r="J2" s="132">
        <v>2.7</v>
      </c>
      <c r="K2" s="132">
        <v>2.8</v>
      </c>
      <c r="L2" s="132">
        <v>2.9</v>
      </c>
      <c r="M2" s="132">
        <v>3</v>
      </c>
      <c r="N2" s="132">
        <v>3.1</v>
      </c>
      <c r="O2" s="132">
        <v>3.2</v>
      </c>
      <c r="P2" s="132">
        <v>3.3</v>
      </c>
      <c r="Q2" s="132">
        <v>3.4</v>
      </c>
      <c r="R2" s="132">
        <v>3.5</v>
      </c>
      <c r="S2" s="132">
        <v>3.6</v>
      </c>
      <c r="T2" s="132">
        <v>3.7</v>
      </c>
      <c r="U2" s="132">
        <v>3.8</v>
      </c>
    </row>
    <row r="3" spans="2:21" x14ac:dyDescent="0.25">
      <c r="B3" s="132">
        <v>14</v>
      </c>
      <c r="C3" s="132">
        <v>36.224699999999999</v>
      </c>
      <c r="D3" s="132">
        <v>31.590899999999998</v>
      </c>
      <c r="E3" s="132">
        <v>30.266500000000001</v>
      </c>
      <c r="F3" s="132">
        <v>29.159300000000002</v>
      </c>
      <c r="G3" s="132">
        <v>28.094700000000003</v>
      </c>
      <c r="H3" s="132">
        <v>26.8979</v>
      </c>
      <c r="I3" s="132">
        <v>26.121600000000001</v>
      </c>
      <c r="J3" s="132">
        <v>25.046399999999998</v>
      </c>
      <c r="K3" s="132">
        <v>24.3611</v>
      </c>
      <c r="L3" s="132">
        <v>23.5274</v>
      </c>
      <c r="M3" s="132">
        <v>22.7819</v>
      </c>
      <c r="N3" s="132">
        <v>22.2318</v>
      </c>
      <c r="O3" s="132">
        <v>21.446800000000003</v>
      </c>
      <c r="P3" s="132">
        <v>20.887</v>
      </c>
      <c r="Q3" s="132">
        <v>20.403599999999997</v>
      </c>
      <c r="R3" s="132">
        <v>19.974299999999999</v>
      </c>
      <c r="S3" s="132">
        <v>19.549900000000001</v>
      </c>
      <c r="T3" s="132">
        <v>19.082999999999998</v>
      </c>
      <c r="U3" s="132">
        <v>18.7788</v>
      </c>
    </row>
    <row r="4" spans="2:21" x14ac:dyDescent="0.25">
      <c r="B4" s="132">
        <v>13</v>
      </c>
      <c r="C4" s="132">
        <v>33.240700000000004</v>
      </c>
      <c r="D4" s="132">
        <v>29.1355</v>
      </c>
      <c r="E4" s="132">
        <v>27.918500000000002</v>
      </c>
      <c r="F4" s="132">
        <v>26.89</v>
      </c>
      <c r="G4" s="132">
        <v>25.911999999999999</v>
      </c>
      <c r="H4" s="132">
        <v>24.827200000000001</v>
      </c>
      <c r="I4" s="132">
        <v>24.111699999999999</v>
      </c>
      <c r="J4" s="132">
        <v>23.1204</v>
      </c>
      <c r="K4" s="132">
        <v>22.488</v>
      </c>
      <c r="L4" s="132">
        <v>21.701599999999999</v>
      </c>
      <c r="M4" s="132">
        <v>21.043600000000001</v>
      </c>
      <c r="N4" s="132">
        <v>20.533300000000001</v>
      </c>
      <c r="O4" s="132">
        <v>19.799700000000001</v>
      </c>
      <c r="P4" s="132">
        <v>19.289400000000001</v>
      </c>
      <c r="Q4" s="132">
        <v>18.842100000000002</v>
      </c>
      <c r="R4" s="132">
        <v>18.4407</v>
      </c>
      <c r="S4" s="132">
        <v>18.046500000000002</v>
      </c>
      <c r="T4" s="132">
        <v>17.613300000000002</v>
      </c>
      <c r="U4" s="132">
        <v>17.3338</v>
      </c>
    </row>
    <row r="5" spans="2:21" x14ac:dyDescent="0.25">
      <c r="B5" s="132">
        <v>12</v>
      </c>
      <c r="C5" s="132">
        <v>30.456699999999998</v>
      </c>
      <c r="D5" s="132">
        <v>26.839500000000001</v>
      </c>
      <c r="E5" s="132">
        <v>25.722700000000003</v>
      </c>
      <c r="F5" s="132">
        <v>24.768300000000004</v>
      </c>
      <c r="G5" s="132">
        <v>23.873100000000001</v>
      </c>
      <c r="H5" s="132">
        <v>22.891100000000002</v>
      </c>
      <c r="I5" s="132">
        <v>22.232599999999998</v>
      </c>
      <c r="J5" s="132">
        <v>21.319400000000002</v>
      </c>
      <c r="K5" s="132">
        <v>20.736499999999999</v>
      </c>
      <c r="L5" s="132">
        <v>19.9954</v>
      </c>
      <c r="M5" s="132">
        <v>19.418500000000002</v>
      </c>
      <c r="N5" s="132">
        <v>18.945399999999999</v>
      </c>
      <c r="O5" s="132">
        <v>18.2606</v>
      </c>
      <c r="P5" s="132">
        <v>17.795999999999999</v>
      </c>
      <c r="Q5" s="132">
        <v>17.3826</v>
      </c>
      <c r="R5" s="132">
        <v>17.0075</v>
      </c>
      <c r="S5" s="132">
        <v>16.6417</v>
      </c>
      <c r="T5" s="132">
        <v>16.240200000000002</v>
      </c>
      <c r="U5" s="132">
        <v>15.983599999999999</v>
      </c>
    </row>
    <row r="6" spans="2:21" x14ac:dyDescent="0.25">
      <c r="B6" s="132">
        <v>11</v>
      </c>
      <c r="C6" s="132">
        <v>27.872700000000002</v>
      </c>
      <c r="D6" s="132">
        <v>24.7029</v>
      </c>
      <c r="E6" s="132">
        <v>23.679099999999998</v>
      </c>
      <c r="F6" s="132">
        <v>22.794200000000004</v>
      </c>
      <c r="G6" s="132">
        <v>21.978000000000002</v>
      </c>
      <c r="H6" s="132">
        <v>21.089600000000001</v>
      </c>
      <c r="I6" s="132">
        <v>20.484300000000001</v>
      </c>
      <c r="J6" s="132">
        <v>19.6434</v>
      </c>
      <c r="K6" s="132">
        <v>19.1066</v>
      </c>
      <c r="L6" s="132">
        <v>18.408799999999999</v>
      </c>
      <c r="M6" s="132">
        <v>17.906600000000001</v>
      </c>
      <c r="N6" s="132">
        <v>17.4681</v>
      </c>
      <c r="O6" s="132">
        <v>16.829500000000003</v>
      </c>
      <c r="P6" s="132">
        <v>16.4068</v>
      </c>
      <c r="Q6" s="132">
        <v>16.025100000000002</v>
      </c>
      <c r="R6" s="132">
        <v>15.674700000000001</v>
      </c>
      <c r="S6" s="132">
        <v>15.3355</v>
      </c>
      <c r="T6" s="132">
        <v>14.963699999999999</v>
      </c>
      <c r="U6" s="132">
        <v>14.728200000000001</v>
      </c>
    </row>
    <row r="7" spans="2:21" x14ac:dyDescent="0.25">
      <c r="B7" s="132">
        <v>10</v>
      </c>
      <c r="C7" s="132">
        <v>25.488700000000001</v>
      </c>
      <c r="D7" s="132">
        <v>22.7257</v>
      </c>
      <c r="E7" s="132">
        <v>21.787700000000001</v>
      </c>
      <c r="F7" s="132">
        <v>20.967700000000001</v>
      </c>
      <c r="G7" s="132">
        <v>20.226700000000001</v>
      </c>
      <c r="H7" s="132">
        <v>19.422699999999999</v>
      </c>
      <c r="I7" s="132">
        <v>18.866799999999998</v>
      </c>
      <c r="J7" s="132">
        <v>18.092399999999998</v>
      </c>
      <c r="K7" s="132">
        <v>17.598300000000002</v>
      </c>
      <c r="L7" s="132">
        <v>16.941800000000001</v>
      </c>
      <c r="M7" s="132">
        <v>16.507899999999999</v>
      </c>
      <c r="N7" s="132">
        <v>16.101399999999998</v>
      </c>
      <c r="O7" s="132">
        <v>15.506400000000001</v>
      </c>
      <c r="P7" s="132">
        <v>15.1218</v>
      </c>
      <c r="Q7" s="132">
        <v>14.769600000000001</v>
      </c>
      <c r="R7" s="132">
        <v>14.442300000000001</v>
      </c>
      <c r="S7" s="132">
        <v>14.1279</v>
      </c>
      <c r="T7" s="132">
        <v>13.783799999999999</v>
      </c>
      <c r="U7" s="132">
        <v>13.567600000000001</v>
      </c>
    </row>
    <row r="8" spans="2:21" x14ac:dyDescent="0.25">
      <c r="B8" s="132">
        <v>9</v>
      </c>
      <c r="C8" s="132">
        <v>23.304699999999997</v>
      </c>
      <c r="D8" s="132">
        <v>20.907899999999998</v>
      </c>
      <c r="E8" s="132">
        <v>20.048500000000001</v>
      </c>
      <c r="F8" s="132">
        <v>19.288800000000002</v>
      </c>
      <c r="G8" s="132">
        <v>18.619199999999999</v>
      </c>
      <c r="H8" s="132">
        <v>17.8904</v>
      </c>
      <c r="I8" s="132">
        <v>17.380099999999999</v>
      </c>
      <c r="J8" s="132">
        <v>16.666399999999999</v>
      </c>
      <c r="K8" s="132">
        <v>16.211600000000001</v>
      </c>
      <c r="L8" s="132">
        <v>15.5944</v>
      </c>
      <c r="M8" s="132">
        <v>15.2224</v>
      </c>
      <c r="N8" s="132">
        <v>14.845300000000002</v>
      </c>
      <c r="O8" s="132">
        <v>14.2913</v>
      </c>
      <c r="P8" s="132">
        <v>13.941000000000003</v>
      </c>
      <c r="Q8" s="132">
        <v>13.616099999999999</v>
      </c>
      <c r="R8" s="132">
        <v>13.310300000000002</v>
      </c>
      <c r="S8" s="132">
        <v>13.0189</v>
      </c>
      <c r="T8" s="132">
        <v>12.7005</v>
      </c>
      <c r="U8" s="132">
        <v>12.501799999999999</v>
      </c>
    </row>
    <row r="9" spans="2:21" x14ac:dyDescent="0.25">
      <c r="B9" s="132">
        <v>8</v>
      </c>
      <c r="C9" s="132">
        <v>21.320700000000002</v>
      </c>
      <c r="D9" s="132">
        <v>19.249500000000001</v>
      </c>
      <c r="E9" s="132">
        <v>18.461500000000001</v>
      </c>
      <c r="F9" s="132">
        <v>17.7575</v>
      </c>
      <c r="G9" s="132">
        <v>17.1555</v>
      </c>
      <c r="H9" s="132">
        <v>16.492699999999999</v>
      </c>
      <c r="I9" s="132">
        <v>16.0242</v>
      </c>
      <c r="J9" s="132">
        <v>15.365400000000001</v>
      </c>
      <c r="K9" s="132">
        <v>14.9465</v>
      </c>
      <c r="L9" s="132">
        <v>14.3666</v>
      </c>
      <c r="M9" s="132">
        <v>14.0501</v>
      </c>
      <c r="N9" s="132">
        <v>13.6998</v>
      </c>
      <c r="O9" s="132">
        <v>13.184200000000001</v>
      </c>
      <c r="P9" s="132">
        <v>12.8644</v>
      </c>
      <c r="Q9" s="132">
        <v>12.5646</v>
      </c>
      <c r="R9" s="132">
        <v>12.278700000000001</v>
      </c>
      <c r="S9" s="132">
        <v>12.008500000000002</v>
      </c>
      <c r="T9" s="132">
        <v>11.713800000000001</v>
      </c>
      <c r="U9" s="132">
        <v>11.530799999999999</v>
      </c>
    </row>
    <row r="10" spans="2:21" x14ac:dyDescent="0.25">
      <c r="B10" s="132">
        <v>7</v>
      </c>
      <c r="C10" s="132">
        <v>19.5367</v>
      </c>
      <c r="D10" s="132">
        <v>17.750500000000002</v>
      </c>
      <c r="E10" s="132">
        <v>17.026699999999998</v>
      </c>
      <c r="F10" s="132">
        <v>16.373800000000003</v>
      </c>
      <c r="G10" s="132">
        <v>15.835599999999999</v>
      </c>
      <c r="H10" s="132">
        <v>15.229600000000001</v>
      </c>
      <c r="I10" s="132">
        <v>14.799099999999999</v>
      </c>
      <c r="J10" s="132">
        <v>14.189399999999999</v>
      </c>
      <c r="K10" s="132">
        <v>13.803000000000001</v>
      </c>
      <c r="L10" s="132">
        <v>13.2584</v>
      </c>
      <c r="M10" s="132">
        <v>12.991</v>
      </c>
      <c r="N10" s="132">
        <v>12.664899999999999</v>
      </c>
      <c r="O10" s="132">
        <v>12.1851</v>
      </c>
      <c r="P10" s="132">
        <v>11.892000000000001</v>
      </c>
      <c r="Q10" s="132">
        <v>11.6151</v>
      </c>
      <c r="R10" s="132">
        <v>11.3475</v>
      </c>
      <c r="S10" s="132">
        <v>11.0967</v>
      </c>
      <c r="T10" s="132">
        <v>10.823700000000001</v>
      </c>
      <c r="U10" s="132">
        <v>10.6546</v>
      </c>
    </row>
    <row r="11" spans="2:21" x14ac:dyDescent="0.25">
      <c r="B11" s="132">
        <v>6</v>
      </c>
      <c r="C11" s="132">
        <v>17.9527</v>
      </c>
      <c r="D11" s="132">
        <v>16.410900000000002</v>
      </c>
      <c r="E11" s="132">
        <v>15.7441</v>
      </c>
      <c r="F11" s="132">
        <v>15.137700000000001</v>
      </c>
      <c r="G11" s="132">
        <v>14.659500000000001</v>
      </c>
      <c r="H11" s="132">
        <v>14.101100000000001</v>
      </c>
      <c r="I11" s="132">
        <v>13.704799999999999</v>
      </c>
      <c r="J11" s="132">
        <v>13.138400000000001</v>
      </c>
      <c r="K11" s="132">
        <v>12.7811</v>
      </c>
      <c r="L11" s="132">
        <v>12.2698</v>
      </c>
      <c r="M11" s="132">
        <v>12.0451</v>
      </c>
      <c r="N11" s="132">
        <v>11.740600000000001</v>
      </c>
      <c r="O11" s="132">
        <v>11.294</v>
      </c>
      <c r="P11" s="132">
        <v>11.023800000000001</v>
      </c>
      <c r="Q11" s="132">
        <v>10.7676</v>
      </c>
      <c r="R11" s="132">
        <v>10.5167</v>
      </c>
      <c r="S11" s="132">
        <v>10.2835</v>
      </c>
      <c r="T11" s="132">
        <v>10.030200000000001</v>
      </c>
      <c r="U11" s="132">
        <v>9.8732000000000006</v>
      </c>
    </row>
    <row r="12" spans="2:21" x14ac:dyDescent="0.25">
      <c r="B12" s="132">
        <v>5</v>
      </c>
      <c r="C12" s="132">
        <v>16.5687</v>
      </c>
      <c r="D12" s="132">
        <v>15.230700000000001</v>
      </c>
      <c r="E12" s="132">
        <v>14.6137</v>
      </c>
      <c r="F12" s="132">
        <v>14.049200000000001</v>
      </c>
      <c r="G12" s="132">
        <v>13.6272</v>
      </c>
      <c r="H12" s="132">
        <v>13.107200000000001</v>
      </c>
      <c r="I12" s="132">
        <v>12.741299999999999</v>
      </c>
      <c r="J12" s="132">
        <v>12.212399999999999</v>
      </c>
      <c r="K12" s="132">
        <v>11.880800000000001</v>
      </c>
      <c r="L12" s="132">
        <v>11.4008</v>
      </c>
      <c r="M12" s="132">
        <v>11.212400000000001</v>
      </c>
      <c r="N12" s="132">
        <v>10.9269</v>
      </c>
      <c r="O12" s="132">
        <v>10.510900000000001</v>
      </c>
      <c r="P12" s="132">
        <v>10.2598</v>
      </c>
      <c r="Q12" s="132">
        <v>10.0221</v>
      </c>
      <c r="R12" s="132">
        <v>9.7863000000000007</v>
      </c>
      <c r="S12" s="132">
        <v>9.5689000000000011</v>
      </c>
      <c r="T12" s="132">
        <v>9.3333000000000013</v>
      </c>
      <c r="U12" s="132">
        <v>9.1866000000000003</v>
      </c>
    </row>
    <row r="13" spans="2:21" x14ac:dyDescent="0.25">
      <c r="B13" s="132">
        <v>4</v>
      </c>
      <c r="C13" s="132">
        <v>15.3847</v>
      </c>
      <c r="D13" s="132">
        <v>14.209900000000001</v>
      </c>
      <c r="E13" s="132">
        <v>13.6355</v>
      </c>
      <c r="F13" s="132">
        <v>13.1083</v>
      </c>
      <c r="G13" s="132">
        <v>12.7387</v>
      </c>
      <c r="H13" s="132">
        <v>12.247900000000001</v>
      </c>
      <c r="I13" s="132">
        <v>11.9086</v>
      </c>
      <c r="J13" s="132">
        <v>11.4114</v>
      </c>
      <c r="K13" s="132">
        <v>11.1021</v>
      </c>
      <c r="L13" s="132">
        <v>10.651400000000001</v>
      </c>
      <c r="M13" s="132">
        <v>10.492900000000001</v>
      </c>
      <c r="N13" s="132">
        <v>10.223800000000001</v>
      </c>
      <c r="O13" s="132">
        <v>9.8358000000000008</v>
      </c>
      <c r="P13" s="132">
        <v>9.6000000000000014</v>
      </c>
      <c r="Q13" s="132">
        <v>9.3786000000000005</v>
      </c>
      <c r="R13" s="132">
        <v>9.1563000000000017</v>
      </c>
      <c r="S13" s="132">
        <v>8.9529000000000014</v>
      </c>
      <c r="T13" s="132">
        <v>8.7330000000000005</v>
      </c>
      <c r="U13" s="132">
        <v>8.5947999999999993</v>
      </c>
    </row>
    <row r="14" spans="2:21" x14ac:dyDescent="0.25">
      <c r="B14" s="132">
        <v>3</v>
      </c>
      <c r="C14" s="132">
        <v>14.400700000000001</v>
      </c>
      <c r="D14" s="132">
        <v>13.348500000000001</v>
      </c>
      <c r="E14" s="132">
        <v>12.8095</v>
      </c>
      <c r="F14" s="132">
        <v>12.315000000000001</v>
      </c>
      <c r="G14" s="132">
        <v>11.994</v>
      </c>
      <c r="H14" s="132">
        <v>11.523200000000001</v>
      </c>
      <c r="I14" s="132">
        <v>11.2067</v>
      </c>
      <c r="J14" s="132">
        <v>10.7354</v>
      </c>
      <c r="K14" s="132">
        <v>10.445</v>
      </c>
      <c r="L14" s="132">
        <v>10.021599999999999</v>
      </c>
      <c r="M14" s="132">
        <v>9.8865999999999996</v>
      </c>
      <c r="N14" s="132">
        <v>9.6312999999999995</v>
      </c>
      <c r="O14" s="132">
        <v>9.2687000000000008</v>
      </c>
      <c r="P14" s="132">
        <v>9.0444000000000013</v>
      </c>
      <c r="Q14" s="132">
        <v>8.8370999999999995</v>
      </c>
      <c r="R14" s="132">
        <v>8.6267000000000014</v>
      </c>
      <c r="S14" s="132">
        <v>8.4355000000000011</v>
      </c>
      <c r="T14" s="132">
        <v>8.2293000000000003</v>
      </c>
      <c r="U14" s="132">
        <v>8.0977999999999994</v>
      </c>
    </row>
    <row r="15" spans="2:21" x14ac:dyDescent="0.25">
      <c r="B15" s="132">
        <v>2</v>
      </c>
      <c r="C15" s="132">
        <v>13.6167</v>
      </c>
      <c r="D15" s="132">
        <v>12.646500000000001</v>
      </c>
      <c r="E15" s="132">
        <v>12.1357</v>
      </c>
      <c r="F15" s="132">
        <v>11.6693</v>
      </c>
      <c r="G15" s="132">
        <v>11.3931</v>
      </c>
      <c r="H15" s="132">
        <v>10.933100000000001</v>
      </c>
      <c r="I15" s="132">
        <v>10.6356</v>
      </c>
      <c r="J15" s="132">
        <v>10.1844</v>
      </c>
      <c r="K15" s="132">
        <v>9.9095000000000013</v>
      </c>
      <c r="L15" s="132">
        <v>9.5114000000000001</v>
      </c>
      <c r="M15" s="132">
        <v>9.3934999999999995</v>
      </c>
      <c r="N15" s="132">
        <v>9.1494</v>
      </c>
      <c r="O15" s="132">
        <v>8.8096000000000014</v>
      </c>
      <c r="P15" s="132">
        <v>8.593</v>
      </c>
      <c r="Q15" s="132">
        <v>8.3976000000000006</v>
      </c>
      <c r="R15" s="132">
        <v>8.1975000000000016</v>
      </c>
      <c r="S15" s="132">
        <v>8.0167000000000002</v>
      </c>
      <c r="T15" s="132">
        <v>7.8222000000000005</v>
      </c>
      <c r="U15" s="132">
        <v>7.6956000000000007</v>
      </c>
    </row>
    <row r="16" spans="2:21" x14ac:dyDescent="0.25">
      <c r="B16" s="132">
        <v>1</v>
      </c>
      <c r="C16" s="132">
        <v>13.0327</v>
      </c>
      <c r="D16" s="132">
        <v>12.103900000000001</v>
      </c>
      <c r="E16" s="132">
        <v>11.614100000000001</v>
      </c>
      <c r="F16" s="132">
        <v>11.171200000000001</v>
      </c>
      <c r="G16" s="132">
        <v>10.936</v>
      </c>
      <c r="H16" s="132">
        <v>10.477600000000001</v>
      </c>
      <c r="I16" s="132">
        <v>10.1953</v>
      </c>
      <c r="J16" s="132">
        <v>9.7584</v>
      </c>
      <c r="K16" s="132">
        <v>9.4955999999999996</v>
      </c>
      <c r="L16" s="132">
        <v>9.1208000000000009</v>
      </c>
      <c r="M16" s="132">
        <v>9.0136000000000003</v>
      </c>
      <c r="N16" s="132">
        <v>8.7781000000000002</v>
      </c>
      <c r="O16" s="132">
        <v>8.4585000000000008</v>
      </c>
      <c r="P16" s="132">
        <v>8.2458000000000009</v>
      </c>
      <c r="Q16" s="132">
        <v>8.0601000000000003</v>
      </c>
      <c r="R16" s="132">
        <v>7.8687000000000005</v>
      </c>
      <c r="S16" s="132">
        <v>7.6965000000000003</v>
      </c>
      <c r="T16" s="132">
        <v>7.5117000000000003</v>
      </c>
      <c r="U16" s="132">
        <v>7.3882000000000003</v>
      </c>
    </row>
    <row r="17" spans="2:21" x14ac:dyDescent="0.25">
      <c r="B17" s="132">
        <v>0</v>
      </c>
      <c r="C17" s="132">
        <v>12.3687</v>
      </c>
      <c r="D17" s="132">
        <v>11.4527</v>
      </c>
      <c r="E17" s="132">
        <v>10.983699999999999</v>
      </c>
      <c r="F17" s="132">
        <v>10.5657</v>
      </c>
      <c r="G17" s="132">
        <v>10.407700000000002</v>
      </c>
      <c r="H17" s="132">
        <v>9.9283000000000001</v>
      </c>
      <c r="I17" s="132">
        <v>9.6182000000000016</v>
      </c>
      <c r="J17" s="132">
        <v>9.2298000000000009</v>
      </c>
      <c r="K17" s="132">
        <v>8.9789999999999992</v>
      </c>
      <c r="L17" s="132">
        <v>8.6189</v>
      </c>
      <c r="M17" s="132">
        <v>8.5225000000000009</v>
      </c>
      <c r="N17" s="132">
        <v>8.2981000000000016</v>
      </c>
      <c r="O17" s="132">
        <v>7.9964000000000004</v>
      </c>
      <c r="P17" s="132">
        <v>7.7973000000000008</v>
      </c>
      <c r="Q17" s="132">
        <v>7.6148000000000007</v>
      </c>
      <c r="R17" s="132">
        <v>7.4406000000000008</v>
      </c>
      <c r="S17" s="132">
        <v>7.2721000000000009</v>
      </c>
      <c r="T17" s="132">
        <v>7.0992000000000006</v>
      </c>
      <c r="U17" s="132">
        <v>6.9782000000000002</v>
      </c>
    </row>
    <row r="18" spans="2:21" x14ac:dyDescent="0.25">
      <c r="B18" s="132">
        <v>-5</v>
      </c>
      <c r="C18" s="132">
        <v>10.0237</v>
      </c>
      <c r="D18" s="132">
        <v>9.2862000000000009</v>
      </c>
      <c r="E18" s="132">
        <v>8.9046999999999983</v>
      </c>
      <c r="F18" s="132">
        <v>8.3782000000000032</v>
      </c>
      <c r="G18" s="132">
        <v>8.3782000000000032</v>
      </c>
      <c r="H18" s="132">
        <v>8.1163000000000007</v>
      </c>
      <c r="I18" s="132">
        <v>7.7672000000000008</v>
      </c>
      <c r="J18" s="132">
        <v>7.5503000000000009</v>
      </c>
      <c r="K18" s="132">
        <v>7.3404999999999987</v>
      </c>
      <c r="L18" s="132">
        <v>7.0494000000000003</v>
      </c>
      <c r="M18" s="132">
        <v>7.0325000000000006</v>
      </c>
      <c r="N18" s="132">
        <v>6.8481000000000014</v>
      </c>
      <c r="O18" s="132">
        <v>6.6013999999999999</v>
      </c>
      <c r="P18" s="132">
        <v>6.4378000000000011</v>
      </c>
      <c r="Q18" s="132">
        <v>6.2868000000000004</v>
      </c>
      <c r="R18" s="132">
        <v>6.1431000000000004</v>
      </c>
      <c r="S18" s="132">
        <v>6.0046000000000008</v>
      </c>
      <c r="T18" s="132">
        <v>5.8632000000000009</v>
      </c>
      <c r="U18" s="132">
        <v>5.7661999999999995</v>
      </c>
    </row>
    <row r="19" spans="2:21" x14ac:dyDescent="0.25">
      <c r="B19" s="132">
        <v>-10</v>
      </c>
      <c r="C19" s="132">
        <v>8.5287000000000006</v>
      </c>
      <c r="D19" s="132">
        <v>7.9047000000000001</v>
      </c>
      <c r="E19" s="132">
        <v>7.5756999999999985</v>
      </c>
      <c r="F19" s="132">
        <v>7.0737000000000023</v>
      </c>
      <c r="G19" s="132">
        <v>7.0737000000000023</v>
      </c>
      <c r="H19" s="132">
        <v>6.9243000000000006</v>
      </c>
      <c r="I19" s="132">
        <v>6.5912000000000006</v>
      </c>
      <c r="J19" s="132">
        <v>6.4458000000000002</v>
      </c>
      <c r="K19" s="132">
        <v>6.2619999999999987</v>
      </c>
      <c r="L19" s="132">
        <v>6.0148999999999999</v>
      </c>
      <c r="M19" s="132">
        <v>6.017500000000001</v>
      </c>
      <c r="N19" s="132">
        <v>5.8631000000000011</v>
      </c>
      <c r="O19" s="132">
        <v>5.6563999999999997</v>
      </c>
      <c r="P19" s="132">
        <v>5.5183</v>
      </c>
      <c r="Q19" s="132">
        <v>5.3887999999999998</v>
      </c>
      <c r="R19" s="132">
        <v>5.2656000000000009</v>
      </c>
      <c r="S19" s="132">
        <v>5.142100000000001</v>
      </c>
      <c r="T19" s="132">
        <v>5.0222000000000007</v>
      </c>
      <c r="U19" s="132">
        <v>4.9441999999999995</v>
      </c>
    </row>
    <row r="20" spans="2:21" x14ac:dyDescent="0.25">
      <c r="B20" s="132">
        <v>-15</v>
      </c>
      <c r="C20" s="132">
        <v>7.8837000000000002</v>
      </c>
      <c r="D20" s="132">
        <v>7.3081999999999994</v>
      </c>
      <c r="E20" s="132">
        <v>6.9966999999999988</v>
      </c>
      <c r="F20" s="132">
        <v>6.494200000000002</v>
      </c>
      <c r="G20" s="132">
        <v>6.494200000000002</v>
      </c>
      <c r="H20" s="132">
        <v>6.3523000000000005</v>
      </c>
      <c r="I20" s="132">
        <v>6.0902000000000012</v>
      </c>
      <c r="J20" s="132">
        <v>5.9162999999999997</v>
      </c>
      <c r="K20" s="132">
        <v>5.7434999999999992</v>
      </c>
      <c r="L20" s="132">
        <v>5.5153999999999996</v>
      </c>
      <c r="M20" s="132">
        <v>5.4775000000000009</v>
      </c>
      <c r="N20" s="132">
        <v>5.3431000000000015</v>
      </c>
      <c r="O20" s="132">
        <v>5.1614000000000004</v>
      </c>
      <c r="P20" s="132">
        <v>5.0388000000000011</v>
      </c>
      <c r="Q20" s="132">
        <v>4.9207999999999998</v>
      </c>
      <c r="R20" s="132">
        <v>4.8081000000000005</v>
      </c>
      <c r="S20" s="132">
        <v>4.6846000000000005</v>
      </c>
      <c r="T20" s="132">
        <v>4.5762</v>
      </c>
      <c r="U20" s="132">
        <v>4.5121999999999991</v>
      </c>
    </row>
    <row r="21" spans="2:21" x14ac:dyDescent="0.25">
      <c r="B21" s="132">
        <v>-20</v>
      </c>
      <c r="C21" s="132">
        <v>8.0886999999999993</v>
      </c>
      <c r="D21" s="132">
        <v>7.4966999999999988</v>
      </c>
      <c r="E21" s="132">
        <v>7.1676999999999982</v>
      </c>
      <c r="F21" s="132">
        <v>6.639700000000003</v>
      </c>
      <c r="G21" s="132">
        <v>6.639700000000003</v>
      </c>
      <c r="H21" s="132">
        <v>6.4003000000000005</v>
      </c>
      <c r="I21" s="132">
        <v>6.2642000000000007</v>
      </c>
      <c r="J21" s="132">
        <v>5.9618000000000002</v>
      </c>
      <c r="K21" s="132">
        <v>5.7849999999999975</v>
      </c>
      <c r="L21" s="132">
        <v>5.5508999999999995</v>
      </c>
      <c r="M21" s="132">
        <v>5.4125000000000005</v>
      </c>
      <c r="N21" s="132">
        <v>5.2881000000000009</v>
      </c>
      <c r="O21" s="132">
        <v>5.1163999999999996</v>
      </c>
      <c r="P21" s="132">
        <v>4.9992999999999999</v>
      </c>
      <c r="Q21" s="132">
        <v>4.8827999999999996</v>
      </c>
      <c r="R21" s="132">
        <v>4.7706000000000017</v>
      </c>
      <c r="S21" s="132">
        <v>4.6320999999999994</v>
      </c>
      <c r="T21" s="132">
        <v>4.5252000000000008</v>
      </c>
      <c r="U21" s="132">
        <v>4.4701999999999984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U21"/>
  <sheetViews>
    <sheetView zoomScaleNormal="100" workbookViewId="0">
      <selection activeCell="B2" sqref="B2:U21"/>
    </sheetView>
  </sheetViews>
  <sheetFormatPr defaultRowHeight="15" x14ac:dyDescent="0.25"/>
  <sheetData>
    <row r="2" spans="2:21" x14ac:dyDescent="0.25">
      <c r="B2" t="s">
        <v>0</v>
      </c>
      <c r="C2">
        <v>2</v>
      </c>
      <c r="D2">
        <v>2.1</v>
      </c>
      <c r="E2">
        <v>2.2000000000000002</v>
      </c>
      <c r="F2">
        <v>2.2999999999999998</v>
      </c>
      <c r="G2">
        <v>2.4</v>
      </c>
      <c r="H2">
        <v>2.5</v>
      </c>
      <c r="I2">
        <v>2.6</v>
      </c>
      <c r="J2">
        <v>2.7</v>
      </c>
      <c r="K2">
        <v>2.8</v>
      </c>
      <c r="L2">
        <v>2.9</v>
      </c>
      <c r="M2">
        <v>3</v>
      </c>
      <c r="N2">
        <v>3.1</v>
      </c>
      <c r="O2">
        <v>3.2</v>
      </c>
      <c r="P2">
        <v>3.3</v>
      </c>
      <c r="Q2">
        <v>3.4</v>
      </c>
      <c r="R2">
        <v>3.5</v>
      </c>
      <c r="S2">
        <v>3.6</v>
      </c>
      <c r="T2">
        <v>3.7</v>
      </c>
      <c r="U2">
        <v>3.8</v>
      </c>
    </row>
    <row r="3" spans="2:21" x14ac:dyDescent="0.25">
      <c r="B3">
        <v>14</v>
      </c>
      <c r="C3">
        <v>38.083400000000005</v>
      </c>
      <c r="D3">
        <v>33.449600000000004</v>
      </c>
      <c r="E3">
        <v>32.1252</v>
      </c>
      <c r="F3">
        <v>31.018000000000004</v>
      </c>
      <c r="G3">
        <v>29.953400000000002</v>
      </c>
      <c r="H3">
        <v>28.756599999999999</v>
      </c>
      <c r="I3">
        <v>27.980299999999996</v>
      </c>
      <c r="J3">
        <v>26.905100000000001</v>
      </c>
      <c r="K3">
        <v>26.219799999999999</v>
      </c>
      <c r="L3">
        <v>25.386099999999999</v>
      </c>
      <c r="M3">
        <v>24.640599999999999</v>
      </c>
      <c r="N3">
        <v>24.090499999999999</v>
      </c>
      <c r="O3">
        <v>23.305499999999999</v>
      </c>
      <c r="P3">
        <v>22.745699999999999</v>
      </c>
      <c r="Q3">
        <v>22.262299999999996</v>
      </c>
      <c r="R3">
        <v>21.832999999999998</v>
      </c>
      <c r="S3">
        <v>21.4086</v>
      </c>
      <c r="T3">
        <v>20.941700000000001</v>
      </c>
      <c r="U3">
        <v>20.637499999999999</v>
      </c>
    </row>
    <row r="4" spans="2:21" x14ac:dyDescent="0.25">
      <c r="B4">
        <v>13</v>
      </c>
      <c r="C4">
        <v>34.543500000000002</v>
      </c>
      <c r="D4">
        <v>30.438299999999998</v>
      </c>
      <c r="E4">
        <v>29.221299999999999</v>
      </c>
      <c r="F4">
        <v>28.192800000000002</v>
      </c>
      <c r="G4">
        <v>27.2148</v>
      </c>
      <c r="H4">
        <v>26.129999999999995</v>
      </c>
      <c r="I4">
        <v>25.414499999999997</v>
      </c>
      <c r="J4">
        <v>24.423199999999998</v>
      </c>
      <c r="K4">
        <v>23.790800000000001</v>
      </c>
      <c r="L4">
        <v>23.0044</v>
      </c>
      <c r="M4">
        <v>22.346399999999996</v>
      </c>
      <c r="N4">
        <v>21.836100000000002</v>
      </c>
      <c r="O4">
        <v>21.102499999999999</v>
      </c>
      <c r="P4">
        <v>20.592200000000002</v>
      </c>
      <c r="Q4">
        <v>20.144899999999996</v>
      </c>
      <c r="R4">
        <v>19.743499999999997</v>
      </c>
      <c r="S4">
        <v>19.349299999999999</v>
      </c>
      <c r="T4">
        <v>18.9161</v>
      </c>
      <c r="U4">
        <v>18.636599999999998</v>
      </c>
    </row>
    <row r="5" spans="2:21" x14ac:dyDescent="0.25">
      <c r="B5">
        <v>12</v>
      </c>
      <c r="C5">
        <v>31.2742</v>
      </c>
      <c r="D5">
        <v>27.656999999999996</v>
      </c>
      <c r="E5">
        <v>26.540199999999999</v>
      </c>
      <c r="F5">
        <v>25.585799999999999</v>
      </c>
      <c r="G5">
        <v>24.6906</v>
      </c>
      <c r="H5">
        <v>23.708600000000001</v>
      </c>
      <c r="I5">
        <v>23.0501</v>
      </c>
      <c r="J5">
        <v>22.136899999999997</v>
      </c>
      <c r="K5">
        <v>21.553999999999998</v>
      </c>
      <c r="L5">
        <v>20.812899999999999</v>
      </c>
      <c r="M5">
        <v>20.235999999999997</v>
      </c>
      <c r="N5">
        <v>19.762900000000002</v>
      </c>
      <c r="O5">
        <v>19.078099999999999</v>
      </c>
      <c r="P5">
        <v>18.613500000000002</v>
      </c>
      <c r="Q5">
        <v>18.200099999999999</v>
      </c>
      <c r="R5">
        <v>17.825000000000003</v>
      </c>
      <c r="S5">
        <v>17.459199999999999</v>
      </c>
      <c r="T5">
        <v>17.057700000000001</v>
      </c>
      <c r="U5">
        <v>16.801099999999998</v>
      </c>
    </row>
    <row r="6" spans="2:21" x14ac:dyDescent="0.25">
      <c r="B6">
        <v>11</v>
      </c>
      <c r="C6">
        <v>28.275500000000001</v>
      </c>
      <c r="D6">
        <v>25.105699999999999</v>
      </c>
      <c r="E6">
        <v>24.081900000000001</v>
      </c>
      <c r="F6">
        <v>23.197000000000003</v>
      </c>
      <c r="G6">
        <v>22.380800000000001</v>
      </c>
      <c r="H6">
        <v>21.4924</v>
      </c>
      <c r="I6">
        <v>20.887099999999997</v>
      </c>
      <c r="J6">
        <v>20.046199999999999</v>
      </c>
      <c r="K6">
        <v>19.509399999999999</v>
      </c>
      <c r="L6">
        <v>18.811599999999999</v>
      </c>
      <c r="M6">
        <v>18.309399999999997</v>
      </c>
      <c r="N6">
        <v>17.870899999999999</v>
      </c>
      <c r="O6">
        <v>17.232300000000002</v>
      </c>
      <c r="P6">
        <v>16.8096</v>
      </c>
      <c r="Q6">
        <v>16.427899999999998</v>
      </c>
      <c r="R6">
        <v>16.077500000000001</v>
      </c>
      <c r="S6">
        <v>15.738299999999999</v>
      </c>
      <c r="T6">
        <v>15.366499999999998</v>
      </c>
      <c r="U6">
        <v>15.130999999999998</v>
      </c>
    </row>
    <row r="7" spans="2:21" x14ac:dyDescent="0.25">
      <c r="B7">
        <v>10</v>
      </c>
      <c r="C7">
        <v>25.547400000000003</v>
      </c>
      <c r="D7">
        <v>22.784399999999998</v>
      </c>
      <c r="E7">
        <v>21.846400000000003</v>
      </c>
      <c r="F7">
        <v>21.026400000000002</v>
      </c>
      <c r="G7">
        <v>20.285400000000003</v>
      </c>
      <c r="H7">
        <v>19.481400000000001</v>
      </c>
      <c r="I7">
        <v>18.9255</v>
      </c>
      <c r="J7">
        <v>18.1511</v>
      </c>
      <c r="K7">
        <v>17.657</v>
      </c>
      <c r="L7">
        <v>17.000500000000002</v>
      </c>
      <c r="M7">
        <v>16.566599999999998</v>
      </c>
      <c r="N7">
        <v>16.1601</v>
      </c>
      <c r="O7">
        <v>15.565100000000001</v>
      </c>
      <c r="P7">
        <v>15.1805</v>
      </c>
      <c r="Q7">
        <v>14.828299999999999</v>
      </c>
      <c r="R7">
        <v>14.500999999999999</v>
      </c>
      <c r="S7">
        <v>14.186599999999999</v>
      </c>
      <c r="T7">
        <v>13.842500000000001</v>
      </c>
      <c r="U7">
        <v>13.626300000000001</v>
      </c>
    </row>
    <row r="8" spans="2:21" x14ac:dyDescent="0.25">
      <c r="B8">
        <v>9</v>
      </c>
      <c r="C8">
        <v>23.0899</v>
      </c>
      <c r="D8">
        <v>20.693100000000001</v>
      </c>
      <c r="E8">
        <v>19.8337</v>
      </c>
      <c r="F8">
        <v>19.074000000000002</v>
      </c>
      <c r="G8">
        <v>18.404400000000003</v>
      </c>
      <c r="H8">
        <v>17.675599999999999</v>
      </c>
      <c r="I8">
        <v>17.165299999999998</v>
      </c>
      <c r="J8">
        <v>16.451599999999999</v>
      </c>
      <c r="K8">
        <v>15.9968</v>
      </c>
      <c r="L8">
        <v>15.3796</v>
      </c>
      <c r="M8">
        <v>15.007599999999998</v>
      </c>
      <c r="N8">
        <v>14.630500000000001</v>
      </c>
      <c r="O8">
        <v>14.076499999999999</v>
      </c>
      <c r="P8">
        <v>13.7262</v>
      </c>
      <c r="Q8">
        <v>13.401299999999997</v>
      </c>
      <c r="R8">
        <v>13.095500000000001</v>
      </c>
      <c r="S8">
        <v>12.8041</v>
      </c>
      <c r="T8">
        <v>12.4857</v>
      </c>
      <c r="U8">
        <v>12.286999999999999</v>
      </c>
    </row>
    <row r="9" spans="2:21" x14ac:dyDescent="0.25">
      <c r="B9">
        <v>8</v>
      </c>
      <c r="C9">
        <v>20.902999999999999</v>
      </c>
      <c r="D9">
        <v>18.831800000000001</v>
      </c>
      <c r="E9">
        <v>18.043800000000001</v>
      </c>
      <c r="F9">
        <v>17.3398</v>
      </c>
      <c r="G9">
        <v>16.7378</v>
      </c>
      <c r="H9">
        <v>16.074999999999999</v>
      </c>
      <c r="I9">
        <v>15.606499999999999</v>
      </c>
      <c r="J9">
        <v>14.947699999999998</v>
      </c>
      <c r="K9">
        <v>14.5288</v>
      </c>
      <c r="L9">
        <v>13.9489</v>
      </c>
      <c r="M9">
        <v>13.632399999999999</v>
      </c>
      <c r="N9">
        <v>13.2821</v>
      </c>
      <c r="O9">
        <v>12.766500000000001</v>
      </c>
      <c r="P9">
        <v>12.4467</v>
      </c>
      <c r="Q9">
        <v>12.146899999999999</v>
      </c>
      <c r="R9">
        <v>11.861000000000001</v>
      </c>
      <c r="S9">
        <v>11.5908</v>
      </c>
      <c r="T9">
        <v>11.296099999999999</v>
      </c>
      <c r="U9">
        <v>11.113099999999999</v>
      </c>
    </row>
    <row r="10" spans="2:21" x14ac:dyDescent="0.25">
      <c r="B10">
        <v>7</v>
      </c>
      <c r="C10">
        <v>18.986699999999999</v>
      </c>
      <c r="D10">
        <v>17.200499999999998</v>
      </c>
      <c r="E10">
        <v>16.476700000000001</v>
      </c>
      <c r="F10">
        <v>15.823800000000002</v>
      </c>
      <c r="G10">
        <v>15.285600000000002</v>
      </c>
      <c r="H10">
        <v>14.679600000000001</v>
      </c>
      <c r="I10">
        <v>14.249099999999999</v>
      </c>
      <c r="J10">
        <v>13.639399999999998</v>
      </c>
      <c r="K10">
        <v>13.253</v>
      </c>
      <c r="L10">
        <v>12.708400000000001</v>
      </c>
      <c r="M10">
        <v>12.440999999999999</v>
      </c>
      <c r="N10">
        <v>12.1149</v>
      </c>
      <c r="O10">
        <v>11.635100000000001</v>
      </c>
      <c r="P10">
        <v>11.341999999999999</v>
      </c>
      <c r="Q10">
        <v>11.065099999999997</v>
      </c>
      <c r="R10">
        <v>10.797499999999999</v>
      </c>
      <c r="S10">
        <v>10.5467</v>
      </c>
      <c r="T10">
        <v>10.2737</v>
      </c>
      <c r="U10">
        <v>10.1046</v>
      </c>
    </row>
    <row r="11" spans="2:21" x14ac:dyDescent="0.25">
      <c r="B11">
        <v>6</v>
      </c>
      <c r="C11">
        <v>17.341000000000001</v>
      </c>
      <c r="D11">
        <v>15.799199999999999</v>
      </c>
      <c r="E11">
        <v>15.132400000000001</v>
      </c>
      <c r="F11">
        <v>14.526</v>
      </c>
      <c r="G11">
        <v>14.047800000000001</v>
      </c>
      <c r="H11">
        <v>13.4894</v>
      </c>
      <c r="I11">
        <v>13.093099999999998</v>
      </c>
      <c r="J11">
        <v>12.526699999999998</v>
      </c>
      <c r="K11">
        <v>12.1694</v>
      </c>
      <c r="L11">
        <v>11.658100000000001</v>
      </c>
      <c r="M11">
        <v>11.433399999999999</v>
      </c>
      <c r="N11">
        <v>11.128900000000002</v>
      </c>
      <c r="O11">
        <v>10.682300000000001</v>
      </c>
      <c r="P11">
        <v>10.412099999999999</v>
      </c>
      <c r="Q11">
        <v>10.155899999999999</v>
      </c>
      <c r="R11">
        <v>9.9050000000000011</v>
      </c>
      <c r="S11">
        <v>9.6718000000000011</v>
      </c>
      <c r="T11">
        <v>9.4184999999999999</v>
      </c>
      <c r="U11">
        <v>9.2614999999999998</v>
      </c>
    </row>
    <row r="12" spans="2:21" x14ac:dyDescent="0.25">
      <c r="B12">
        <v>5</v>
      </c>
      <c r="C12">
        <v>15.965900000000001</v>
      </c>
      <c r="D12">
        <v>14.6279</v>
      </c>
      <c r="E12">
        <v>14.010899999999999</v>
      </c>
      <c r="F12">
        <v>13.446400000000001</v>
      </c>
      <c r="G12">
        <v>13.0244</v>
      </c>
      <c r="H12">
        <v>12.504399999999999</v>
      </c>
      <c r="I12">
        <v>12.138499999999999</v>
      </c>
      <c r="J12">
        <v>11.609599999999999</v>
      </c>
      <c r="K12">
        <v>11.278</v>
      </c>
      <c r="L12">
        <v>10.798</v>
      </c>
      <c r="M12">
        <v>10.609599999999999</v>
      </c>
      <c r="N12">
        <v>10.324100000000001</v>
      </c>
      <c r="O12">
        <v>9.908100000000001</v>
      </c>
      <c r="P12">
        <v>9.657</v>
      </c>
      <c r="Q12">
        <v>9.419299999999998</v>
      </c>
      <c r="R12">
        <v>9.1835000000000004</v>
      </c>
      <c r="S12">
        <v>8.9661000000000008</v>
      </c>
      <c r="T12">
        <v>8.7304999999999993</v>
      </c>
      <c r="U12">
        <v>8.5838000000000001</v>
      </c>
    </row>
    <row r="13" spans="2:21" x14ac:dyDescent="0.25">
      <c r="B13">
        <v>4</v>
      </c>
      <c r="C13">
        <v>14.8614</v>
      </c>
      <c r="D13">
        <v>13.686599999999999</v>
      </c>
      <c r="E13">
        <v>13.1122</v>
      </c>
      <c r="F13">
        <v>12.585000000000001</v>
      </c>
      <c r="G13">
        <v>12.215400000000001</v>
      </c>
      <c r="H13">
        <v>11.724599999999999</v>
      </c>
      <c r="I13">
        <v>11.385299999999997</v>
      </c>
      <c r="J13">
        <v>10.888099999999998</v>
      </c>
      <c r="K13">
        <v>10.578800000000001</v>
      </c>
      <c r="L13">
        <v>10.1281</v>
      </c>
      <c r="M13">
        <v>9.969599999999998</v>
      </c>
      <c r="N13">
        <v>9.7004999999999999</v>
      </c>
      <c r="O13">
        <v>9.3125</v>
      </c>
      <c r="P13">
        <v>9.0766999999999989</v>
      </c>
      <c r="Q13">
        <v>8.855299999999998</v>
      </c>
      <c r="R13">
        <v>8.6330000000000009</v>
      </c>
      <c r="S13">
        <v>8.4296000000000006</v>
      </c>
      <c r="T13">
        <v>8.2096999999999998</v>
      </c>
      <c r="U13">
        <v>8.0715000000000003</v>
      </c>
    </row>
    <row r="14" spans="2:21" x14ac:dyDescent="0.25">
      <c r="B14">
        <v>3</v>
      </c>
      <c r="C14">
        <v>14.0275</v>
      </c>
      <c r="D14">
        <v>12.975299999999999</v>
      </c>
      <c r="E14">
        <v>12.436299999999999</v>
      </c>
      <c r="F14">
        <v>11.941800000000001</v>
      </c>
      <c r="G14">
        <v>11.620800000000001</v>
      </c>
      <c r="H14">
        <v>11.149999999999999</v>
      </c>
      <c r="I14">
        <v>10.833499999999999</v>
      </c>
      <c r="J14">
        <v>10.362199999999998</v>
      </c>
      <c r="K14">
        <v>10.071800000000001</v>
      </c>
      <c r="L14">
        <v>9.6484000000000005</v>
      </c>
      <c r="M14">
        <v>9.513399999999999</v>
      </c>
      <c r="N14">
        <v>9.2581000000000007</v>
      </c>
      <c r="O14">
        <v>8.8955000000000002</v>
      </c>
      <c r="P14">
        <v>8.6711999999999989</v>
      </c>
      <c r="Q14">
        <v>8.4638999999999989</v>
      </c>
      <c r="R14">
        <v>8.2535000000000007</v>
      </c>
      <c r="S14">
        <v>8.0623000000000005</v>
      </c>
      <c r="T14">
        <v>7.8560999999999996</v>
      </c>
      <c r="U14">
        <v>7.7245999999999997</v>
      </c>
    </row>
    <row r="15" spans="2:21" x14ac:dyDescent="0.25">
      <c r="B15">
        <v>2</v>
      </c>
      <c r="C15">
        <v>13.4642</v>
      </c>
      <c r="D15">
        <v>12.494</v>
      </c>
      <c r="E15">
        <v>11.9832</v>
      </c>
      <c r="F15">
        <v>11.5168</v>
      </c>
      <c r="G15">
        <v>11.240600000000001</v>
      </c>
      <c r="H15">
        <v>10.7806</v>
      </c>
      <c r="I15">
        <v>10.483099999999999</v>
      </c>
      <c r="J15">
        <v>10.031899999999998</v>
      </c>
      <c r="K15">
        <v>9.7570000000000014</v>
      </c>
      <c r="L15">
        <v>9.3589000000000002</v>
      </c>
      <c r="M15">
        <v>9.2409999999999979</v>
      </c>
      <c r="N15">
        <v>8.9969000000000001</v>
      </c>
      <c r="O15">
        <v>8.6571000000000016</v>
      </c>
      <c r="P15">
        <v>8.4404999999999983</v>
      </c>
      <c r="Q15">
        <v>8.245099999999999</v>
      </c>
      <c r="R15">
        <v>8.0449999999999999</v>
      </c>
      <c r="S15">
        <v>7.8642000000000003</v>
      </c>
      <c r="T15">
        <v>7.6696999999999997</v>
      </c>
      <c r="U15">
        <v>7.5430999999999999</v>
      </c>
    </row>
    <row r="16" spans="2:21" x14ac:dyDescent="0.25">
      <c r="B16">
        <v>1</v>
      </c>
      <c r="C16">
        <v>13.1715</v>
      </c>
      <c r="D16">
        <v>12.242699999999999</v>
      </c>
      <c r="E16">
        <v>11.7529</v>
      </c>
      <c r="F16">
        <v>11.31</v>
      </c>
      <c r="G16">
        <v>11.0748</v>
      </c>
      <c r="H16">
        <v>10.616399999999999</v>
      </c>
      <c r="I16">
        <v>10.334099999999998</v>
      </c>
      <c r="J16">
        <v>9.897199999999998</v>
      </c>
      <c r="K16">
        <v>9.6344000000000012</v>
      </c>
      <c r="L16">
        <v>9.2596000000000007</v>
      </c>
      <c r="M16">
        <v>9.1523999999999983</v>
      </c>
      <c r="N16">
        <v>8.9169</v>
      </c>
      <c r="O16">
        <v>8.5973000000000006</v>
      </c>
      <c r="P16">
        <v>8.3845999999999989</v>
      </c>
      <c r="Q16">
        <v>8.1988999999999983</v>
      </c>
      <c r="R16">
        <v>8.0075000000000003</v>
      </c>
      <c r="S16">
        <v>7.8353000000000002</v>
      </c>
      <c r="T16">
        <v>7.6505000000000001</v>
      </c>
      <c r="U16">
        <v>7.5269999999999992</v>
      </c>
    </row>
    <row r="17" spans="2:21" x14ac:dyDescent="0.25">
      <c r="B17">
        <v>0</v>
      </c>
      <c r="C17">
        <v>12.325199999999999</v>
      </c>
      <c r="D17">
        <v>11.4092</v>
      </c>
      <c r="E17">
        <v>10.940199999999999</v>
      </c>
      <c r="F17">
        <v>10.5222</v>
      </c>
      <c r="G17">
        <v>10.3642</v>
      </c>
      <c r="H17">
        <v>9.8848000000000003</v>
      </c>
      <c r="I17">
        <v>9.5747</v>
      </c>
      <c r="J17">
        <v>9.1862999999999992</v>
      </c>
      <c r="K17">
        <v>8.9354999999999993</v>
      </c>
      <c r="L17">
        <v>8.5754000000000001</v>
      </c>
      <c r="M17">
        <v>8.4789999999999992</v>
      </c>
      <c r="N17">
        <v>8.2545999999999999</v>
      </c>
      <c r="O17">
        <v>7.9528999999999996</v>
      </c>
      <c r="P17">
        <v>7.7538</v>
      </c>
      <c r="Q17">
        <v>7.5712999999999999</v>
      </c>
      <c r="R17">
        <v>7.3971</v>
      </c>
      <c r="S17">
        <v>7.2286000000000001</v>
      </c>
      <c r="T17">
        <v>7.0556999999999999</v>
      </c>
      <c r="U17">
        <v>6.9346999999999994</v>
      </c>
    </row>
    <row r="18" spans="2:21" x14ac:dyDescent="0.25">
      <c r="B18">
        <v>-5</v>
      </c>
      <c r="C18">
        <v>9.9426999999999985</v>
      </c>
      <c r="D18">
        <v>9.2051999999999996</v>
      </c>
      <c r="E18">
        <v>8.8236999999999988</v>
      </c>
      <c r="F18">
        <v>8.4806999999999988</v>
      </c>
      <c r="G18">
        <v>8.2972000000000001</v>
      </c>
      <c r="H18">
        <v>8.0352999999999994</v>
      </c>
      <c r="I18">
        <v>7.6861999999999995</v>
      </c>
      <c r="J18">
        <v>7.4692999999999987</v>
      </c>
      <c r="K18">
        <v>7.2594999999999992</v>
      </c>
      <c r="L18">
        <v>6.9683999999999999</v>
      </c>
      <c r="M18">
        <v>6.9514999999999993</v>
      </c>
      <c r="N18">
        <v>6.7670999999999992</v>
      </c>
      <c r="O18">
        <v>6.5203999999999995</v>
      </c>
      <c r="P18">
        <v>6.3567999999999998</v>
      </c>
      <c r="Q18">
        <v>6.2058</v>
      </c>
      <c r="R18">
        <v>6.0621</v>
      </c>
      <c r="S18">
        <v>5.9236000000000004</v>
      </c>
      <c r="T18">
        <v>5.9236000000000004</v>
      </c>
      <c r="U18">
        <v>5.6851999999999991</v>
      </c>
    </row>
    <row r="19" spans="2:21" x14ac:dyDescent="0.25">
      <c r="B19">
        <v>-10</v>
      </c>
      <c r="C19">
        <v>8.4351999999999983</v>
      </c>
      <c r="D19">
        <v>7.8112000000000004</v>
      </c>
      <c r="E19">
        <v>7.4821999999999989</v>
      </c>
      <c r="F19">
        <v>7.1891999999999996</v>
      </c>
      <c r="G19">
        <v>6.9802</v>
      </c>
      <c r="H19">
        <v>6.8308</v>
      </c>
      <c r="I19">
        <v>6.4977</v>
      </c>
      <c r="J19">
        <v>6.3522999999999987</v>
      </c>
      <c r="K19">
        <v>6.168499999999999</v>
      </c>
      <c r="L19">
        <v>5.9214000000000002</v>
      </c>
      <c r="M19">
        <v>5.9239999999999986</v>
      </c>
      <c r="N19">
        <v>5.7695999999999996</v>
      </c>
      <c r="O19">
        <v>5.5628999999999991</v>
      </c>
      <c r="P19">
        <v>5.4247999999999994</v>
      </c>
      <c r="Q19">
        <v>5.2952999999999992</v>
      </c>
      <c r="R19">
        <v>5.1721000000000004</v>
      </c>
      <c r="S19">
        <v>5.0485999999999995</v>
      </c>
      <c r="T19">
        <v>5.0485999999999995</v>
      </c>
      <c r="U19">
        <v>4.8506999999999989</v>
      </c>
    </row>
    <row r="20" spans="2:21" x14ac:dyDescent="0.25">
      <c r="B20">
        <v>-15</v>
      </c>
      <c r="C20">
        <v>7.802699999999998</v>
      </c>
      <c r="D20">
        <v>7.2271999999999998</v>
      </c>
      <c r="E20">
        <v>6.9156999999999984</v>
      </c>
      <c r="F20">
        <v>6.6477000000000004</v>
      </c>
      <c r="G20">
        <v>6.4132000000000016</v>
      </c>
      <c r="H20">
        <v>6.2713000000000001</v>
      </c>
      <c r="I20">
        <v>6.0091999999999999</v>
      </c>
      <c r="J20">
        <v>5.8352999999999993</v>
      </c>
      <c r="K20">
        <v>5.6624999999999988</v>
      </c>
      <c r="L20">
        <v>5.4344000000000001</v>
      </c>
      <c r="M20">
        <v>5.3964999999999987</v>
      </c>
      <c r="N20">
        <v>5.2620999999999993</v>
      </c>
      <c r="O20">
        <v>5.0803999999999991</v>
      </c>
      <c r="P20">
        <v>4.9577999999999998</v>
      </c>
      <c r="Q20">
        <v>4.8397999999999994</v>
      </c>
      <c r="R20">
        <v>4.7271000000000001</v>
      </c>
      <c r="S20">
        <v>4.6036000000000001</v>
      </c>
      <c r="T20">
        <v>4.6036000000000001</v>
      </c>
      <c r="U20">
        <v>4.4311999999999987</v>
      </c>
    </row>
    <row r="21" spans="2:21" x14ac:dyDescent="0.25">
      <c r="B21">
        <v>-20</v>
      </c>
      <c r="C21">
        <v>8.0451999999999977</v>
      </c>
      <c r="D21">
        <v>7.4531999999999998</v>
      </c>
      <c r="E21">
        <v>7.1241999999999992</v>
      </c>
      <c r="F21">
        <v>6.8562000000000003</v>
      </c>
      <c r="G21">
        <v>6.5962000000000005</v>
      </c>
      <c r="H21">
        <v>6.3567999999999998</v>
      </c>
      <c r="I21">
        <v>6.2206999999999999</v>
      </c>
      <c r="J21">
        <v>5.9182999999999977</v>
      </c>
      <c r="K21">
        <v>5.7414999999999985</v>
      </c>
      <c r="L21">
        <v>5.5073999999999996</v>
      </c>
      <c r="M21">
        <v>5.368999999999998</v>
      </c>
      <c r="N21">
        <v>5.2445999999999993</v>
      </c>
      <c r="O21">
        <v>5.0728999999999989</v>
      </c>
      <c r="P21">
        <v>4.9558</v>
      </c>
      <c r="Q21">
        <v>4.8392999999999997</v>
      </c>
      <c r="R21">
        <v>4.7271000000000001</v>
      </c>
      <c r="S21">
        <v>4.5885999999999996</v>
      </c>
      <c r="T21">
        <v>4.5885999999999996</v>
      </c>
      <c r="U21">
        <v>4.4266999999999985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CF458"/>
  <sheetViews>
    <sheetView topLeftCell="AA448" workbookViewId="0">
      <selection activeCell="AQ452" activeCellId="18" sqref="G452 I452 K452 M452 O452 Q452 S452 U452 W452 Y452 AA452 AC452 AE452 AG452 AI452 AK452 AM452 AO452 AQ452"/>
    </sheetView>
  </sheetViews>
  <sheetFormatPr defaultRowHeight="15" x14ac:dyDescent="0.25"/>
  <cols>
    <col min="2" max="2" width="12.140625" customWidth="1"/>
    <col min="3" max="4" width="12" bestFit="1" customWidth="1"/>
    <col min="5" max="6" width="10" bestFit="1" customWidth="1"/>
    <col min="7" max="7" width="12" style="24" bestFit="1" customWidth="1"/>
    <col min="9" max="9" width="10" style="24" bestFit="1" customWidth="1"/>
    <col min="11" max="11" width="10" style="24" bestFit="1" customWidth="1"/>
    <col min="13" max="13" width="12" style="24" bestFit="1" customWidth="1"/>
    <col min="15" max="15" width="10" style="24" bestFit="1" customWidth="1"/>
    <col min="17" max="17" width="12" style="24" bestFit="1" customWidth="1"/>
    <col min="19" max="19" width="10" style="24" bestFit="1" customWidth="1"/>
    <col min="21" max="21" width="9.140625" style="24"/>
    <col min="23" max="23" width="9.140625" style="24"/>
    <col min="25" max="25" width="9.140625" style="24"/>
    <col min="27" max="27" width="9.140625" style="24"/>
    <col min="29" max="29" width="9.140625" style="24"/>
    <col min="31" max="31" width="9.140625" style="24"/>
    <col min="33" max="33" width="9.140625" style="24"/>
    <col min="35" max="35" width="9.140625" style="24"/>
    <col min="37" max="37" width="9.140625" style="24"/>
    <col min="39" max="39" width="9.140625" style="24"/>
    <col min="41" max="41" width="9.140625" style="24"/>
    <col min="43" max="43" width="9.140625" style="24"/>
  </cols>
  <sheetData>
    <row r="2" spans="2:43" x14ac:dyDescent="0.25">
      <c r="B2" s="31" t="s">
        <v>4</v>
      </c>
      <c r="C2" s="31">
        <v>13</v>
      </c>
      <c r="D2" s="31"/>
      <c r="E2" s="31"/>
      <c r="F2" s="31"/>
      <c r="G2" s="21"/>
      <c r="H2" s="31"/>
      <c r="I2" s="21"/>
      <c r="J2" s="31"/>
      <c r="K2" s="21"/>
      <c r="L2" s="31"/>
      <c r="M2" s="21"/>
      <c r="N2" s="31"/>
      <c r="O2" s="21"/>
      <c r="P2" s="31"/>
      <c r="Q2" s="21"/>
      <c r="R2" s="31"/>
      <c r="S2" s="21"/>
      <c r="T2" s="31"/>
      <c r="U2" s="21"/>
      <c r="V2" s="31"/>
      <c r="W2" s="21"/>
      <c r="X2" s="31"/>
      <c r="Y2" s="21"/>
      <c r="Z2" s="31"/>
      <c r="AA2" s="21"/>
      <c r="AB2" s="31"/>
      <c r="AC2" s="21"/>
      <c r="AD2" s="31"/>
      <c r="AE2" s="21"/>
      <c r="AF2" s="31"/>
      <c r="AG2" s="21"/>
      <c r="AH2" s="31"/>
      <c r="AI2" s="21"/>
      <c r="AJ2" s="31"/>
      <c r="AK2" s="21"/>
      <c r="AL2" s="31"/>
      <c r="AM2" s="21"/>
      <c r="AN2" s="31"/>
      <c r="AO2" s="21"/>
      <c r="AP2" s="31"/>
      <c r="AQ2" s="21"/>
    </row>
    <row r="3" spans="2:43" x14ac:dyDescent="0.25">
      <c r="B3" s="1" t="s">
        <v>1</v>
      </c>
      <c r="C3" s="1">
        <v>1.8</v>
      </c>
      <c r="D3" s="2">
        <v>1.85</v>
      </c>
      <c r="E3" s="2">
        <v>1.9</v>
      </c>
      <c r="F3" s="2">
        <v>1.95</v>
      </c>
      <c r="G3" s="22">
        <v>2</v>
      </c>
      <c r="H3" s="2">
        <v>2.0499999999999998</v>
      </c>
      <c r="I3" s="22">
        <v>2.1</v>
      </c>
      <c r="J3" s="2">
        <v>2.15</v>
      </c>
      <c r="K3" s="22">
        <v>2.2000000000000002</v>
      </c>
      <c r="L3" s="2">
        <v>2.25</v>
      </c>
      <c r="M3" s="22">
        <v>2.2999999999999998</v>
      </c>
      <c r="N3" s="2">
        <v>2.35</v>
      </c>
      <c r="O3" s="22">
        <v>2.4</v>
      </c>
      <c r="P3" s="2">
        <v>2.4500000000000002</v>
      </c>
      <c r="Q3" s="22">
        <v>2.5</v>
      </c>
      <c r="R3" s="2">
        <v>2.5499999999999998</v>
      </c>
      <c r="S3" s="22">
        <v>2.6</v>
      </c>
      <c r="T3" s="2">
        <v>2.65</v>
      </c>
      <c r="U3" s="22">
        <v>2.7</v>
      </c>
      <c r="V3" s="2">
        <v>2.75</v>
      </c>
      <c r="W3" s="22">
        <v>2.8</v>
      </c>
      <c r="X3" s="2">
        <v>2.85</v>
      </c>
      <c r="Y3" s="22">
        <v>2.9</v>
      </c>
      <c r="Z3" s="2">
        <v>2.95</v>
      </c>
      <c r="AA3" s="22">
        <v>3</v>
      </c>
      <c r="AB3" s="2">
        <v>3.05</v>
      </c>
      <c r="AC3" s="22">
        <v>3.1</v>
      </c>
      <c r="AD3" s="2">
        <v>3.15</v>
      </c>
      <c r="AE3" s="22">
        <v>3.2</v>
      </c>
      <c r="AF3" s="2">
        <v>3.25</v>
      </c>
      <c r="AG3" s="22">
        <v>3.3</v>
      </c>
      <c r="AH3" s="2">
        <v>3.35</v>
      </c>
      <c r="AI3" s="22">
        <v>3.4</v>
      </c>
      <c r="AJ3" s="2">
        <v>3.45</v>
      </c>
      <c r="AK3" s="22">
        <v>3.5</v>
      </c>
      <c r="AL3" s="2">
        <v>3.55</v>
      </c>
      <c r="AM3" s="22">
        <v>3.6</v>
      </c>
      <c r="AN3" s="2">
        <v>3.65</v>
      </c>
      <c r="AO3" s="22">
        <v>3.7</v>
      </c>
      <c r="AP3" s="2">
        <v>3.75</v>
      </c>
      <c r="AQ3" s="22">
        <v>3.8</v>
      </c>
    </row>
    <row r="4" spans="2:43" x14ac:dyDescent="0.25">
      <c r="B4" s="1" t="s">
        <v>3</v>
      </c>
      <c r="C4" s="3">
        <f>AVERAGE(C5,C6,C7,C8,C9,C10)</f>
        <v>39.933336833333335</v>
      </c>
      <c r="D4" s="3">
        <f t="shared" ref="D4:AQ4" si="0">AVERAGE(D5,D6,D7)</f>
        <v>40.159803666666669</v>
      </c>
      <c r="E4" s="3">
        <f t="shared" si="0"/>
        <v>40.200031000000003</v>
      </c>
      <c r="F4" s="3">
        <f t="shared" si="0"/>
        <v>40.199514000000001</v>
      </c>
      <c r="G4" s="34">
        <f t="shared" si="0"/>
        <v>40.199381666666667</v>
      </c>
      <c r="H4" s="3">
        <f t="shared" si="0"/>
        <v>36.27006433333333</v>
      </c>
      <c r="I4" s="34">
        <f t="shared" si="0"/>
        <v>35.565241</v>
      </c>
      <c r="J4" s="3">
        <f t="shared" si="0"/>
        <v>34.596246333333333</v>
      </c>
      <c r="K4" s="34">
        <f t="shared" si="0"/>
        <v>33.989891</v>
      </c>
      <c r="L4" s="3">
        <f t="shared" si="0"/>
        <v>33.113228999999997</v>
      </c>
      <c r="M4" s="34">
        <f t="shared" si="0"/>
        <v>32.609350666666664</v>
      </c>
      <c r="N4" s="3">
        <f t="shared" si="0"/>
        <v>31.758270666666665</v>
      </c>
      <c r="O4" s="34">
        <f t="shared" si="0"/>
        <v>31.166990999999999</v>
      </c>
      <c r="P4" s="3">
        <f t="shared" si="0"/>
        <v>30.710056333333331</v>
      </c>
      <c r="Q4" s="34">
        <f t="shared" si="0"/>
        <v>29.917204333333331</v>
      </c>
      <c r="R4" s="3">
        <f t="shared" si="0"/>
        <v>29.385845333333332</v>
      </c>
      <c r="S4" s="34">
        <f t="shared" si="0"/>
        <v>28.953380999999997</v>
      </c>
      <c r="T4" s="3">
        <f t="shared" si="0"/>
        <v>28.517098000000001</v>
      </c>
      <c r="U4" s="34">
        <f t="shared" si="0"/>
        <v>27.833135666666664</v>
      </c>
      <c r="V4" s="3">
        <f t="shared" si="0"/>
        <v>27.317251666666664</v>
      </c>
      <c r="W4" s="34">
        <f t="shared" si="0"/>
        <v>26.913668999999999</v>
      </c>
      <c r="X4" s="3">
        <f t="shared" si="0"/>
        <v>26.558643666666665</v>
      </c>
      <c r="Y4" s="34">
        <f t="shared" si="0"/>
        <v>26.154535666666664</v>
      </c>
      <c r="Z4" s="3">
        <f t="shared" si="0"/>
        <v>25.486909999999998</v>
      </c>
      <c r="AA4" s="34">
        <f t="shared" si="0"/>
        <v>25.144005666666668</v>
      </c>
      <c r="AB4" s="3">
        <f t="shared" si="0"/>
        <v>24.801598333333335</v>
      </c>
      <c r="AC4" s="34">
        <f t="shared" si="0"/>
        <v>24.481303999999998</v>
      </c>
      <c r="AD4" s="3">
        <f t="shared" si="0"/>
        <v>24.18581</v>
      </c>
      <c r="AE4" s="34">
        <f t="shared" si="0"/>
        <v>23.765971666666662</v>
      </c>
      <c r="AF4" s="3">
        <f t="shared" si="0"/>
        <v>23.254836333333333</v>
      </c>
      <c r="AG4" s="34">
        <f t="shared" si="0"/>
        <v>22.95466133333333</v>
      </c>
      <c r="AH4" s="3">
        <f t="shared" si="0"/>
        <v>22.693635333333333</v>
      </c>
      <c r="AI4" s="34">
        <f t="shared" si="0"/>
        <v>22.410430666666667</v>
      </c>
      <c r="AJ4" s="3">
        <f t="shared" si="0"/>
        <v>22.145228000000003</v>
      </c>
      <c r="AK4" s="34">
        <f t="shared" si="0"/>
        <v>21.891043999999997</v>
      </c>
      <c r="AL4" s="3">
        <f t="shared" si="0"/>
        <v>21.641452333333334</v>
      </c>
      <c r="AM4" s="34">
        <f t="shared" si="0"/>
        <v>21.418863666666667</v>
      </c>
      <c r="AN4" s="3">
        <f t="shared" si="0"/>
        <v>21.181807666666668</v>
      </c>
      <c r="AO4" s="34">
        <f t="shared" si="0"/>
        <v>20.976918000000001</v>
      </c>
      <c r="AP4" s="3">
        <f t="shared" si="0"/>
        <v>20.757112333333335</v>
      </c>
      <c r="AQ4" s="34">
        <f t="shared" si="0"/>
        <v>20.551758333333332</v>
      </c>
    </row>
    <row r="5" spans="2:43" x14ac:dyDescent="0.25">
      <c r="B5" s="1">
        <v>1</v>
      </c>
      <c r="C5" s="3">
        <v>40.145113000000002</v>
      </c>
      <c r="D5" s="3">
        <v>40.351819999999996</v>
      </c>
      <c r="E5" s="3">
        <v>40.430359000000003</v>
      </c>
      <c r="F5" s="3">
        <v>40.444651</v>
      </c>
      <c r="G5" s="34">
        <v>40.449696000000003</v>
      </c>
      <c r="H5" s="3">
        <v>36.473368999999998</v>
      </c>
      <c r="I5" s="34">
        <v>35.819766999999999</v>
      </c>
      <c r="J5" s="3">
        <v>34.827551</v>
      </c>
      <c r="K5" s="34">
        <v>34.172617000000002</v>
      </c>
      <c r="L5" s="3">
        <v>33.362853000000001</v>
      </c>
      <c r="M5" s="34">
        <v>32.867904000000003</v>
      </c>
      <c r="N5" s="3">
        <v>31.898647</v>
      </c>
      <c r="O5" s="34">
        <v>31.402978000000001</v>
      </c>
      <c r="P5" s="3">
        <v>30.950714999999999</v>
      </c>
      <c r="Q5" s="34">
        <v>30.069275999999999</v>
      </c>
      <c r="R5" s="3">
        <v>29.618251999999998</v>
      </c>
      <c r="S5" s="34">
        <v>29.183911999999999</v>
      </c>
      <c r="T5" s="3">
        <v>28.780338</v>
      </c>
      <c r="U5" s="34">
        <v>27.921420999999999</v>
      </c>
      <c r="V5" s="3">
        <v>27.534694999999999</v>
      </c>
      <c r="W5" s="34">
        <v>27.126849</v>
      </c>
      <c r="X5" s="3">
        <v>26.768277999999999</v>
      </c>
      <c r="Y5" s="34">
        <v>26.432099999999998</v>
      </c>
      <c r="Z5" s="3">
        <v>25.686022999999999</v>
      </c>
      <c r="AA5" s="34">
        <v>25.344653000000001</v>
      </c>
      <c r="AB5" s="3">
        <v>24.982564</v>
      </c>
      <c r="AC5" s="34">
        <v>24.688753999999999</v>
      </c>
      <c r="AD5" s="3">
        <v>24.377808999999999</v>
      </c>
      <c r="AE5" s="34">
        <v>24.079422000000001</v>
      </c>
      <c r="AF5" s="3">
        <v>23.440664000000002</v>
      </c>
      <c r="AG5" s="34">
        <v>23.132007999999999</v>
      </c>
      <c r="AH5" s="3">
        <v>22.860476999999999</v>
      </c>
      <c r="AI5" s="34">
        <v>22.584319000000001</v>
      </c>
      <c r="AJ5" s="3">
        <v>22.316727</v>
      </c>
      <c r="AK5" s="34">
        <v>22.072091</v>
      </c>
      <c r="AL5" s="3">
        <v>21.809972999999999</v>
      </c>
      <c r="AM5" s="34">
        <v>21.586556000000002</v>
      </c>
      <c r="AN5" s="3">
        <v>21.351472999999999</v>
      </c>
      <c r="AO5" s="34">
        <v>21.154069</v>
      </c>
      <c r="AP5" s="3">
        <v>20.929569000000001</v>
      </c>
      <c r="AQ5" s="34">
        <v>20.709766999999999</v>
      </c>
    </row>
    <row r="6" spans="2:43" x14ac:dyDescent="0.25">
      <c r="B6" s="1">
        <v>2</v>
      </c>
      <c r="C6" s="3">
        <v>40.407995</v>
      </c>
      <c r="D6" s="3">
        <v>40.609855000000003</v>
      </c>
      <c r="E6" s="3">
        <v>40.627274</v>
      </c>
      <c r="F6" s="3">
        <v>40.615613000000003</v>
      </c>
      <c r="G6" s="34">
        <v>40.610771</v>
      </c>
      <c r="H6" s="3">
        <v>36.838388999999999</v>
      </c>
      <c r="I6" s="34">
        <v>35.938215</v>
      </c>
      <c r="J6" s="3">
        <v>35.055430999999999</v>
      </c>
      <c r="K6" s="34">
        <v>34.439624999999999</v>
      </c>
      <c r="L6" s="3">
        <v>33.498455</v>
      </c>
      <c r="M6" s="34">
        <v>32.980924000000002</v>
      </c>
      <c r="N6" s="3">
        <v>32.319659999999999</v>
      </c>
      <c r="O6" s="34">
        <v>31.516826999999999</v>
      </c>
      <c r="P6" s="3">
        <v>31.045576000000001</v>
      </c>
      <c r="Q6" s="34">
        <v>30.431386</v>
      </c>
      <c r="R6" s="3">
        <v>29.710190999999998</v>
      </c>
      <c r="S6" s="34">
        <v>29.275310000000001</v>
      </c>
      <c r="T6" s="3">
        <v>28.881813000000001</v>
      </c>
      <c r="U6" s="34">
        <v>28.423907</v>
      </c>
      <c r="V6" s="3">
        <v>27.631045</v>
      </c>
      <c r="W6" s="34">
        <v>27.231338000000001</v>
      </c>
      <c r="X6" s="3">
        <v>26.867688000000001</v>
      </c>
      <c r="Y6" s="34">
        <v>26.505438000000002</v>
      </c>
      <c r="Z6" s="3">
        <v>25.780417</v>
      </c>
      <c r="AA6" s="34">
        <v>25.433771</v>
      </c>
      <c r="AB6" s="3">
        <v>25.086679</v>
      </c>
      <c r="AC6" s="34">
        <v>24.757356999999999</v>
      </c>
      <c r="AD6" s="3">
        <v>24.45731</v>
      </c>
      <c r="AE6" s="34">
        <v>24.141051999999998</v>
      </c>
      <c r="AF6" s="3">
        <v>23.517133999999999</v>
      </c>
      <c r="AG6" s="34">
        <v>23.219393</v>
      </c>
      <c r="AH6" s="3">
        <v>22.952220000000001</v>
      </c>
      <c r="AI6" s="34">
        <v>22.670515000000002</v>
      </c>
      <c r="AJ6" s="3">
        <v>22.391849000000001</v>
      </c>
      <c r="AK6" s="34">
        <v>22.142506000000001</v>
      </c>
      <c r="AL6" s="3">
        <v>21.881253000000001</v>
      </c>
      <c r="AM6" s="34">
        <v>21.666575000000002</v>
      </c>
      <c r="AN6" s="3">
        <v>21.417387999999999</v>
      </c>
      <c r="AO6" s="34">
        <v>21.198073000000001</v>
      </c>
      <c r="AP6" s="3">
        <v>20.978394999999999</v>
      </c>
      <c r="AQ6" s="34">
        <v>20.769442999999999</v>
      </c>
    </row>
    <row r="7" spans="2:43" x14ac:dyDescent="0.25">
      <c r="B7" s="1">
        <v>3</v>
      </c>
      <c r="C7" s="3">
        <v>39.47439</v>
      </c>
      <c r="D7" s="3">
        <v>39.517735999999999</v>
      </c>
      <c r="E7" s="3">
        <v>39.542459999999998</v>
      </c>
      <c r="F7" s="3">
        <v>39.538277999999998</v>
      </c>
      <c r="G7" s="34">
        <v>39.537678</v>
      </c>
      <c r="H7" s="3">
        <v>35.498435000000001</v>
      </c>
      <c r="I7" s="34">
        <v>34.937741000000003</v>
      </c>
      <c r="J7" s="3">
        <v>33.905757000000001</v>
      </c>
      <c r="K7" s="34">
        <v>33.357430999999998</v>
      </c>
      <c r="L7" s="3">
        <v>32.478378999999997</v>
      </c>
      <c r="M7" s="34">
        <v>31.979223999999999</v>
      </c>
      <c r="N7" s="3">
        <v>31.056505000000001</v>
      </c>
      <c r="O7" s="34">
        <v>30.581168000000002</v>
      </c>
      <c r="P7" s="3">
        <v>30.133877999999999</v>
      </c>
      <c r="Q7" s="34">
        <v>29.250951000000001</v>
      </c>
      <c r="R7" s="3">
        <v>28.829093</v>
      </c>
      <c r="S7" s="34">
        <v>28.400921</v>
      </c>
      <c r="T7" s="3">
        <v>27.889143000000001</v>
      </c>
      <c r="U7" s="34">
        <v>27.154078999999999</v>
      </c>
      <c r="V7" s="3">
        <v>26.786014999999999</v>
      </c>
      <c r="W7" s="34">
        <v>26.382819999999999</v>
      </c>
      <c r="X7" s="3">
        <v>26.039964999999999</v>
      </c>
      <c r="Y7" s="34">
        <v>25.526069</v>
      </c>
      <c r="Z7" s="3">
        <v>24.994289999999999</v>
      </c>
      <c r="AA7" s="34">
        <v>24.653593000000001</v>
      </c>
      <c r="AB7" s="3">
        <v>24.335552</v>
      </c>
      <c r="AC7" s="34">
        <v>23.997800999999999</v>
      </c>
      <c r="AD7" s="3">
        <v>23.722311000000001</v>
      </c>
      <c r="AE7" s="34">
        <v>23.077441</v>
      </c>
      <c r="AF7" s="3">
        <v>22.806711</v>
      </c>
      <c r="AG7" s="34">
        <v>22.512582999999999</v>
      </c>
      <c r="AH7" s="3">
        <v>22.268208999999999</v>
      </c>
      <c r="AI7" s="34">
        <v>21.976458000000001</v>
      </c>
      <c r="AJ7" s="3">
        <v>21.727108000000001</v>
      </c>
      <c r="AK7" s="34">
        <v>21.458535000000001</v>
      </c>
      <c r="AL7" s="3">
        <v>21.233131</v>
      </c>
      <c r="AM7" s="34">
        <v>21.00346</v>
      </c>
      <c r="AN7" s="3">
        <v>20.776561999999998</v>
      </c>
      <c r="AO7" s="34">
        <v>20.578612</v>
      </c>
      <c r="AP7" s="3">
        <v>20.363372999999999</v>
      </c>
      <c r="AQ7" s="34">
        <v>20.176065000000001</v>
      </c>
    </row>
    <row r="8" spans="2:43" x14ac:dyDescent="0.25">
      <c r="B8" s="32">
        <v>4</v>
      </c>
      <c r="C8" s="3">
        <v>39.758026000000001</v>
      </c>
      <c r="D8" s="3">
        <v>39.927093999999997</v>
      </c>
      <c r="E8" s="3">
        <v>39.993724999999998</v>
      </c>
      <c r="F8" s="3">
        <v>40.030031000000001</v>
      </c>
      <c r="G8" s="34">
        <v>40.047891</v>
      </c>
      <c r="H8" s="3">
        <v>36.102578000000001</v>
      </c>
      <c r="I8" s="34">
        <v>35.548645</v>
      </c>
      <c r="J8" s="3">
        <v>34.382792000000002</v>
      </c>
      <c r="K8" s="34">
        <v>33.881995000000003</v>
      </c>
      <c r="L8" s="3">
        <v>32.948256999999998</v>
      </c>
      <c r="M8" s="34">
        <v>32.447637</v>
      </c>
      <c r="N8" s="3">
        <v>31.518618</v>
      </c>
      <c r="O8" s="34">
        <v>31.020999</v>
      </c>
      <c r="P8" s="3">
        <v>30.55133</v>
      </c>
      <c r="Q8" s="34">
        <v>29.832889000000002</v>
      </c>
      <c r="R8" s="3">
        <v>29.245042999999999</v>
      </c>
      <c r="S8" s="34">
        <v>28.805675999999998</v>
      </c>
      <c r="T8" s="3">
        <v>28.473951</v>
      </c>
      <c r="U8" s="34">
        <v>27.593554000000001</v>
      </c>
      <c r="V8" s="3">
        <v>27.168976000000001</v>
      </c>
      <c r="W8" s="34">
        <v>26.781677999999999</v>
      </c>
      <c r="X8" s="3">
        <v>26.418278999999998</v>
      </c>
      <c r="Y8" s="34">
        <v>26.083518999999999</v>
      </c>
      <c r="Z8" s="3">
        <v>25.344097000000001</v>
      </c>
      <c r="AA8" s="34">
        <v>25.01127</v>
      </c>
      <c r="AB8" s="3">
        <v>24.681971000000001</v>
      </c>
      <c r="AC8" s="34">
        <v>24.353224000000001</v>
      </c>
      <c r="AD8" s="3">
        <v>24.066201</v>
      </c>
      <c r="AE8" s="34">
        <v>23.404039000000001</v>
      </c>
      <c r="AF8" s="3">
        <v>23.135531</v>
      </c>
      <c r="AG8" s="34">
        <v>22.842500000000001</v>
      </c>
      <c r="AH8" s="3">
        <v>22.580072999999999</v>
      </c>
      <c r="AI8" s="34">
        <v>22.301143</v>
      </c>
      <c r="AJ8" s="3">
        <v>22.042225999999999</v>
      </c>
      <c r="AK8" s="34">
        <v>21.780968000000001</v>
      </c>
      <c r="AL8" s="3">
        <v>21.529440999999998</v>
      </c>
      <c r="AM8" s="34">
        <v>21.310307999999999</v>
      </c>
      <c r="AN8" s="3">
        <v>21.072645000000001</v>
      </c>
      <c r="AO8" s="34">
        <v>20.878374999999998</v>
      </c>
      <c r="AP8" s="3">
        <v>20.654022000000001</v>
      </c>
      <c r="AQ8" s="34">
        <v>20.454246000000001</v>
      </c>
    </row>
    <row r="9" spans="2:43" x14ac:dyDescent="0.25">
      <c r="B9" s="32">
        <v>5</v>
      </c>
      <c r="C9" s="3">
        <v>39.962978999999997</v>
      </c>
      <c r="D9" s="3">
        <v>40.045383999999999</v>
      </c>
      <c r="E9" s="3">
        <v>40.047646</v>
      </c>
      <c r="F9" s="3">
        <v>40.051693</v>
      </c>
      <c r="G9" s="34">
        <v>40.055256999999997</v>
      </c>
      <c r="H9" s="3">
        <v>36.125497000000003</v>
      </c>
      <c r="I9" s="34">
        <v>35.498733000000001</v>
      </c>
      <c r="J9" s="3">
        <v>34.435640999999997</v>
      </c>
      <c r="K9" s="34">
        <v>33.860146999999998</v>
      </c>
      <c r="L9" s="3">
        <v>33.008071000000001</v>
      </c>
      <c r="M9" s="34">
        <v>32.513030999999998</v>
      </c>
      <c r="N9" s="3">
        <v>31.554130000000001</v>
      </c>
      <c r="O9" s="34">
        <v>31.074888000000001</v>
      </c>
      <c r="P9" s="3">
        <v>30.596219999999999</v>
      </c>
      <c r="Q9" s="34">
        <v>29.735955000000001</v>
      </c>
      <c r="R9" s="3">
        <v>29.291710999999999</v>
      </c>
      <c r="S9" s="34">
        <v>28.849643</v>
      </c>
      <c r="T9" s="3">
        <v>28.344992000000001</v>
      </c>
      <c r="U9" s="34">
        <v>27.593018000000001</v>
      </c>
      <c r="V9" s="3">
        <v>27.202705000000002</v>
      </c>
      <c r="W9" s="34">
        <v>26.817892000000001</v>
      </c>
      <c r="X9" s="3">
        <v>26.456344999999999</v>
      </c>
      <c r="Y9" s="34">
        <v>25.946605000000002</v>
      </c>
      <c r="Z9" s="3">
        <v>25.378741000000002</v>
      </c>
      <c r="AA9" s="34">
        <v>25.04467</v>
      </c>
      <c r="AB9" s="3">
        <v>24.693325000000002</v>
      </c>
      <c r="AC9" s="34">
        <v>24.390308999999998</v>
      </c>
      <c r="AD9" s="3">
        <v>24.086568</v>
      </c>
      <c r="AE9" s="34">
        <v>23.434025999999999</v>
      </c>
      <c r="AF9" s="3">
        <v>23.163254999999999</v>
      </c>
      <c r="AG9" s="34">
        <v>22.867000000000001</v>
      </c>
      <c r="AH9" s="3">
        <v>22.593865999999998</v>
      </c>
      <c r="AI9" s="34">
        <v>22.313863000000001</v>
      </c>
      <c r="AJ9" s="3">
        <v>22.056322999999999</v>
      </c>
      <c r="AK9" s="34">
        <v>21.806892999999999</v>
      </c>
      <c r="AL9" s="3">
        <v>21.558008000000001</v>
      </c>
      <c r="AM9" s="34">
        <v>21.332086</v>
      </c>
      <c r="AN9" s="3">
        <v>21.095744</v>
      </c>
      <c r="AO9" s="34">
        <v>20.885213</v>
      </c>
      <c r="AP9" s="3">
        <v>20.663827000000001</v>
      </c>
      <c r="AQ9" s="34">
        <v>20.458773000000001</v>
      </c>
    </row>
    <row r="10" spans="2:43" x14ac:dyDescent="0.25">
      <c r="B10" s="32">
        <v>6</v>
      </c>
      <c r="C10" s="3">
        <v>39.851517999999999</v>
      </c>
      <c r="D10" s="3">
        <v>39.980972000000001</v>
      </c>
      <c r="E10" s="3">
        <v>39.999082000000001</v>
      </c>
      <c r="F10" s="3">
        <v>40.012911000000003</v>
      </c>
      <c r="G10" s="34">
        <v>40.022252000000002</v>
      </c>
      <c r="H10" s="3">
        <v>36.026187</v>
      </c>
      <c r="I10" s="34">
        <v>35.359927999999996</v>
      </c>
      <c r="J10" s="3">
        <v>34.367547000000002</v>
      </c>
      <c r="K10" s="34">
        <v>33.772258000000001</v>
      </c>
      <c r="L10" s="3">
        <v>32.918025999999998</v>
      </c>
      <c r="M10" s="34">
        <v>32.433391</v>
      </c>
      <c r="N10" s="3">
        <v>31.482105000000001</v>
      </c>
      <c r="O10" s="34">
        <v>31.011088999999998</v>
      </c>
      <c r="P10" s="3">
        <v>30.530090999999999</v>
      </c>
      <c r="Q10" s="34">
        <v>29.661712999999999</v>
      </c>
      <c r="R10" s="3">
        <v>29.228801000000001</v>
      </c>
      <c r="S10" s="34">
        <v>28.786529000000002</v>
      </c>
      <c r="T10" s="3">
        <v>28.364720999999999</v>
      </c>
      <c r="U10" s="34">
        <v>27.551078</v>
      </c>
      <c r="V10" s="3">
        <v>27.156952</v>
      </c>
      <c r="W10" s="34">
        <v>26.759611</v>
      </c>
      <c r="X10" s="3">
        <v>26.393153000000002</v>
      </c>
      <c r="Y10" s="34">
        <v>26.043330999999998</v>
      </c>
      <c r="Z10" s="3">
        <v>25.343160999999998</v>
      </c>
      <c r="AA10" s="34">
        <v>24.99192</v>
      </c>
      <c r="AB10" s="3">
        <v>24.671530000000001</v>
      </c>
      <c r="AC10" s="34">
        <v>24.333984999999998</v>
      </c>
      <c r="AD10" s="3">
        <v>24.049453</v>
      </c>
      <c r="AE10" s="34">
        <v>23.735824000000001</v>
      </c>
      <c r="AF10" s="3">
        <v>23.124714000000001</v>
      </c>
      <c r="AG10" s="34">
        <v>22.822599</v>
      </c>
      <c r="AH10" s="3">
        <v>22.557088</v>
      </c>
      <c r="AI10" s="34">
        <v>22.271858000000002</v>
      </c>
      <c r="AJ10" s="3">
        <v>22.019238999999999</v>
      </c>
      <c r="AK10" s="34">
        <v>21.753993999999999</v>
      </c>
      <c r="AL10" s="3">
        <v>21.507238999999998</v>
      </c>
      <c r="AM10" s="34">
        <v>21.286729999999999</v>
      </c>
      <c r="AN10" s="3">
        <v>21.048535999999999</v>
      </c>
      <c r="AO10" s="34">
        <v>20.839922999999999</v>
      </c>
      <c r="AP10" s="3">
        <v>20.625927999999998</v>
      </c>
      <c r="AQ10" s="34">
        <v>20.427904000000002</v>
      </c>
    </row>
    <row r="33" spans="2:84" x14ac:dyDescent="0.25">
      <c r="B33" s="33" t="s">
        <v>4</v>
      </c>
      <c r="C33" s="33">
        <v>12</v>
      </c>
      <c r="D33" s="33"/>
      <c r="E33" s="33"/>
      <c r="F33" s="33"/>
      <c r="G33" s="21"/>
      <c r="H33" s="33"/>
      <c r="I33" s="21"/>
      <c r="J33" s="33"/>
      <c r="K33" s="21"/>
      <c r="L33" s="33"/>
      <c r="M33" s="21"/>
      <c r="N33" s="33"/>
      <c r="O33" s="21"/>
      <c r="P33" s="33"/>
      <c r="Q33" s="21"/>
      <c r="R33" s="33"/>
      <c r="S33" s="21"/>
      <c r="T33" s="33"/>
      <c r="U33" s="21"/>
      <c r="V33" s="33"/>
      <c r="W33" s="21"/>
      <c r="X33" s="33"/>
      <c r="Y33" s="21"/>
      <c r="Z33" s="33"/>
      <c r="AA33" s="21"/>
      <c r="AB33" s="33"/>
      <c r="AC33" s="21"/>
      <c r="AD33" s="33"/>
      <c r="AE33" s="21"/>
      <c r="AF33" s="33"/>
      <c r="AG33" s="21"/>
      <c r="AH33" s="33"/>
      <c r="AI33" s="21"/>
      <c r="AJ33" s="33"/>
      <c r="AK33" s="21"/>
      <c r="AL33" s="33"/>
      <c r="AM33" s="21"/>
      <c r="AN33" s="33"/>
      <c r="AO33" s="21"/>
      <c r="AP33" s="33"/>
      <c r="AQ33" s="21"/>
    </row>
    <row r="34" spans="2:84" x14ac:dyDescent="0.25">
      <c r="B34" s="1" t="s">
        <v>1</v>
      </c>
      <c r="C34" s="1">
        <v>1.8</v>
      </c>
      <c r="D34" s="2">
        <v>1.85</v>
      </c>
      <c r="E34" s="2">
        <v>1.9</v>
      </c>
      <c r="F34" s="2">
        <v>1.95</v>
      </c>
      <c r="G34" s="22">
        <v>2</v>
      </c>
      <c r="H34" s="2">
        <v>2.0499999999999998</v>
      </c>
      <c r="I34" s="22">
        <v>2.1</v>
      </c>
      <c r="J34" s="2">
        <v>2.15</v>
      </c>
      <c r="K34" s="22">
        <v>2.2000000000000002</v>
      </c>
      <c r="L34" s="2">
        <v>2.25</v>
      </c>
      <c r="M34" s="22">
        <v>2.2999999999999998</v>
      </c>
      <c r="N34" s="2">
        <v>2.35</v>
      </c>
      <c r="O34" s="22">
        <v>2.4</v>
      </c>
      <c r="P34" s="2">
        <v>2.4500000000000002</v>
      </c>
      <c r="Q34" s="22">
        <v>2.5</v>
      </c>
      <c r="R34" s="2">
        <v>2.5499999999999998</v>
      </c>
      <c r="S34" s="22">
        <v>2.6</v>
      </c>
      <c r="T34" s="2">
        <v>2.65</v>
      </c>
      <c r="U34" s="22">
        <v>2.7</v>
      </c>
      <c r="V34" s="2">
        <v>2.75</v>
      </c>
      <c r="W34" s="22">
        <v>2.8</v>
      </c>
      <c r="X34" s="2">
        <v>2.85</v>
      </c>
      <c r="Y34" s="22">
        <v>2.9</v>
      </c>
      <c r="Z34" s="2">
        <v>2.95</v>
      </c>
      <c r="AA34" s="22">
        <v>3</v>
      </c>
      <c r="AB34" s="2">
        <v>3.05</v>
      </c>
      <c r="AC34" s="22">
        <v>3.1</v>
      </c>
      <c r="AD34" s="2">
        <v>3.15</v>
      </c>
      <c r="AE34" s="22">
        <v>3.2</v>
      </c>
      <c r="AF34" s="2">
        <v>3.25</v>
      </c>
      <c r="AG34" s="22">
        <v>3.3</v>
      </c>
      <c r="AH34" s="2">
        <v>3.35</v>
      </c>
      <c r="AI34" s="22">
        <v>3.4</v>
      </c>
      <c r="AJ34" s="2">
        <v>3.45</v>
      </c>
      <c r="AK34" s="22">
        <v>3.5</v>
      </c>
      <c r="AL34" s="2">
        <v>3.55</v>
      </c>
      <c r="AM34" s="22">
        <v>3.6</v>
      </c>
      <c r="AN34" s="2">
        <v>3.65</v>
      </c>
      <c r="AO34" s="22">
        <v>3.7</v>
      </c>
      <c r="AP34" s="2">
        <v>3.75</v>
      </c>
      <c r="AQ34" s="22">
        <v>3.8</v>
      </c>
    </row>
    <row r="35" spans="2:84" x14ac:dyDescent="0.25">
      <c r="B35" s="1" t="s">
        <v>3</v>
      </c>
      <c r="C35" s="3">
        <f>AVERAGE(C36,C37,C38,C39,C40,C41)</f>
        <v>37.016894499999999</v>
      </c>
      <c r="D35" s="3">
        <f t="shared" ref="D35" si="1">AVERAGE(D36,D37,D38)</f>
        <v>37.063542999999996</v>
      </c>
      <c r="E35" s="3">
        <f t="shared" ref="E35" si="2">AVERAGE(E36,E37,E38)</f>
        <v>37.066775333333332</v>
      </c>
      <c r="F35" s="3">
        <f t="shared" ref="F35" si="3">AVERAGE(F36,F37,F38)</f>
        <v>37.085287333333333</v>
      </c>
      <c r="G35" s="34">
        <f t="shared" ref="G35" si="4">AVERAGE(G36,G37,G38)</f>
        <v>37.130579000000004</v>
      </c>
      <c r="H35" s="3">
        <f t="shared" ref="H35" si="5">AVERAGE(H36,H37,H38)</f>
        <v>33.258188666666676</v>
      </c>
      <c r="I35" s="34">
        <f t="shared" ref="I35" si="6">AVERAGE(I36,I37,I38)</f>
        <v>32.531399</v>
      </c>
      <c r="J35" s="3">
        <f t="shared" ref="J35" si="7">AVERAGE(J36,J37,J38)</f>
        <v>31.888724666666672</v>
      </c>
      <c r="K35" s="34">
        <f t="shared" ref="K35" si="8">AVERAGE(K36,K37,K38)</f>
        <v>31.028004666666664</v>
      </c>
      <c r="L35" s="3">
        <f t="shared" ref="L35" si="9">AVERAGE(L36,L37,L38)</f>
        <v>30.543176666666668</v>
      </c>
      <c r="M35" s="34">
        <f t="shared" ref="M35" si="10">AVERAGE(M36,M37,M38)</f>
        <v>30.082931333333335</v>
      </c>
      <c r="N35" s="3">
        <f t="shared" ref="N35" si="11">AVERAGE(N36,N37,N38)</f>
        <v>29.244074000000001</v>
      </c>
      <c r="O35" s="34">
        <f t="shared" ref="O35" si="12">AVERAGE(O36,O37,O38)</f>
        <v>28.795678999999996</v>
      </c>
      <c r="P35" s="3">
        <f t="shared" ref="P35" si="13">AVERAGE(P36,P37,P38)</f>
        <v>28.236213666666668</v>
      </c>
      <c r="Q35" s="34">
        <f t="shared" ref="Q35" si="14">AVERAGE(Q36,Q37,Q38)</f>
        <v>27.593825666666664</v>
      </c>
      <c r="R35" s="3">
        <f t="shared" ref="R35" si="15">AVERAGE(R36,R37,R38)</f>
        <v>27.179910666666668</v>
      </c>
      <c r="S35" s="34">
        <f t="shared" ref="S35" si="16">AVERAGE(S36,S37,S38)</f>
        <v>26.765022000000002</v>
      </c>
      <c r="T35" s="3">
        <f t="shared" ref="T35" si="17">AVERAGE(T36,T37,T38)</f>
        <v>26.131438000000003</v>
      </c>
      <c r="U35" s="34">
        <f t="shared" ref="U35" si="18">AVERAGE(U36,U37,U38)</f>
        <v>25.616235333333336</v>
      </c>
      <c r="V35" s="3">
        <f t="shared" ref="V35" si="19">AVERAGE(V36,V37,V38)</f>
        <v>25.261969000000004</v>
      </c>
      <c r="W35" s="34">
        <f t="shared" ref="W35" si="20">AVERAGE(W36,W37,W38)</f>
        <v>24.895564666666669</v>
      </c>
      <c r="X35" s="3">
        <f t="shared" ref="X35" si="21">AVERAGE(X36,X37,X38)</f>
        <v>24.55609766666667</v>
      </c>
      <c r="Y35" s="34">
        <f t="shared" ref="Y35" si="22">AVERAGE(Y36,Y37,Y38)</f>
        <v>24.003901666666664</v>
      </c>
      <c r="Z35" s="3">
        <f t="shared" ref="Z35" si="23">AVERAGE(Z36,Z37,Z38)</f>
        <v>23.558868333333333</v>
      </c>
      <c r="AA35" s="34">
        <f t="shared" ref="AA35" si="24">AVERAGE(AA36,AA37,AA38)</f>
        <v>23.267275666666666</v>
      </c>
      <c r="AB35" s="3">
        <f t="shared" ref="AB35" si="25">AVERAGE(AB36,AB37,AB38)</f>
        <v>22.942491333333333</v>
      </c>
      <c r="AC35" s="34">
        <f t="shared" ref="AC35" si="26">AVERAGE(AC36,AC37,AC38)</f>
        <v>22.664915999999995</v>
      </c>
      <c r="AD35" s="3">
        <f t="shared" ref="AD35" si="27">AVERAGE(AD36,AD37,AD38)</f>
        <v>22.38847366666667</v>
      </c>
      <c r="AE35" s="34">
        <f t="shared" ref="AE35" si="28">AVERAGE(AE36,AE37,AE38)</f>
        <v>21.916280999999998</v>
      </c>
      <c r="AF35" s="3">
        <f t="shared" ref="AF35" si="29">AVERAGE(AF36,AF37,AF38)</f>
        <v>21.562498000000001</v>
      </c>
      <c r="AG35" s="34">
        <f t="shared" ref="AG35" si="30">AVERAGE(AG36,AG37,AG38)</f>
        <v>21.275750333333335</v>
      </c>
      <c r="AH35" s="3">
        <f t="shared" ref="AH35" si="31">AVERAGE(AH36,AH37,AH38)</f>
        <v>21.026969000000001</v>
      </c>
      <c r="AI35" s="34">
        <f t="shared" ref="AI35" si="32">AVERAGE(AI36,AI37,AI38)</f>
        <v>20.767103000000002</v>
      </c>
      <c r="AJ35" s="3">
        <f t="shared" ref="AJ35" si="33">AVERAGE(AJ36,AJ37,AJ38)</f>
        <v>20.557950666666667</v>
      </c>
      <c r="AK35" s="34">
        <f t="shared" ref="AK35" si="34">AVERAGE(AK36,AK37,AK38)</f>
        <v>20.314212333333334</v>
      </c>
      <c r="AL35" s="3">
        <f t="shared" ref="AL35" si="35">AVERAGE(AL36,AL37,AL38)</f>
        <v>20.085699666666667</v>
      </c>
      <c r="AM35" s="34">
        <f t="shared" ref="AM35" si="36">AVERAGE(AM36,AM37,AM38)</f>
        <v>19.877224333333331</v>
      </c>
      <c r="AN35" s="3">
        <f t="shared" ref="AN35" si="37">AVERAGE(AN36,AN37,AN38)</f>
        <v>19.656749000000001</v>
      </c>
      <c r="AO35" s="34">
        <f t="shared" ref="AO35" si="38">AVERAGE(AO36,AO37,AO38)</f>
        <v>19.46370933333333</v>
      </c>
      <c r="AP35" s="3">
        <f t="shared" ref="AP35" si="39">AVERAGE(AP36,AP37,AP38)</f>
        <v>19.248741666666664</v>
      </c>
      <c r="AQ35" s="34">
        <f t="shared" ref="AQ35" si="40">AVERAGE(AQ36,AQ37,AQ38)</f>
        <v>19.067233999999999</v>
      </c>
    </row>
    <row r="36" spans="2:84" x14ac:dyDescent="0.25">
      <c r="B36" s="1">
        <v>1</v>
      </c>
      <c r="C36" s="35">
        <v>36.972051</v>
      </c>
      <c r="D36" s="35">
        <v>37.016444999999997</v>
      </c>
      <c r="E36" s="35">
        <v>37.008333</v>
      </c>
      <c r="F36" s="35">
        <v>37.008423999999998</v>
      </c>
      <c r="G36" s="134">
        <v>37.009002000000002</v>
      </c>
      <c r="H36" s="35">
        <v>33.139594000000002</v>
      </c>
      <c r="I36" s="134">
        <v>32.372239</v>
      </c>
      <c r="J36" s="35">
        <v>31.775893</v>
      </c>
      <c r="K36" s="134">
        <v>30.919505999999998</v>
      </c>
      <c r="L36" s="35">
        <v>30.418538000000002</v>
      </c>
      <c r="M36" s="134">
        <v>29.960070999999999</v>
      </c>
      <c r="N36" s="35">
        <v>29.209693999999999</v>
      </c>
      <c r="O36" s="134">
        <v>28.758564</v>
      </c>
      <c r="P36" s="35">
        <v>28.320022000000002</v>
      </c>
      <c r="Q36" s="134">
        <v>27.527038000000001</v>
      </c>
      <c r="R36" s="35">
        <v>27.113150999999998</v>
      </c>
      <c r="S36" s="134">
        <v>26.701684</v>
      </c>
      <c r="T36" s="35">
        <v>26.342734</v>
      </c>
      <c r="U36" s="134">
        <v>25.557772</v>
      </c>
      <c r="V36" s="35">
        <v>25.213037</v>
      </c>
      <c r="W36" s="134">
        <v>24.827795999999999</v>
      </c>
      <c r="X36" s="35">
        <v>24.494789999999998</v>
      </c>
      <c r="Y36" s="134">
        <v>24.166485999999999</v>
      </c>
      <c r="Z36" s="35">
        <v>23.505274</v>
      </c>
      <c r="AA36" s="134">
        <v>23.264406000000001</v>
      </c>
      <c r="AB36" s="35">
        <v>22.894307000000001</v>
      </c>
      <c r="AC36" s="134">
        <v>22.667079999999999</v>
      </c>
      <c r="AD36" s="35">
        <v>22.383787000000002</v>
      </c>
      <c r="AE36" s="134">
        <v>22.089496</v>
      </c>
      <c r="AF36" s="35">
        <v>21.537953999999999</v>
      </c>
      <c r="AG36" s="134">
        <v>21.250395000000001</v>
      </c>
      <c r="AH36" s="35">
        <v>21.002476999999999</v>
      </c>
      <c r="AI36" s="134">
        <v>20.738016999999999</v>
      </c>
      <c r="AJ36" s="35">
        <v>20.504446000000002</v>
      </c>
      <c r="AK36" s="134">
        <v>20.257487999999999</v>
      </c>
      <c r="AL36" s="35">
        <v>20.035817000000002</v>
      </c>
      <c r="AM36" s="134">
        <v>19.819671</v>
      </c>
      <c r="AN36" s="35">
        <v>19.602309000000002</v>
      </c>
      <c r="AO36" s="134">
        <v>19.401505</v>
      </c>
      <c r="AP36" s="35">
        <v>19.192236999999999</v>
      </c>
      <c r="AQ36" s="134">
        <v>19.015789999999999</v>
      </c>
    </row>
    <row r="37" spans="2:84" x14ac:dyDescent="0.25">
      <c r="B37" s="1">
        <v>2</v>
      </c>
      <c r="C37" s="36">
        <v>36.955179000000001</v>
      </c>
      <c r="D37" s="36">
        <v>36.916601999999997</v>
      </c>
      <c r="E37" s="36">
        <v>36.897455999999998</v>
      </c>
      <c r="F37" s="36">
        <v>36.932772</v>
      </c>
      <c r="G37" s="134">
        <v>37.065955000000002</v>
      </c>
      <c r="H37" s="36">
        <v>33.220981000000002</v>
      </c>
      <c r="I37" s="134">
        <v>32.47739</v>
      </c>
      <c r="J37" s="36">
        <v>31.852612000000001</v>
      </c>
      <c r="K37" s="134">
        <v>30.993141999999999</v>
      </c>
      <c r="L37" s="36">
        <v>30.524249000000001</v>
      </c>
      <c r="M37" s="134">
        <v>30.062774999999998</v>
      </c>
      <c r="N37" s="36">
        <v>29.182652999999998</v>
      </c>
      <c r="O37" s="134">
        <v>28.740197999999999</v>
      </c>
      <c r="P37" s="36">
        <v>28.306138000000001</v>
      </c>
      <c r="Q37" s="134">
        <v>27.504262000000001</v>
      </c>
      <c r="R37" s="36">
        <v>27.086559000000001</v>
      </c>
      <c r="S37" s="134">
        <v>26.674901999999999</v>
      </c>
      <c r="T37" s="36">
        <v>25.911705000000001</v>
      </c>
      <c r="U37" s="134">
        <v>25.530888000000001</v>
      </c>
      <c r="V37" s="36">
        <v>25.173494000000002</v>
      </c>
      <c r="W37" s="134">
        <v>24.823084999999999</v>
      </c>
      <c r="X37" s="36">
        <v>24.477450999999999</v>
      </c>
      <c r="Y37" s="134">
        <v>23.811519000000001</v>
      </c>
      <c r="Z37" s="36">
        <v>23.480170000000001</v>
      </c>
      <c r="AA37" s="134">
        <v>23.162244000000001</v>
      </c>
      <c r="AB37" s="36">
        <v>22.859824</v>
      </c>
      <c r="AC37" s="134">
        <v>22.559546999999998</v>
      </c>
      <c r="AD37" s="36">
        <v>22.283846</v>
      </c>
      <c r="AE37" s="134">
        <v>21.691928999999998</v>
      </c>
      <c r="AF37" s="36">
        <v>21.435611999999999</v>
      </c>
      <c r="AG37" s="134">
        <v>21.150601000000002</v>
      </c>
      <c r="AH37" s="36">
        <v>20.897777000000001</v>
      </c>
      <c r="AI37" s="134">
        <v>20.645019999999999</v>
      </c>
      <c r="AJ37" s="36">
        <v>20.494084000000001</v>
      </c>
      <c r="AK37" s="134">
        <v>20.253278000000002</v>
      </c>
      <c r="AL37" s="36">
        <v>20.019825999999998</v>
      </c>
      <c r="AM37" s="134">
        <v>19.814150999999999</v>
      </c>
      <c r="AN37" s="36">
        <v>19.591837999999999</v>
      </c>
      <c r="AO37" s="134">
        <v>19.393189</v>
      </c>
      <c r="AP37" s="36">
        <v>19.181947999999998</v>
      </c>
      <c r="AQ37" s="134">
        <v>18.997817000000001</v>
      </c>
    </row>
    <row r="38" spans="2:84" x14ac:dyDescent="0.25">
      <c r="B38" s="1">
        <v>3</v>
      </c>
      <c r="C38" s="37">
        <v>37.063284000000003</v>
      </c>
      <c r="D38" s="37">
        <v>37.257581999999999</v>
      </c>
      <c r="E38" s="37">
        <v>37.294536999999998</v>
      </c>
      <c r="F38" s="37">
        <v>37.314666000000003</v>
      </c>
      <c r="G38" s="134">
        <v>37.316780000000001</v>
      </c>
      <c r="H38" s="37">
        <v>33.413991000000003</v>
      </c>
      <c r="I38" s="134">
        <v>32.744568000000001</v>
      </c>
      <c r="J38" s="37">
        <v>32.037669000000001</v>
      </c>
      <c r="K38" s="134">
        <v>31.171365999999999</v>
      </c>
      <c r="L38" s="37">
        <v>30.686743</v>
      </c>
      <c r="M38" s="134">
        <v>30.225947999999999</v>
      </c>
      <c r="N38" s="37">
        <v>29.339874999999999</v>
      </c>
      <c r="O38" s="134">
        <v>28.888275</v>
      </c>
      <c r="P38" s="37">
        <v>28.082481000000001</v>
      </c>
      <c r="Q38" s="134">
        <v>27.750177000000001</v>
      </c>
      <c r="R38" s="37">
        <v>27.340022000000001</v>
      </c>
      <c r="S38" s="134">
        <v>26.918479999999999</v>
      </c>
      <c r="T38" s="37">
        <v>26.139875</v>
      </c>
      <c r="U38" s="134">
        <v>25.760045999999999</v>
      </c>
      <c r="V38" s="37">
        <v>25.399376</v>
      </c>
      <c r="W38" s="134">
        <v>25.035813000000001</v>
      </c>
      <c r="X38" s="37">
        <v>24.696052000000002</v>
      </c>
      <c r="Y38" s="134">
        <v>24.0337</v>
      </c>
      <c r="Z38" s="37">
        <v>23.691161000000001</v>
      </c>
      <c r="AA38" s="134">
        <v>23.375177000000001</v>
      </c>
      <c r="AB38" s="37">
        <v>23.073343000000001</v>
      </c>
      <c r="AC38" s="134">
        <v>22.768121000000001</v>
      </c>
      <c r="AD38" s="37">
        <v>22.497788</v>
      </c>
      <c r="AE38" s="134">
        <v>21.967417999999999</v>
      </c>
      <c r="AF38" s="37">
        <v>21.713927999999999</v>
      </c>
      <c r="AG38" s="134">
        <v>21.426255000000001</v>
      </c>
      <c r="AH38" s="37">
        <v>21.180653</v>
      </c>
      <c r="AI38" s="134">
        <v>20.918272000000002</v>
      </c>
      <c r="AJ38" s="37">
        <v>20.675322000000001</v>
      </c>
      <c r="AK38" s="134">
        <v>20.431871000000001</v>
      </c>
      <c r="AL38" s="37">
        <v>20.201456</v>
      </c>
      <c r="AM38" s="134">
        <v>19.997851000000001</v>
      </c>
      <c r="AN38" s="37">
        <v>19.7761</v>
      </c>
      <c r="AO38" s="134">
        <v>19.596433999999999</v>
      </c>
      <c r="AP38" s="37">
        <v>19.372039999999998</v>
      </c>
      <c r="AQ38" s="134">
        <v>19.188095000000001</v>
      </c>
    </row>
    <row r="39" spans="2:84" x14ac:dyDescent="0.25">
      <c r="B39" s="32">
        <v>4</v>
      </c>
      <c r="C39" s="38">
        <v>36.433396999999999</v>
      </c>
      <c r="D39" s="38">
        <v>36.441782000000003</v>
      </c>
      <c r="E39" s="38">
        <v>36.43768</v>
      </c>
      <c r="F39" s="38">
        <v>36.43421</v>
      </c>
      <c r="G39" s="134">
        <v>36.445635000000003</v>
      </c>
      <c r="H39" s="38">
        <v>32.570230000000002</v>
      </c>
      <c r="I39" s="134">
        <v>31.778896</v>
      </c>
      <c r="J39" s="38">
        <v>31.233701</v>
      </c>
      <c r="K39" s="134">
        <v>30.397245999999999</v>
      </c>
      <c r="L39" s="38">
        <v>29.911953</v>
      </c>
      <c r="M39" s="134">
        <v>29.469176999999998</v>
      </c>
      <c r="N39" s="38">
        <v>28.705843000000002</v>
      </c>
      <c r="O39" s="134">
        <v>28.28088</v>
      </c>
      <c r="P39" s="38">
        <v>27.467251999999998</v>
      </c>
      <c r="Q39" s="134">
        <v>27.061202000000002</v>
      </c>
      <c r="R39" s="38">
        <v>26.661477000000001</v>
      </c>
      <c r="S39" s="134">
        <v>26.262060000000002</v>
      </c>
      <c r="T39" s="38">
        <v>25.491439</v>
      </c>
      <c r="U39" s="134">
        <v>25.120369</v>
      </c>
      <c r="V39" s="38">
        <v>24.771774000000001</v>
      </c>
      <c r="W39" s="134">
        <v>24.404837000000001</v>
      </c>
      <c r="X39" s="38">
        <v>24.076879999999999</v>
      </c>
      <c r="Y39" s="134">
        <v>23.426248999999999</v>
      </c>
      <c r="Z39" s="38">
        <v>23.118784999999999</v>
      </c>
      <c r="AA39" s="134">
        <v>22.793234000000002</v>
      </c>
      <c r="AB39" s="38">
        <v>22.506292999999999</v>
      </c>
      <c r="AC39" s="134">
        <v>22.206616</v>
      </c>
      <c r="AD39" s="38">
        <v>21.933900000000001</v>
      </c>
      <c r="AE39" s="134">
        <v>21.422785000000001</v>
      </c>
      <c r="AF39" s="38">
        <v>21.175795999999998</v>
      </c>
      <c r="AG39" s="134">
        <v>20.896045999999998</v>
      </c>
      <c r="AH39" s="38">
        <v>20.664470999999999</v>
      </c>
      <c r="AI39" s="134">
        <v>20.391051000000001</v>
      </c>
      <c r="AJ39" s="38">
        <v>20.180112999999999</v>
      </c>
      <c r="AK39" s="134">
        <v>19.931929</v>
      </c>
      <c r="AL39" s="38">
        <v>19.715295999999999</v>
      </c>
      <c r="AM39" s="134">
        <v>19.497012000000002</v>
      </c>
      <c r="AN39" s="38">
        <v>19.290541999999999</v>
      </c>
      <c r="AO39" s="134">
        <v>19.107156</v>
      </c>
      <c r="AP39" s="38">
        <v>18.897290999999999</v>
      </c>
      <c r="AQ39" s="134">
        <v>18.721312000000001</v>
      </c>
    </row>
    <row r="40" spans="2:84" x14ac:dyDescent="0.25">
      <c r="B40" s="32">
        <v>5</v>
      </c>
      <c r="C40" s="39">
        <v>37.202613999999997</v>
      </c>
      <c r="D40" s="39">
        <v>37.246035999999997</v>
      </c>
      <c r="E40" s="39">
        <v>37.230288000000002</v>
      </c>
      <c r="F40" s="39">
        <v>37.223174</v>
      </c>
      <c r="G40" s="134">
        <v>37.240727</v>
      </c>
      <c r="H40" s="39">
        <v>33.540816</v>
      </c>
      <c r="I40" s="134">
        <v>33.072296000000001</v>
      </c>
      <c r="J40" s="39">
        <v>32.158486000000003</v>
      </c>
      <c r="K40" s="134">
        <v>31.339779</v>
      </c>
      <c r="L40" s="39">
        <v>30.81521</v>
      </c>
      <c r="M40" s="134">
        <v>30.352316999999999</v>
      </c>
      <c r="N40" s="39">
        <v>29.467773000000001</v>
      </c>
      <c r="O40" s="134">
        <v>29.012851000000001</v>
      </c>
      <c r="P40" s="39">
        <v>28.569924</v>
      </c>
      <c r="Q40" s="134">
        <v>27.790793000000001</v>
      </c>
      <c r="R40" s="39">
        <v>27.350943999999998</v>
      </c>
      <c r="S40" s="134">
        <v>26.943686</v>
      </c>
      <c r="T40" s="39">
        <v>26.574078</v>
      </c>
      <c r="U40" s="134">
        <v>25.809623999999999</v>
      </c>
      <c r="V40" s="39">
        <v>25.437381999999999</v>
      </c>
      <c r="W40" s="134">
        <v>25.065569</v>
      </c>
      <c r="X40" s="39">
        <v>24.722366000000001</v>
      </c>
      <c r="Y40" s="134">
        <v>24.405746000000001</v>
      </c>
      <c r="Z40" s="39">
        <v>23.733674000000001</v>
      </c>
      <c r="AA40" s="134">
        <v>23.509941000000001</v>
      </c>
      <c r="AB40" s="39">
        <v>23.188396999999998</v>
      </c>
      <c r="AC40" s="134">
        <v>22.894043</v>
      </c>
      <c r="AD40" s="39">
        <v>22.599070999999999</v>
      </c>
      <c r="AE40" s="134">
        <v>22.316388</v>
      </c>
      <c r="AF40" s="39">
        <v>21.750343000000001</v>
      </c>
      <c r="AG40" s="134">
        <v>21.465935000000002</v>
      </c>
      <c r="AH40" s="39">
        <v>21.214110999999999</v>
      </c>
      <c r="AI40" s="134">
        <v>20.950620000000001</v>
      </c>
      <c r="AJ40" s="39">
        <v>20.692889000000001</v>
      </c>
      <c r="AK40" s="134">
        <v>20.460326999999999</v>
      </c>
      <c r="AL40" s="39">
        <v>20.223217000000002</v>
      </c>
      <c r="AM40" s="134">
        <v>20.020468999999999</v>
      </c>
      <c r="AN40" s="39">
        <v>19.795311000000002</v>
      </c>
      <c r="AO40" s="134">
        <v>19.604482000000001</v>
      </c>
      <c r="AP40" s="39">
        <v>19.469386</v>
      </c>
      <c r="AQ40" s="134">
        <v>19.262605000000001</v>
      </c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</row>
    <row r="41" spans="2:84" x14ac:dyDescent="0.25">
      <c r="B41" s="32">
        <v>6</v>
      </c>
      <c r="C41" s="41">
        <v>37.474842000000002</v>
      </c>
      <c r="D41" s="41">
        <v>37.404978</v>
      </c>
      <c r="E41" s="41">
        <v>37.594445999999998</v>
      </c>
      <c r="F41" s="41">
        <v>37.590600999999999</v>
      </c>
      <c r="G41" s="134">
        <v>37.616824000000001</v>
      </c>
      <c r="H41" s="41">
        <v>33.716278000000003</v>
      </c>
      <c r="I41" s="134">
        <v>32.944119000000001</v>
      </c>
      <c r="J41" s="41">
        <v>32.332932</v>
      </c>
      <c r="K41" s="134">
        <v>31.473078000000001</v>
      </c>
      <c r="L41" s="41">
        <v>30.996617000000001</v>
      </c>
      <c r="M41" s="134">
        <v>30.552235</v>
      </c>
      <c r="N41" s="41">
        <v>29.639498</v>
      </c>
      <c r="O41" s="134">
        <v>29.188013000000002</v>
      </c>
      <c r="P41" s="41">
        <v>28.756999</v>
      </c>
      <c r="Q41" s="134">
        <v>27.931953</v>
      </c>
      <c r="R41" s="41">
        <v>27.531019000000001</v>
      </c>
      <c r="S41" s="134">
        <v>27.122900999999999</v>
      </c>
      <c r="T41" s="41">
        <v>26.743154000000001</v>
      </c>
      <c r="U41" s="134">
        <v>25.937370999999999</v>
      </c>
      <c r="V41" s="41">
        <v>25.583376999999999</v>
      </c>
      <c r="W41" s="134">
        <v>25.207516999999999</v>
      </c>
      <c r="X41" s="41">
        <v>24.882943000000001</v>
      </c>
      <c r="Y41" s="134">
        <v>24.554207999999999</v>
      </c>
      <c r="Z41" s="41">
        <v>23.866994999999999</v>
      </c>
      <c r="AA41" s="134">
        <v>23.627405</v>
      </c>
      <c r="AB41" s="41">
        <v>23.327826999999999</v>
      </c>
      <c r="AC41" s="134">
        <v>23.023005999999999</v>
      </c>
      <c r="AD41" s="41">
        <v>22.738989</v>
      </c>
      <c r="AE41" s="134">
        <v>22.464856999999999</v>
      </c>
      <c r="AF41" s="41">
        <v>21.86544</v>
      </c>
      <c r="AG41" s="134">
        <v>21.585326999999999</v>
      </c>
      <c r="AH41" s="41">
        <v>21.316018</v>
      </c>
      <c r="AI41" s="134">
        <v>21.064675000000001</v>
      </c>
      <c r="AJ41" s="41">
        <v>20.822780000000002</v>
      </c>
      <c r="AK41" s="134">
        <v>20.587751000000001</v>
      </c>
      <c r="AL41" s="41">
        <v>20.355668999999999</v>
      </c>
      <c r="AM41" s="134">
        <v>20.138597000000001</v>
      </c>
      <c r="AN41" s="41">
        <v>19.909756000000002</v>
      </c>
      <c r="AO41" s="134">
        <v>19.727734999999999</v>
      </c>
      <c r="AP41" s="41">
        <v>19.585401999999998</v>
      </c>
      <c r="AQ41" s="134">
        <v>19.382968000000002</v>
      </c>
    </row>
    <row r="60" spans="2:43" x14ac:dyDescent="0.25">
      <c r="B60" s="40" t="s">
        <v>4</v>
      </c>
      <c r="C60" s="40">
        <v>11</v>
      </c>
      <c r="D60" s="40"/>
      <c r="E60" s="40"/>
      <c r="F60" s="40"/>
      <c r="G60" s="21"/>
      <c r="H60" s="40"/>
      <c r="I60" s="21"/>
      <c r="J60" s="40"/>
      <c r="K60" s="21"/>
      <c r="L60" s="40"/>
      <c r="M60" s="21"/>
      <c r="N60" s="40"/>
      <c r="O60" s="21"/>
      <c r="P60" s="40"/>
      <c r="Q60" s="21"/>
      <c r="R60" s="40"/>
      <c r="S60" s="21"/>
      <c r="T60" s="40"/>
      <c r="U60" s="21"/>
      <c r="V60" s="40"/>
      <c r="W60" s="21"/>
      <c r="X60" s="40"/>
      <c r="Y60" s="21"/>
      <c r="Z60" s="40"/>
      <c r="AA60" s="21"/>
      <c r="AB60" s="40"/>
      <c r="AC60" s="21"/>
      <c r="AD60" s="40"/>
      <c r="AE60" s="21"/>
      <c r="AF60" s="40"/>
      <c r="AG60" s="21"/>
      <c r="AH60" s="40"/>
      <c r="AI60" s="21"/>
      <c r="AJ60" s="40"/>
      <c r="AK60" s="21"/>
      <c r="AL60" s="40"/>
      <c r="AM60" s="21"/>
      <c r="AN60" s="40"/>
      <c r="AO60" s="21"/>
      <c r="AP60" s="40"/>
      <c r="AQ60" s="21"/>
    </row>
    <row r="61" spans="2:43" x14ac:dyDescent="0.25">
      <c r="B61" s="1" t="s">
        <v>1</v>
      </c>
      <c r="C61" s="1">
        <v>1.8</v>
      </c>
      <c r="D61" s="2">
        <v>1.85</v>
      </c>
      <c r="E61" s="2">
        <v>1.9</v>
      </c>
      <c r="F61" s="2">
        <v>1.95</v>
      </c>
      <c r="G61" s="22">
        <v>2</v>
      </c>
      <c r="H61" s="2">
        <v>2.0499999999999998</v>
      </c>
      <c r="I61" s="22">
        <v>2.1</v>
      </c>
      <c r="J61" s="2">
        <v>2.15</v>
      </c>
      <c r="K61" s="22">
        <v>2.2000000000000002</v>
      </c>
      <c r="L61" s="2">
        <v>2.25</v>
      </c>
      <c r="M61" s="22">
        <v>2.2999999999999998</v>
      </c>
      <c r="N61" s="2">
        <v>2.35</v>
      </c>
      <c r="O61" s="22">
        <v>2.4</v>
      </c>
      <c r="P61" s="2">
        <v>2.4500000000000002</v>
      </c>
      <c r="Q61" s="22">
        <v>2.5</v>
      </c>
      <c r="R61" s="2">
        <v>2.5499999999999998</v>
      </c>
      <c r="S61" s="22">
        <v>2.6</v>
      </c>
      <c r="T61" s="2">
        <v>2.65</v>
      </c>
      <c r="U61" s="22">
        <v>2.7</v>
      </c>
      <c r="V61" s="2">
        <v>2.75</v>
      </c>
      <c r="W61" s="22">
        <v>2.8</v>
      </c>
      <c r="X61" s="2">
        <v>2.85</v>
      </c>
      <c r="Y61" s="22">
        <v>2.9</v>
      </c>
      <c r="Z61" s="2">
        <v>2.95</v>
      </c>
      <c r="AA61" s="22">
        <v>3</v>
      </c>
      <c r="AB61" s="2">
        <v>3.05</v>
      </c>
      <c r="AC61" s="22">
        <v>3.1</v>
      </c>
      <c r="AD61" s="2">
        <v>3.15</v>
      </c>
      <c r="AE61" s="22">
        <v>3.2</v>
      </c>
      <c r="AF61" s="2">
        <v>3.25</v>
      </c>
      <c r="AG61" s="22">
        <v>3.3</v>
      </c>
      <c r="AH61" s="2">
        <v>3.35</v>
      </c>
      <c r="AI61" s="22">
        <v>3.4</v>
      </c>
      <c r="AJ61" s="2">
        <v>3.45</v>
      </c>
      <c r="AK61" s="22">
        <v>3.5</v>
      </c>
      <c r="AL61" s="2">
        <v>3.55</v>
      </c>
      <c r="AM61" s="22">
        <v>3.6</v>
      </c>
      <c r="AN61" s="2">
        <v>3.65</v>
      </c>
      <c r="AO61" s="22">
        <v>3.7</v>
      </c>
      <c r="AP61" s="2">
        <v>3.75</v>
      </c>
      <c r="AQ61" s="22">
        <v>3.8</v>
      </c>
    </row>
    <row r="62" spans="2:43" x14ac:dyDescent="0.25">
      <c r="B62" s="1" t="s">
        <v>3</v>
      </c>
      <c r="C62" s="3">
        <f>AVERAGE(C63,C64,C65,C66,C67,C68)</f>
        <v>31.4037665</v>
      </c>
      <c r="D62" s="3">
        <f t="shared" ref="D62" si="41">AVERAGE(D63,D64,D65)</f>
        <v>31.207727333333327</v>
      </c>
      <c r="E62" s="3">
        <f t="shared" ref="E62" si="42">AVERAGE(E63,E64,E65)</f>
        <v>31.288988666666665</v>
      </c>
      <c r="F62" s="3">
        <f t="shared" ref="F62" si="43">AVERAGE(F63,F64,F65)</f>
        <v>31.276961</v>
      </c>
      <c r="G62" s="34">
        <f t="shared" ref="G62" si="44">AVERAGE(G63,G64,G65)</f>
        <v>31.276204000000003</v>
      </c>
      <c r="H62" s="3">
        <f t="shared" ref="H62" si="45">AVERAGE(H63,H64,H65)</f>
        <v>27.992571666666667</v>
      </c>
      <c r="I62" s="34">
        <f t="shared" ref="I62" si="46">AVERAGE(I63,I64,I65)</f>
        <v>27.250003000000003</v>
      </c>
      <c r="J62" s="3">
        <f t="shared" ref="J62" si="47">AVERAGE(J63,J64,J65)</f>
        <v>26.842023000000001</v>
      </c>
      <c r="K62" s="34">
        <f t="shared" ref="K62" si="48">AVERAGE(K63,K64,K65)</f>
        <v>26.120868666666667</v>
      </c>
      <c r="L62" s="3">
        <f t="shared" ref="L62" si="49">AVERAGE(L63,L64,L65)</f>
        <v>25.718063333333333</v>
      </c>
      <c r="M62" s="34">
        <f t="shared" ref="M62" si="50">AVERAGE(M63,M64,M65)</f>
        <v>25.344550333333334</v>
      </c>
      <c r="N62" s="3">
        <f t="shared" ref="N62" si="51">AVERAGE(N63,N64,N65)</f>
        <v>24.669135333333333</v>
      </c>
      <c r="O62" s="34">
        <f t="shared" ref="O62" si="52">AVERAGE(O63,O64,O65)</f>
        <v>24.293139333333333</v>
      </c>
      <c r="P62" s="3">
        <f t="shared" ref="P62" si="53">AVERAGE(P63,P64,P65)</f>
        <v>23.825376000000002</v>
      </c>
      <c r="Q62" s="34">
        <f t="shared" ref="Q62" si="54">AVERAGE(Q63,Q64,Q65)</f>
        <v>23.261396000000001</v>
      </c>
      <c r="R62" s="3">
        <f t="shared" ref="R62" si="55">AVERAGE(R63,R64,R65)</f>
        <v>22.914557666666667</v>
      </c>
      <c r="S62" s="34">
        <f t="shared" ref="S62" si="56">AVERAGE(S63,S64,S65)</f>
        <v>22.577524666666665</v>
      </c>
      <c r="T62" s="3">
        <f t="shared" ref="T62" si="57">AVERAGE(T63,T64,T65)</f>
        <v>22.160550333333333</v>
      </c>
      <c r="U62" s="34">
        <f t="shared" ref="U62" si="58">AVERAGE(U63,U64,U65)</f>
        <v>21.611594</v>
      </c>
      <c r="V62" s="3">
        <f t="shared" ref="V62" si="59">AVERAGE(V63,V64,V65)</f>
        <v>21.310205</v>
      </c>
      <c r="W62" s="34">
        <f t="shared" ref="W62" si="60">AVERAGE(W63,W64,W65)</f>
        <v>20.998332000000001</v>
      </c>
      <c r="X62" s="3">
        <f t="shared" ref="X62" si="61">AVERAGE(X63,X64,X65)</f>
        <v>20.721345333333332</v>
      </c>
      <c r="Y62" s="34">
        <f t="shared" ref="Y62" si="62">AVERAGE(Y63,Y64,Y65)</f>
        <v>20.356946666666662</v>
      </c>
      <c r="Z62" s="3">
        <f t="shared" ref="Z62" si="63">AVERAGE(Z63,Z64,Z65)</f>
        <v>19.887707666666667</v>
      </c>
      <c r="AA62" s="34">
        <f t="shared" ref="AA62" si="64">AVERAGE(AA63,AA64,AA65)</f>
        <v>19.681260666666663</v>
      </c>
      <c r="AB62" s="3">
        <f t="shared" ref="AB62" si="65">AVERAGE(AB63,AB64,AB65)</f>
        <v>19.471869333333334</v>
      </c>
      <c r="AC62" s="34">
        <f t="shared" ref="AC62" si="66">AVERAGE(AC63,AC64,AC65)</f>
        <v>19.225914333333332</v>
      </c>
      <c r="AD62" s="3">
        <f t="shared" ref="AD62" si="67">AVERAGE(AD63,AD64,AD65)</f>
        <v>19.045041999999999</v>
      </c>
      <c r="AE62" s="34">
        <f t="shared" ref="AE62" si="68">AVERAGE(AE63,AE64,AE65)</f>
        <v>18.627611333333334</v>
      </c>
      <c r="AF62" s="3">
        <f t="shared" ref="AF62" si="69">AVERAGE(AF63,AF64,AF65)</f>
        <v>18.311066</v>
      </c>
      <c r="AG62" s="34">
        <f t="shared" ref="AG62" si="70">AVERAGE(AG63,AG64,AG65)</f>
        <v>18.079995333333333</v>
      </c>
      <c r="AH62" s="3">
        <f t="shared" ref="AH62" si="71">AVERAGE(AH63,AH64,AH65)</f>
        <v>17.86610566666667</v>
      </c>
      <c r="AI62" s="34">
        <f t="shared" ref="AI62" si="72">AVERAGE(AI63,AI64,AI65)</f>
        <v>17.652670999999998</v>
      </c>
      <c r="AJ62" s="3">
        <f t="shared" ref="AJ62" si="73">AVERAGE(AJ63,AJ64,AJ65)</f>
        <v>17.448248666666668</v>
      </c>
      <c r="AK62" s="34">
        <f t="shared" ref="AK62" si="74">AVERAGE(AK63,AK64,AK65)</f>
        <v>17.243245666666667</v>
      </c>
      <c r="AL62" s="3">
        <f t="shared" ref="AL62" si="75">AVERAGE(AL63,AL64,AL65)</f>
        <v>17.053627333333335</v>
      </c>
      <c r="AM62" s="34">
        <f t="shared" ref="AM62" si="76">AVERAGE(AM63,AM64,AM65)</f>
        <v>16.873767333333333</v>
      </c>
      <c r="AN62" s="3">
        <f t="shared" ref="AN62" si="77">AVERAGE(AN63,AN64,AN65)</f>
        <v>16.680547666666666</v>
      </c>
      <c r="AO62" s="34">
        <f t="shared" ref="AO62" si="78">AVERAGE(AO63,AO64,AO65)</f>
        <v>16.525075999999999</v>
      </c>
      <c r="AP62" s="3">
        <f t="shared" ref="AP62" si="79">AVERAGE(AP63,AP64,AP65)</f>
        <v>16.393865999999999</v>
      </c>
      <c r="AQ62" s="34">
        <f t="shared" ref="AQ62" si="80">AVERAGE(AQ63,AQ64,AQ65)</f>
        <v>16.268470333333333</v>
      </c>
    </row>
    <row r="63" spans="2:43" x14ac:dyDescent="0.25">
      <c r="B63" s="1">
        <v>1</v>
      </c>
      <c r="C63" s="42">
        <v>32.056553999999998</v>
      </c>
      <c r="D63" s="42">
        <v>32.087806999999998</v>
      </c>
      <c r="E63" s="42">
        <v>32.344451999999997</v>
      </c>
      <c r="F63" s="42">
        <v>32.316384999999997</v>
      </c>
      <c r="G63" s="134">
        <v>32.313493999999999</v>
      </c>
      <c r="H63" s="42">
        <v>28.968996000000001</v>
      </c>
      <c r="I63" s="134">
        <v>28.202248000000001</v>
      </c>
      <c r="J63" s="42">
        <v>27.793785</v>
      </c>
      <c r="K63" s="134">
        <v>27.028497000000002</v>
      </c>
      <c r="L63" s="42">
        <v>26.614547999999999</v>
      </c>
      <c r="M63" s="134">
        <v>26.245315000000002</v>
      </c>
      <c r="N63" s="42">
        <v>25.453444000000001</v>
      </c>
      <c r="O63" s="134">
        <v>25.058771</v>
      </c>
      <c r="P63" s="42">
        <v>24.697326</v>
      </c>
      <c r="Q63" s="134">
        <v>23.997816</v>
      </c>
      <c r="R63" s="42">
        <v>23.648921999999999</v>
      </c>
      <c r="S63" s="134">
        <v>23.305354000000001</v>
      </c>
      <c r="T63" s="42">
        <v>22.989647000000001</v>
      </c>
      <c r="U63" s="134">
        <v>22.296343</v>
      </c>
      <c r="V63" s="42">
        <v>21.98751</v>
      </c>
      <c r="W63" s="134">
        <v>21.670612999999999</v>
      </c>
      <c r="X63" s="42">
        <v>21.394174</v>
      </c>
      <c r="Y63" s="134">
        <v>21.111885999999998</v>
      </c>
      <c r="Z63" s="42">
        <v>20.519317000000001</v>
      </c>
      <c r="AA63" s="134">
        <v>20.254460000000002</v>
      </c>
      <c r="AB63" s="42">
        <v>20.124448000000001</v>
      </c>
      <c r="AC63" s="134">
        <v>19.883026000000001</v>
      </c>
      <c r="AD63" s="42">
        <v>19.637041</v>
      </c>
      <c r="AE63" s="134">
        <v>19.388152000000002</v>
      </c>
      <c r="AF63" s="42">
        <v>18.875114</v>
      </c>
      <c r="AG63" s="134">
        <v>18.632989999999999</v>
      </c>
      <c r="AH63" s="42">
        <v>18.406789</v>
      </c>
      <c r="AI63" s="134">
        <v>18.198509999999999</v>
      </c>
      <c r="AJ63" s="42">
        <v>17.987376999999999</v>
      </c>
      <c r="AK63" s="134">
        <v>17.771125000000001</v>
      </c>
      <c r="AL63" s="42">
        <v>17.577660999999999</v>
      </c>
      <c r="AM63" s="134">
        <v>17.395188999999998</v>
      </c>
      <c r="AN63" s="42">
        <v>17.193390999999998</v>
      </c>
      <c r="AO63" s="134">
        <v>17.046037999999999</v>
      </c>
      <c r="AP63" s="42">
        <v>16.863838000000001</v>
      </c>
      <c r="AQ63" s="134">
        <v>16.809096</v>
      </c>
    </row>
    <row r="64" spans="2:43" x14ac:dyDescent="0.25">
      <c r="B64" s="1">
        <v>2</v>
      </c>
      <c r="C64" s="43">
        <v>31.682124000000002</v>
      </c>
      <c r="D64" s="43">
        <v>31.647093999999999</v>
      </c>
      <c r="E64" s="43">
        <v>31.649197999999998</v>
      </c>
      <c r="F64" s="43">
        <v>31.641162999999999</v>
      </c>
      <c r="G64" s="134">
        <v>31.637069</v>
      </c>
      <c r="H64" s="43">
        <v>28.326938999999999</v>
      </c>
      <c r="I64" s="134">
        <v>27.590071999999999</v>
      </c>
      <c r="J64" s="43">
        <v>27.163627000000002</v>
      </c>
      <c r="K64" s="134">
        <v>26.446270999999999</v>
      </c>
      <c r="L64" s="43">
        <v>26.040099000000001</v>
      </c>
      <c r="M64" s="134">
        <v>25.642071000000001</v>
      </c>
      <c r="N64" s="43">
        <v>24.900842000000001</v>
      </c>
      <c r="O64" s="134">
        <v>24.511873999999999</v>
      </c>
      <c r="P64" s="43">
        <v>24.145748000000001</v>
      </c>
      <c r="Q64" s="134">
        <v>23.482945999999998</v>
      </c>
      <c r="R64" s="43">
        <v>23.122669999999999</v>
      </c>
      <c r="S64" s="134">
        <v>22.769597999999998</v>
      </c>
      <c r="T64" s="43">
        <v>22.471321</v>
      </c>
      <c r="U64" s="134">
        <v>21.818539000000001</v>
      </c>
      <c r="V64" s="43">
        <v>21.513003999999999</v>
      </c>
      <c r="W64" s="134">
        <v>21.186975</v>
      </c>
      <c r="X64" s="43">
        <v>20.900221999999999</v>
      </c>
      <c r="Y64" s="134">
        <v>20.624551</v>
      </c>
      <c r="Z64" s="43">
        <v>20.071216</v>
      </c>
      <c r="AA64" s="134">
        <v>19.974321</v>
      </c>
      <c r="AB64" s="43">
        <v>19.710650999999999</v>
      </c>
      <c r="AC64" s="134">
        <v>19.463757999999999</v>
      </c>
      <c r="AD64" s="43">
        <v>19.221233999999999</v>
      </c>
      <c r="AE64" s="134">
        <v>18.711144000000001</v>
      </c>
      <c r="AF64" s="43">
        <v>18.485585</v>
      </c>
      <c r="AG64" s="134">
        <v>18.257073999999999</v>
      </c>
      <c r="AH64" s="43">
        <v>18.040897000000001</v>
      </c>
      <c r="AI64" s="134">
        <v>17.816386999999999</v>
      </c>
      <c r="AJ64" s="43">
        <v>17.598186999999999</v>
      </c>
      <c r="AK64" s="134">
        <v>17.407451999999999</v>
      </c>
      <c r="AL64" s="43">
        <v>17.211912000000002</v>
      </c>
      <c r="AM64" s="134">
        <v>17.035205000000001</v>
      </c>
      <c r="AN64" s="43">
        <v>16.840105000000001</v>
      </c>
      <c r="AO64" s="134">
        <v>16.66412</v>
      </c>
      <c r="AP64" s="43">
        <v>16.621842999999998</v>
      </c>
      <c r="AQ64" s="134">
        <v>16.444635999999999</v>
      </c>
    </row>
    <row r="65" spans="2:43" x14ac:dyDescent="0.25">
      <c r="B65" s="1">
        <v>3</v>
      </c>
      <c r="C65" s="44">
        <v>29.911595999999999</v>
      </c>
      <c r="D65" s="44">
        <v>29.888280999999999</v>
      </c>
      <c r="E65" s="44">
        <v>29.873315999999999</v>
      </c>
      <c r="F65" s="44">
        <v>29.873335000000001</v>
      </c>
      <c r="G65" s="134">
        <v>29.878049000000001</v>
      </c>
      <c r="H65" s="44">
        <v>26.68178</v>
      </c>
      <c r="I65" s="134">
        <v>25.957688999999998</v>
      </c>
      <c r="J65" s="44">
        <v>25.568657000000002</v>
      </c>
      <c r="K65" s="134">
        <v>24.887837999999999</v>
      </c>
      <c r="L65" s="44">
        <v>24.499542999999999</v>
      </c>
      <c r="M65" s="134">
        <v>24.146265</v>
      </c>
      <c r="N65" s="44">
        <v>23.653120000000001</v>
      </c>
      <c r="O65" s="134">
        <v>23.308772999999999</v>
      </c>
      <c r="P65" s="44">
        <v>22.633054000000001</v>
      </c>
      <c r="Q65" s="134">
        <v>22.303426000000002</v>
      </c>
      <c r="R65" s="44">
        <v>21.972080999999999</v>
      </c>
      <c r="S65" s="134">
        <v>21.657622</v>
      </c>
      <c r="T65" s="44">
        <v>21.020682999999998</v>
      </c>
      <c r="U65" s="134">
        <v>20.719899999999999</v>
      </c>
      <c r="V65" s="44">
        <v>20.430101000000001</v>
      </c>
      <c r="W65" s="134">
        <v>20.137408000000001</v>
      </c>
      <c r="X65" s="44">
        <v>19.86964</v>
      </c>
      <c r="Y65" s="134">
        <v>19.334402999999998</v>
      </c>
      <c r="Z65" s="44">
        <v>19.072590000000002</v>
      </c>
      <c r="AA65" s="134">
        <v>18.815000999999999</v>
      </c>
      <c r="AB65" s="44">
        <v>18.580508999999999</v>
      </c>
      <c r="AC65" s="134">
        <v>18.330959</v>
      </c>
      <c r="AD65" s="44">
        <v>18.276851000000001</v>
      </c>
      <c r="AE65" s="134">
        <v>17.783538</v>
      </c>
      <c r="AF65" s="44">
        <v>17.572499000000001</v>
      </c>
      <c r="AG65" s="134">
        <v>17.349921999999999</v>
      </c>
      <c r="AH65" s="44">
        <v>17.150631000000001</v>
      </c>
      <c r="AI65" s="134">
        <v>16.943116</v>
      </c>
      <c r="AJ65" s="44">
        <v>16.759181999999999</v>
      </c>
      <c r="AK65" s="134">
        <v>16.551159999999999</v>
      </c>
      <c r="AL65" s="44">
        <v>16.371309</v>
      </c>
      <c r="AM65" s="134">
        <v>16.190908</v>
      </c>
      <c r="AN65" s="44">
        <v>16.008147000000001</v>
      </c>
      <c r="AO65" s="134">
        <v>15.865069999999999</v>
      </c>
      <c r="AP65" s="44">
        <v>15.695917</v>
      </c>
      <c r="AQ65" s="134">
        <v>15.551679</v>
      </c>
    </row>
    <row r="66" spans="2:43" x14ac:dyDescent="0.25">
      <c r="B66" s="32">
        <v>4</v>
      </c>
      <c r="C66" s="45">
        <v>31.991764</v>
      </c>
      <c r="D66" s="45">
        <v>32.002324999999999</v>
      </c>
      <c r="E66" s="45">
        <v>32.003480000000003</v>
      </c>
      <c r="F66" s="45">
        <v>32.012574000000001</v>
      </c>
      <c r="G66" s="134">
        <v>32.016444</v>
      </c>
      <c r="H66" s="45">
        <v>28.616966999999999</v>
      </c>
      <c r="I66" s="134">
        <v>27.862503</v>
      </c>
      <c r="J66" s="45">
        <v>27.447505</v>
      </c>
      <c r="K66" s="134">
        <v>26.718841999999999</v>
      </c>
      <c r="L66" s="45">
        <v>26.288392000000002</v>
      </c>
      <c r="M66" s="134">
        <v>25.908626000000002</v>
      </c>
      <c r="N66" s="45">
        <v>25.144304999999999</v>
      </c>
      <c r="O66" s="134">
        <v>24.941894000000001</v>
      </c>
      <c r="P66" s="45">
        <v>24.077575</v>
      </c>
      <c r="Q66" s="134">
        <v>23.891501999999999</v>
      </c>
      <c r="R66" s="45">
        <v>23.524999000000001</v>
      </c>
      <c r="S66" s="134">
        <v>23.181393</v>
      </c>
      <c r="T66" s="45">
        <v>22.503171999999999</v>
      </c>
      <c r="U66" s="134">
        <v>22.176323</v>
      </c>
      <c r="V66" s="45">
        <v>21.873335999999998</v>
      </c>
      <c r="W66" s="134">
        <v>21.55789</v>
      </c>
      <c r="X66" s="45">
        <v>21.264593000000001</v>
      </c>
      <c r="Y66" s="134">
        <v>20.699369999999998</v>
      </c>
      <c r="Z66" s="45">
        <v>20.402355</v>
      </c>
      <c r="AA66" s="134">
        <v>20.137518</v>
      </c>
      <c r="AB66" s="45">
        <v>19.880587999999999</v>
      </c>
      <c r="AC66" s="134">
        <v>19.632286000000001</v>
      </c>
      <c r="AD66" s="45">
        <v>19.391938</v>
      </c>
      <c r="AE66" s="134">
        <v>18.867058</v>
      </c>
      <c r="AF66" s="45">
        <v>18.644323</v>
      </c>
      <c r="AG66" s="134">
        <v>18.404841000000001</v>
      </c>
      <c r="AH66" s="45">
        <v>18.198665999999999</v>
      </c>
      <c r="AI66" s="134">
        <v>17.981370999999999</v>
      </c>
      <c r="AJ66" s="45">
        <v>17.773187</v>
      </c>
      <c r="AK66" s="134">
        <v>17.561868</v>
      </c>
      <c r="AL66" s="45">
        <v>17.366969000000001</v>
      </c>
      <c r="AM66" s="134">
        <v>17.187259000000001</v>
      </c>
      <c r="AN66" s="45">
        <v>17.107848000000001</v>
      </c>
      <c r="AO66" s="134">
        <v>16.949484999999999</v>
      </c>
      <c r="AP66" s="45">
        <v>16.767969000000001</v>
      </c>
      <c r="AQ66" s="134">
        <v>16.601205</v>
      </c>
    </row>
    <row r="67" spans="2:43" x14ac:dyDescent="0.25">
      <c r="B67" s="32">
        <v>5</v>
      </c>
      <c r="C67" s="46">
        <v>31.080285</v>
      </c>
      <c r="D67" s="46">
        <v>31.073608</v>
      </c>
      <c r="E67" s="46">
        <v>31.059840000000001</v>
      </c>
      <c r="F67" s="46">
        <v>31.068109</v>
      </c>
      <c r="G67" s="134">
        <v>31.335796999999999</v>
      </c>
      <c r="H67" s="46">
        <v>28.051158000000001</v>
      </c>
      <c r="I67" s="134">
        <v>27.303837000000001</v>
      </c>
      <c r="J67" s="46">
        <v>26.903504999999999</v>
      </c>
      <c r="K67" s="134">
        <v>26.188030000000001</v>
      </c>
      <c r="L67" s="46">
        <v>25.761431999999999</v>
      </c>
      <c r="M67" s="134">
        <v>25.383403999999999</v>
      </c>
      <c r="N67" s="46">
        <v>24.644469999999998</v>
      </c>
      <c r="O67" s="134">
        <v>24.267299999999999</v>
      </c>
      <c r="P67" s="46">
        <v>23.596897999999999</v>
      </c>
      <c r="Q67" s="134">
        <v>23.238806</v>
      </c>
      <c r="R67" s="46">
        <v>22.904011000000001</v>
      </c>
      <c r="S67" s="134">
        <v>22.550193</v>
      </c>
      <c r="T67" s="46">
        <v>21.890505000000001</v>
      </c>
      <c r="U67" s="134">
        <v>21.573965000000001</v>
      </c>
      <c r="V67" s="46">
        <v>21.271225999999999</v>
      </c>
      <c r="W67" s="134">
        <v>20.969701000000001</v>
      </c>
      <c r="X67" s="46">
        <v>20.685009999999998</v>
      </c>
      <c r="Y67" s="134">
        <v>20.128409999999999</v>
      </c>
      <c r="Z67" s="46">
        <v>19.842858</v>
      </c>
      <c r="AA67" s="134">
        <v>19.574017999999999</v>
      </c>
      <c r="AB67" s="46">
        <v>19.328612</v>
      </c>
      <c r="AC67" s="134">
        <v>19.076521</v>
      </c>
      <c r="AD67" s="46">
        <v>18.848004</v>
      </c>
      <c r="AE67" s="134">
        <v>18.352588000000001</v>
      </c>
      <c r="AF67" s="46">
        <v>18.13419</v>
      </c>
      <c r="AG67" s="134">
        <v>17.882133</v>
      </c>
      <c r="AH67" s="46">
        <v>17.677809</v>
      </c>
      <c r="AI67" s="134">
        <v>17.465502999999998</v>
      </c>
      <c r="AJ67" s="46">
        <v>17.412883999999998</v>
      </c>
      <c r="AK67" s="134">
        <v>17.204069</v>
      </c>
      <c r="AL67" s="46">
        <v>17.023099999999999</v>
      </c>
      <c r="AM67" s="134">
        <v>16.836358000000001</v>
      </c>
      <c r="AN67" s="46">
        <v>16.640463</v>
      </c>
      <c r="AO67" s="134">
        <v>16.482127999999999</v>
      </c>
      <c r="AP67" s="46">
        <v>16.292774000000001</v>
      </c>
      <c r="AQ67" s="134">
        <v>16.144290999999999</v>
      </c>
    </row>
    <row r="68" spans="2:43" x14ac:dyDescent="0.25">
      <c r="B68" s="32">
        <v>6</v>
      </c>
      <c r="C68" s="48">
        <v>31.700275999999999</v>
      </c>
      <c r="D68" s="48">
        <v>31.683056000000001</v>
      </c>
      <c r="E68" s="48">
        <v>31.674752000000002</v>
      </c>
      <c r="F68" s="48">
        <v>31.678066000000001</v>
      </c>
      <c r="G68" s="134">
        <v>31.679819999999999</v>
      </c>
      <c r="H68" s="48">
        <v>28.329640999999999</v>
      </c>
      <c r="I68" s="134">
        <v>27.587961</v>
      </c>
      <c r="J68" s="48">
        <v>27.157644999999999</v>
      </c>
      <c r="K68" s="134">
        <v>26.432531000000001</v>
      </c>
      <c r="L68" s="48">
        <v>25.998498000000001</v>
      </c>
      <c r="M68" s="134">
        <v>25.615652000000001</v>
      </c>
      <c r="N68" s="48">
        <v>25.106959</v>
      </c>
      <c r="O68" s="134">
        <v>24.736732</v>
      </c>
      <c r="P68" s="48">
        <v>24.338766</v>
      </c>
      <c r="Q68" s="134">
        <v>23.679704000000001</v>
      </c>
      <c r="R68" s="48">
        <v>23.332440999999999</v>
      </c>
      <c r="S68" s="134">
        <v>22.973229</v>
      </c>
      <c r="T68" s="48">
        <v>22.64592</v>
      </c>
      <c r="U68" s="134">
        <v>21.979613000000001</v>
      </c>
      <c r="V68" s="48">
        <v>21.670397000000001</v>
      </c>
      <c r="W68" s="134">
        <v>21.372364999999999</v>
      </c>
      <c r="X68" s="48">
        <v>21.067195000000002</v>
      </c>
      <c r="Y68" s="134">
        <v>20.795013999999998</v>
      </c>
      <c r="Z68" s="48">
        <v>20.21611</v>
      </c>
      <c r="AA68" s="134">
        <v>20.119074999999999</v>
      </c>
      <c r="AB68" s="48">
        <v>19.845576999999999</v>
      </c>
      <c r="AC68" s="134">
        <v>19.586991999999999</v>
      </c>
      <c r="AD68" s="48">
        <v>19.348077</v>
      </c>
      <c r="AE68" s="134">
        <v>19.095573999999999</v>
      </c>
      <c r="AF68" s="48">
        <v>18.609573000000001</v>
      </c>
      <c r="AG68" s="134">
        <v>18.379173999999999</v>
      </c>
      <c r="AH68" s="48">
        <v>18.164999000000002</v>
      </c>
      <c r="AI68" s="134">
        <v>17.939675999999999</v>
      </c>
      <c r="AJ68" s="48">
        <v>17.725746999999998</v>
      </c>
      <c r="AK68" s="134">
        <v>17.517972</v>
      </c>
      <c r="AL68" s="48">
        <v>17.324999999999999</v>
      </c>
      <c r="AM68" s="134">
        <v>17.139772000000001</v>
      </c>
      <c r="AN68" s="48">
        <v>16.951191000000001</v>
      </c>
      <c r="AO68" s="134">
        <v>16.772604999999999</v>
      </c>
      <c r="AP68" s="48">
        <v>16.588391999999999</v>
      </c>
      <c r="AQ68" s="134">
        <v>16.446733999999999</v>
      </c>
    </row>
    <row r="86" spans="2:43" x14ac:dyDescent="0.25">
      <c r="B86" s="47" t="s">
        <v>4</v>
      </c>
      <c r="C86" s="47">
        <v>10</v>
      </c>
      <c r="D86" s="47"/>
      <c r="E86" s="47"/>
      <c r="F86" s="47"/>
      <c r="G86" s="21"/>
      <c r="H86" s="47"/>
      <c r="I86" s="21"/>
      <c r="J86" s="47"/>
      <c r="K86" s="21"/>
      <c r="L86" s="47"/>
      <c r="M86" s="21"/>
      <c r="N86" s="47"/>
      <c r="O86" s="21"/>
      <c r="P86" s="47"/>
      <c r="Q86" s="21"/>
      <c r="R86" s="47"/>
      <c r="S86" s="21"/>
      <c r="T86" s="47"/>
      <c r="U86" s="21"/>
      <c r="V86" s="47"/>
      <c r="W86" s="21"/>
      <c r="X86" s="47"/>
      <c r="Y86" s="21"/>
      <c r="Z86" s="47"/>
      <c r="AA86" s="21"/>
      <c r="AB86" s="47"/>
      <c r="AC86" s="21"/>
      <c r="AD86" s="47"/>
      <c r="AE86" s="21"/>
      <c r="AF86" s="47"/>
      <c r="AG86" s="21"/>
      <c r="AH86" s="47"/>
      <c r="AI86" s="21"/>
      <c r="AJ86" s="47"/>
      <c r="AK86" s="21"/>
      <c r="AL86" s="47"/>
      <c r="AM86" s="21"/>
      <c r="AN86" s="47"/>
      <c r="AO86" s="21"/>
      <c r="AP86" s="47"/>
      <c r="AQ86" s="21"/>
    </row>
    <row r="87" spans="2:43" x14ac:dyDescent="0.25">
      <c r="B87" s="1" t="s">
        <v>1</v>
      </c>
      <c r="C87" s="1">
        <v>1.8</v>
      </c>
      <c r="D87" s="2">
        <v>1.85</v>
      </c>
      <c r="E87" s="2">
        <v>1.9</v>
      </c>
      <c r="F87" s="2">
        <v>1.95</v>
      </c>
      <c r="G87" s="22">
        <v>2</v>
      </c>
      <c r="H87" s="2">
        <v>2.0499999999999998</v>
      </c>
      <c r="I87" s="22">
        <v>2.1</v>
      </c>
      <c r="J87" s="2">
        <v>2.15</v>
      </c>
      <c r="K87" s="22">
        <v>2.2000000000000002</v>
      </c>
      <c r="L87" s="2">
        <v>2.25</v>
      </c>
      <c r="M87" s="22">
        <v>2.2999999999999998</v>
      </c>
      <c r="N87" s="2">
        <v>2.35</v>
      </c>
      <c r="O87" s="22">
        <v>2.4</v>
      </c>
      <c r="P87" s="2">
        <v>2.4500000000000002</v>
      </c>
      <c r="Q87" s="22">
        <v>2.5</v>
      </c>
      <c r="R87" s="2">
        <v>2.5499999999999998</v>
      </c>
      <c r="S87" s="22">
        <v>2.6</v>
      </c>
      <c r="T87" s="2">
        <v>2.65</v>
      </c>
      <c r="U87" s="22">
        <v>2.7</v>
      </c>
      <c r="V87" s="2">
        <v>2.75</v>
      </c>
      <c r="W87" s="22">
        <v>2.8</v>
      </c>
      <c r="X87" s="2">
        <v>2.85</v>
      </c>
      <c r="Y87" s="22">
        <v>2.9</v>
      </c>
      <c r="Z87" s="2">
        <v>2.95</v>
      </c>
      <c r="AA87" s="22">
        <v>3</v>
      </c>
      <c r="AB87" s="2">
        <v>3.05</v>
      </c>
      <c r="AC87" s="22">
        <v>3.1</v>
      </c>
      <c r="AD87" s="2">
        <v>3.15</v>
      </c>
      <c r="AE87" s="22">
        <v>3.2</v>
      </c>
      <c r="AF87" s="2">
        <v>3.25</v>
      </c>
      <c r="AG87" s="22">
        <v>3.3</v>
      </c>
      <c r="AH87" s="2">
        <v>3.35</v>
      </c>
      <c r="AI87" s="22">
        <v>3.4</v>
      </c>
      <c r="AJ87" s="2">
        <v>3.45</v>
      </c>
      <c r="AK87" s="22">
        <v>3.5</v>
      </c>
      <c r="AL87" s="2">
        <v>3.55</v>
      </c>
      <c r="AM87" s="22">
        <v>3.6</v>
      </c>
      <c r="AN87" s="2">
        <v>3.65</v>
      </c>
      <c r="AO87" s="22">
        <v>3.7</v>
      </c>
      <c r="AP87" s="2">
        <v>3.75</v>
      </c>
      <c r="AQ87" s="22">
        <v>3.8</v>
      </c>
    </row>
    <row r="88" spans="2:43" x14ac:dyDescent="0.25">
      <c r="B88" s="1" t="s">
        <v>3</v>
      </c>
      <c r="C88" s="3">
        <f>AVERAGE(C89,C90,C91,C92,C93,C94)</f>
        <v>28.708738999999998</v>
      </c>
      <c r="D88" s="3">
        <f t="shared" ref="D88" si="81">AVERAGE(D89,D90,D91)</f>
        <v>28.474506000000002</v>
      </c>
      <c r="E88" s="3">
        <f t="shared" ref="E88" si="82">AVERAGE(E89,E90,E91)</f>
        <v>28.465974666666664</v>
      </c>
      <c r="F88" s="3">
        <f t="shared" ref="F88" si="83">AVERAGE(F89,F90,F91)</f>
        <v>28.465278666666666</v>
      </c>
      <c r="G88" s="34">
        <f t="shared" ref="G88" si="84">AVERAGE(G89,G90,G91)</f>
        <v>28.623275000000003</v>
      </c>
      <c r="H88" s="3">
        <f t="shared" ref="H88" si="85">AVERAGE(H89,H90,H91)</f>
        <v>25.458285666666669</v>
      </c>
      <c r="I88" s="34">
        <f t="shared" ref="I88" si="86">AVERAGE(I89,I90,I91)</f>
        <v>24.918834333333336</v>
      </c>
      <c r="J88" s="3">
        <f t="shared" ref="J88" si="87">AVERAGE(J89,J90,J91)</f>
        <v>24.536226999999997</v>
      </c>
      <c r="K88" s="34">
        <f t="shared" ref="K88" si="88">AVERAGE(K89,K90,K91)</f>
        <v>23.893558666666667</v>
      </c>
      <c r="L88" s="3">
        <f t="shared" ref="L88" si="89">AVERAGE(L89,L90,L91)</f>
        <v>23.521357333333331</v>
      </c>
      <c r="M88" s="34">
        <f t="shared" ref="M88" si="90">AVERAGE(M89,M90,M91)</f>
        <v>23.178642666666665</v>
      </c>
      <c r="N88" s="3">
        <f t="shared" ref="N88" si="91">AVERAGE(N89,N90,N91)</f>
        <v>22.615939666666666</v>
      </c>
      <c r="O88" s="34">
        <f t="shared" ref="O88" si="92">AVERAGE(O89,O90,O91)</f>
        <v>22.267951333333333</v>
      </c>
      <c r="P88" s="3">
        <f t="shared" ref="P88" si="93">AVERAGE(P89,P90,P91)</f>
        <v>21.841087666666667</v>
      </c>
      <c r="Q88" s="34">
        <f t="shared" ref="Q88" si="94">AVERAGE(Q89,Q90,Q91)</f>
        <v>21.322738666666666</v>
      </c>
      <c r="R88" s="3">
        <f t="shared" ref="R88" si="95">AVERAGE(R89,R90,R91)</f>
        <v>21.005817</v>
      </c>
      <c r="S88" s="34">
        <f t="shared" ref="S88" si="96">AVERAGE(S89,S90,S91)</f>
        <v>20.701691666666665</v>
      </c>
      <c r="T88" s="3">
        <f t="shared" ref="T88" si="97">AVERAGE(T89,T90,T91)</f>
        <v>20.308477333333332</v>
      </c>
      <c r="U88" s="34">
        <f t="shared" ref="U88" si="98">AVERAGE(U89,U90,U91)</f>
        <v>19.813829000000002</v>
      </c>
      <c r="V88" s="3">
        <f t="shared" ref="V88" si="99">AVERAGE(V89,V90,V91)</f>
        <v>19.530470333333334</v>
      </c>
      <c r="W88" s="34">
        <f t="shared" ref="W88" si="100">AVERAGE(W89,W90,W91)</f>
        <v>19.257033666666668</v>
      </c>
      <c r="X88" s="3">
        <f t="shared" ref="X88" si="101">AVERAGE(X89,X90,X91)</f>
        <v>18.998031666666666</v>
      </c>
      <c r="Y88" s="34">
        <f t="shared" ref="Y88" si="102">AVERAGE(Y89,Y90,Y91)</f>
        <v>18.663799333333333</v>
      </c>
      <c r="Z88" s="3">
        <f t="shared" ref="Z88" si="103">AVERAGE(Z89,Z90,Z91)</f>
        <v>18.234261333333333</v>
      </c>
      <c r="AA88" s="34">
        <f t="shared" ref="AA88" si="104">AVERAGE(AA89,AA90,AA91)</f>
        <v>17.994693333333331</v>
      </c>
      <c r="AB88" s="3">
        <f t="shared" ref="AB88" si="105">AVERAGE(AB89,AB90,AB91)</f>
        <v>17.752945999999998</v>
      </c>
      <c r="AC88" s="34">
        <f t="shared" ref="AC88" si="106">AVERAGE(AC89,AC90,AC91)</f>
        <v>17.531064666666666</v>
      </c>
      <c r="AD88" s="3">
        <f t="shared" ref="AD88" si="107">AVERAGE(AD89,AD90,AD91)</f>
        <v>17.308841333333334</v>
      </c>
      <c r="AE88" s="34">
        <f t="shared" ref="AE88" si="108">AVERAGE(AE89,AE90,AE91)</f>
        <v>16.940306333333336</v>
      </c>
      <c r="AF88" s="3">
        <f t="shared" ref="AF88" si="109">AVERAGE(AF89,AF90,AF91)</f>
        <v>16.655398999999999</v>
      </c>
      <c r="AG88" s="34">
        <f t="shared" ref="AG88" si="110">AVERAGE(AG89,AG90,AG91)</f>
        <v>16.440706666666667</v>
      </c>
      <c r="AH88" s="3">
        <f t="shared" ref="AH88" si="111">AVERAGE(AH89,AH90,AH91)</f>
        <v>16.248296</v>
      </c>
      <c r="AI88" s="34">
        <f t="shared" ref="AI88" si="112">AVERAGE(AI89,AI90,AI91)</f>
        <v>16.128014333333336</v>
      </c>
      <c r="AJ88" s="3">
        <f t="shared" ref="AJ88" si="113">AVERAGE(AJ89,AJ90,AJ91)</f>
        <v>15.938562666666664</v>
      </c>
      <c r="AK88" s="34">
        <f t="shared" ref="AK88" si="114">AVERAGE(AK89,AK90,AK91)</f>
        <v>15.749065333333332</v>
      </c>
      <c r="AL88" s="3">
        <f t="shared" ref="AL88" si="115">AVERAGE(AL89,AL90,AL91)</f>
        <v>15.574698333333332</v>
      </c>
      <c r="AM88" s="34">
        <f t="shared" ref="AM88" si="116">AVERAGE(AM89,AM90,AM91)</f>
        <v>15.411126000000001</v>
      </c>
      <c r="AN88" s="3">
        <f t="shared" ref="AN88" si="117">AVERAGE(AN89,AN90,AN91)</f>
        <v>15.2403</v>
      </c>
      <c r="AO88" s="34">
        <f t="shared" ref="AO88" si="118">AVERAGE(AO89,AO90,AO91)</f>
        <v>15.091912333333333</v>
      </c>
      <c r="AP88" s="3">
        <f t="shared" ref="AP88" si="119">AVERAGE(AP89,AP90,AP91)</f>
        <v>14.935872000000002</v>
      </c>
      <c r="AQ88" s="34">
        <f t="shared" ref="AQ88" si="120">AVERAGE(AQ89,AQ90,AQ91)</f>
        <v>14.843326666666668</v>
      </c>
    </row>
    <row r="89" spans="2:43" x14ac:dyDescent="0.25">
      <c r="B89" s="1">
        <v>1</v>
      </c>
      <c r="C89" s="49">
        <v>29.480739</v>
      </c>
      <c r="D89" s="49">
        <v>29.822047999999999</v>
      </c>
      <c r="E89" s="49">
        <v>29.830580000000001</v>
      </c>
      <c r="F89" s="49">
        <v>29.816784999999999</v>
      </c>
      <c r="G89" s="134">
        <v>29.840246</v>
      </c>
      <c r="H89" s="49">
        <v>26.713906000000001</v>
      </c>
      <c r="I89" s="134">
        <v>26.005153</v>
      </c>
      <c r="J89" s="49">
        <v>25.602364999999999</v>
      </c>
      <c r="K89" s="134">
        <v>24.931587</v>
      </c>
      <c r="L89" s="49">
        <v>24.553243999999999</v>
      </c>
      <c r="M89" s="134">
        <v>24.208734</v>
      </c>
      <c r="N89" s="49">
        <v>23.478296</v>
      </c>
      <c r="O89" s="134">
        <v>23.124106000000001</v>
      </c>
      <c r="P89" s="49">
        <v>22.783041000000001</v>
      </c>
      <c r="Q89" s="134">
        <v>22.132483000000001</v>
      </c>
      <c r="R89" s="49">
        <v>21.816704000000001</v>
      </c>
      <c r="S89" s="134">
        <v>21.501047</v>
      </c>
      <c r="T89" s="49">
        <v>21.211193000000002</v>
      </c>
      <c r="U89" s="134">
        <v>20.576836</v>
      </c>
      <c r="V89" s="49">
        <v>20.288826</v>
      </c>
      <c r="W89" s="134">
        <v>20.008617999999998</v>
      </c>
      <c r="X89" s="49">
        <v>19.739073999999999</v>
      </c>
      <c r="Y89" s="134">
        <v>19.479015</v>
      </c>
      <c r="Z89" s="49">
        <v>18.937821</v>
      </c>
      <c r="AA89" s="134">
        <v>18.697229</v>
      </c>
      <c r="AB89" s="49">
        <v>18.436387</v>
      </c>
      <c r="AC89" s="134">
        <v>18.217168999999998</v>
      </c>
      <c r="AD89" s="49">
        <v>17.982234999999999</v>
      </c>
      <c r="AE89" s="134">
        <v>17.762329000000001</v>
      </c>
      <c r="AF89" s="49">
        <v>17.301627</v>
      </c>
      <c r="AG89" s="134">
        <v>17.072668</v>
      </c>
      <c r="AH89" s="49">
        <v>16.880348000000001</v>
      </c>
      <c r="AI89" s="134">
        <v>16.892918999999999</v>
      </c>
      <c r="AJ89" s="49">
        <v>16.694861</v>
      </c>
      <c r="AK89" s="134">
        <v>16.495750999999998</v>
      </c>
      <c r="AL89" s="49">
        <v>16.317014</v>
      </c>
      <c r="AM89" s="134">
        <v>16.143142000000001</v>
      </c>
      <c r="AN89" s="49">
        <v>15.96519</v>
      </c>
      <c r="AO89" s="134">
        <v>15.826597</v>
      </c>
      <c r="AP89" s="49">
        <v>15.651372</v>
      </c>
      <c r="AQ89" s="134">
        <v>15.492656</v>
      </c>
    </row>
    <row r="90" spans="2:43" x14ac:dyDescent="0.25">
      <c r="B90" s="1">
        <v>2</v>
      </c>
      <c r="C90" s="50">
        <v>28.768801</v>
      </c>
      <c r="D90" s="50">
        <v>28.745055000000001</v>
      </c>
      <c r="E90" s="50">
        <v>28.716515999999999</v>
      </c>
      <c r="F90" s="50">
        <v>28.724193</v>
      </c>
      <c r="G90" s="134">
        <v>29.188102000000001</v>
      </c>
      <c r="H90" s="50">
        <v>25.704650000000001</v>
      </c>
      <c r="I90" s="134">
        <v>25.446912000000001</v>
      </c>
      <c r="J90" s="50">
        <v>25.056477999999998</v>
      </c>
      <c r="K90" s="134">
        <v>24.385759</v>
      </c>
      <c r="L90" s="50">
        <v>24.005317000000002</v>
      </c>
      <c r="M90" s="134">
        <v>23.651122999999998</v>
      </c>
      <c r="N90" s="50">
        <v>22.967952</v>
      </c>
      <c r="O90" s="134">
        <v>22.616482000000001</v>
      </c>
      <c r="P90" s="50">
        <v>22.28238</v>
      </c>
      <c r="Q90" s="134">
        <v>21.670743000000002</v>
      </c>
      <c r="R90" s="50">
        <v>21.335087000000001</v>
      </c>
      <c r="S90" s="134">
        <v>21.018841999999999</v>
      </c>
      <c r="T90" s="50">
        <v>20.722141000000001</v>
      </c>
      <c r="U90" s="134">
        <v>20.132597000000001</v>
      </c>
      <c r="V90" s="50">
        <v>19.828288000000001</v>
      </c>
      <c r="W90" s="134">
        <v>19.547008000000002</v>
      </c>
      <c r="X90" s="50">
        <v>19.286940000000001</v>
      </c>
      <c r="Y90" s="134">
        <v>19.023907999999999</v>
      </c>
      <c r="Z90" s="50">
        <v>18.511333</v>
      </c>
      <c r="AA90" s="134">
        <v>18.272231999999999</v>
      </c>
      <c r="AB90" s="50">
        <v>18.015861999999998</v>
      </c>
      <c r="AC90" s="134">
        <v>17.797332000000001</v>
      </c>
      <c r="AD90" s="50">
        <v>17.564347999999999</v>
      </c>
      <c r="AE90" s="134">
        <v>17.117560999999998</v>
      </c>
      <c r="AF90" s="50">
        <v>16.904032999999998</v>
      </c>
      <c r="AG90" s="134">
        <v>16.698556</v>
      </c>
      <c r="AH90" s="50">
        <v>16.493689</v>
      </c>
      <c r="AI90" s="134">
        <v>16.302724000000001</v>
      </c>
      <c r="AJ90" s="50">
        <v>16.103563999999999</v>
      </c>
      <c r="AK90" s="134">
        <v>15.921431</v>
      </c>
      <c r="AL90" s="50">
        <v>15.738788</v>
      </c>
      <c r="AM90" s="134">
        <v>15.577805</v>
      </c>
      <c r="AN90" s="50">
        <v>15.405998</v>
      </c>
      <c r="AO90" s="134">
        <v>15.2437</v>
      </c>
      <c r="AP90" s="50">
        <v>15.084685</v>
      </c>
      <c r="AQ90" s="134">
        <v>15.101656</v>
      </c>
    </row>
    <row r="91" spans="2:43" x14ac:dyDescent="0.25">
      <c r="B91" s="1">
        <v>3</v>
      </c>
      <c r="C91" s="51">
        <v>26.888835</v>
      </c>
      <c r="D91" s="51">
        <v>26.856414999999998</v>
      </c>
      <c r="E91" s="51">
        <v>26.850828</v>
      </c>
      <c r="F91" s="51">
        <v>26.854858</v>
      </c>
      <c r="G91" s="134">
        <v>26.841477000000001</v>
      </c>
      <c r="H91" s="51">
        <v>23.956301</v>
      </c>
      <c r="I91" s="134">
        <v>23.304438000000001</v>
      </c>
      <c r="J91" s="51">
        <v>22.949838</v>
      </c>
      <c r="K91" s="134">
        <v>22.363330000000001</v>
      </c>
      <c r="L91" s="51">
        <v>22.005510999999998</v>
      </c>
      <c r="M91" s="134">
        <v>21.676071</v>
      </c>
      <c r="N91" s="51">
        <v>21.401571000000001</v>
      </c>
      <c r="O91" s="134">
        <v>21.063265999999999</v>
      </c>
      <c r="P91" s="51">
        <v>20.457841999999999</v>
      </c>
      <c r="Q91" s="134">
        <v>20.16499</v>
      </c>
      <c r="R91" s="51">
        <v>19.865659999999998</v>
      </c>
      <c r="S91" s="134">
        <v>19.585186</v>
      </c>
      <c r="T91" s="51">
        <v>18.992097999999999</v>
      </c>
      <c r="U91" s="134">
        <v>18.732054000000002</v>
      </c>
      <c r="V91" s="51">
        <v>18.474297</v>
      </c>
      <c r="W91" s="134">
        <v>18.215475000000001</v>
      </c>
      <c r="X91" s="51">
        <v>17.968081000000002</v>
      </c>
      <c r="Y91" s="134">
        <v>17.488475000000001</v>
      </c>
      <c r="Z91" s="51">
        <v>17.253630000000001</v>
      </c>
      <c r="AA91" s="134">
        <v>17.014619</v>
      </c>
      <c r="AB91" s="51">
        <v>16.806588999999999</v>
      </c>
      <c r="AC91" s="134">
        <v>16.578693000000001</v>
      </c>
      <c r="AD91" s="51">
        <v>16.379940999999999</v>
      </c>
      <c r="AE91" s="134">
        <v>15.941029</v>
      </c>
      <c r="AF91" s="51">
        <v>15.760536999999999</v>
      </c>
      <c r="AG91" s="134">
        <v>15.550896</v>
      </c>
      <c r="AH91" s="51">
        <v>15.370851</v>
      </c>
      <c r="AI91" s="134">
        <v>15.1884</v>
      </c>
      <c r="AJ91" s="51">
        <v>15.017263</v>
      </c>
      <c r="AK91" s="134">
        <v>14.830014</v>
      </c>
      <c r="AL91" s="51">
        <v>14.668293</v>
      </c>
      <c r="AM91" s="134">
        <v>14.512430999999999</v>
      </c>
      <c r="AN91" s="51">
        <v>14.349712</v>
      </c>
      <c r="AO91" s="134">
        <v>14.205439999999999</v>
      </c>
      <c r="AP91" s="51">
        <v>14.071559000000001</v>
      </c>
      <c r="AQ91" s="134">
        <v>13.935668</v>
      </c>
    </row>
    <row r="92" spans="2:43" x14ac:dyDescent="0.25">
      <c r="B92" s="32">
        <v>4</v>
      </c>
      <c r="C92" s="52">
        <v>29.501799999999999</v>
      </c>
      <c r="D92" s="52">
        <v>29.477046000000001</v>
      </c>
      <c r="E92" s="52">
        <v>29.458586</v>
      </c>
      <c r="F92" s="52">
        <v>29.474702000000001</v>
      </c>
      <c r="G92" s="134">
        <v>29.478894</v>
      </c>
      <c r="H92" s="52">
        <v>26.346575999999999</v>
      </c>
      <c r="I92" s="134">
        <v>25.65316</v>
      </c>
      <c r="J92" s="52">
        <v>25.252828999999998</v>
      </c>
      <c r="K92" s="134">
        <v>24.581969999999998</v>
      </c>
      <c r="L92" s="52">
        <v>24.194578</v>
      </c>
      <c r="M92" s="134">
        <v>23.520067000000001</v>
      </c>
      <c r="N92" s="52">
        <v>23.154457000000001</v>
      </c>
      <c r="O92" s="134">
        <v>23.087173</v>
      </c>
      <c r="P92" s="52">
        <v>22.170259999999999</v>
      </c>
      <c r="Q92" s="134">
        <v>22.110398</v>
      </c>
      <c r="R92" s="52">
        <v>21.778887000000001</v>
      </c>
      <c r="S92" s="134">
        <v>21.474323999999999</v>
      </c>
      <c r="T92" s="52">
        <v>20.840266</v>
      </c>
      <c r="U92" s="134">
        <v>20.533049999999999</v>
      </c>
      <c r="V92" s="52">
        <v>20.246794999999999</v>
      </c>
      <c r="W92" s="134">
        <v>19.966415999999999</v>
      </c>
      <c r="X92" s="52">
        <v>19.69265</v>
      </c>
      <c r="Y92" s="134">
        <v>19.16497</v>
      </c>
      <c r="Z92" s="52">
        <v>18.888237</v>
      </c>
      <c r="AA92" s="134">
        <v>18.649663</v>
      </c>
      <c r="AB92" s="52">
        <v>18.413122999999999</v>
      </c>
      <c r="AC92" s="134">
        <v>18.175273000000001</v>
      </c>
      <c r="AD92" s="52">
        <v>17.954816000000001</v>
      </c>
      <c r="AE92" s="134">
        <v>17.475104999999999</v>
      </c>
      <c r="AF92" s="52">
        <v>17.270935999999999</v>
      </c>
      <c r="AG92" s="134">
        <v>17.043120999999999</v>
      </c>
      <c r="AH92" s="52">
        <v>16.853189</v>
      </c>
      <c r="AI92" s="134">
        <v>16.665099000000001</v>
      </c>
      <c r="AJ92" s="52">
        <v>16.468966999999999</v>
      </c>
      <c r="AK92" s="134">
        <v>16.264872</v>
      </c>
      <c r="AL92" s="52">
        <v>16.083739999999999</v>
      </c>
      <c r="AM92" s="134">
        <v>15.918161</v>
      </c>
      <c r="AN92" s="52">
        <v>15.746991</v>
      </c>
      <c r="AO92" s="134">
        <v>15.593693999999999</v>
      </c>
      <c r="AP92" s="52">
        <v>15.424481999999999</v>
      </c>
      <c r="AQ92" s="134">
        <v>15.275918000000001</v>
      </c>
    </row>
    <row r="93" spans="2:43" x14ac:dyDescent="0.25">
      <c r="B93" s="32">
        <v>5</v>
      </c>
      <c r="C93" s="53">
        <v>28.523917999999998</v>
      </c>
      <c r="D93" s="53">
        <v>28.513660999999999</v>
      </c>
      <c r="E93" s="53">
        <v>28.495336000000002</v>
      </c>
      <c r="F93" s="53">
        <v>28.503311</v>
      </c>
      <c r="G93" s="134">
        <v>28.503506999999999</v>
      </c>
      <c r="H93" s="53">
        <v>25.483293</v>
      </c>
      <c r="I93" s="134">
        <v>24.800964</v>
      </c>
      <c r="J93" s="53">
        <v>24.443957000000001</v>
      </c>
      <c r="K93" s="134">
        <v>23.782014</v>
      </c>
      <c r="L93" s="53">
        <v>23.408985999999999</v>
      </c>
      <c r="M93" s="134">
        <v>23.092234000000001</v>
      </c>
      <c r="N93" s="53">
        <v>22.398168999999999</v>
      </c>
      <c r="O93" s="134">
        <v>22.061700999999999</v>
      </c>
      <c r="P93" s="53">
        <v>21.443738</v>
      </c>
      <c r="Q93" s="134">
        <v>21.132100999999999</v>
      </c>
      <c r="R93" s="53">
        <v>20.817966999999999</v>
      </c>
      <c r="S93" s="134">
        <v>20.499638999999998</v>
      </c>
      <c r="T93" s="53">
        <v>19.895588</v>
      </c>
      <c r="U93" s="134">
        <v>19.609560999999999</v>
      </c>
      <c r="V93" s="53">
        <v>19.342891999999999</v>
      </c>
      <c r="W93" s="134">
        <v>19.063123999999998</v>
      </c>
      <c r="X93" s="53">
        <v>18.812051</v>
      </c>
      <c r="Y93" s="134">
        <v>18.303149000000001</v>
      </c>
      <c r="Z93" s="53">
        <v>18.042908000000001</v>
      </c>
      <c r="AA93" s="134">
        <v>17.809842</v>
      </c>
      <c r="AB93" s="53">
        <v>17.568156999999999</v>
      </c>
      <c r="AC93" s="134">
        <v>17.351247000000001</v>
      </c>
      <c r="AD93" s="53">
        <v>17.149861000000001</v>
      </c>
      <c r="AE93" s="134">
        <v>16.674475999999999</v>
      </c>
      <c r="AF93" s="53">
        <v>16.490375</v>
      </c>
      <c r="AG93" s="134">
        <v>16.269586</v>
      </c>
      <c r="AH93" s="53">
        <v>16.081039000000001</v>
      </c>
      <c r="AI93" s="134">
        <v>16.141106000000001</v>
      </c>
      <c r="AJ93" s="53">
        <v>15.952306999999999</v>
      </c>
      <c r="AK93" s="134">
        <v>15.771352</v>
      </c>
      <c r="AL93" s="53">
        <v>15.596221999999999</v>
      </c>
      <c r="AM93" s="134">
        <v>15.424573000000001</v>
      </c>
      <c r="AN93" s="53">
        <v>15.244132</v>
      </c>
      <c r="AO93" s="134">
        <v>15.107853</v>
      </c>
      <c r="AP93" s="53">
        <v>14.930762</v>
      </c>
      <c r="AQ93" s="134">
        <v>14.795934000000001</v>
      </c>
    </row>
    <row r="94" spans="2:43" x14ac:dyDescent="0.25">
      <c r="B94" s="32">
        <v>6</v>
      </c>
      <c r="C94" s="54">
        <v>29.088341</v>
      </c>
      <c r="D94" s="54">
        <v>29.044595000000001</v>
      </c>
      <c r="E94" s="54">
        <v>29.046916</v>
      </c>
      <c r="F94" s="54">
        <v>29.071033</v>
      </c>
      <c r="G94" s="134">
        <v>29.060410999999998</v>
      </c>
      <c r="H94" s="54">
        <v>25.942965000000001</v>
      </c>
      <c r="I94" s="134">
        <v>25.279216000000002</v>
      </c>
      <c r="J94" s="54">
        <v>24.904302000000001</v>
      </c>
      <c r="K94" s="134">
        <v>24.244757</v>
      </c>
      <c r="L94" s="54">
        <v>23.864788000000001</v>
      </c>
      <c r="M94" s="134">
        <v>23.823934999999999</v>
      </c>
      <c r="N94" s="54">
        <v>23.120021000000001</v>
      </c>
      <c r="O94" s="134">
        <v>22.780168</v>
      </c>
      <c r="P94" s="54">
        <v>22.420995999999999</v>
      </c>
      <c r="Q94" s="134">
        <v>21.812184999999999</v>
      </c>
      <c r="R94" s="54">
        <v>21.484349999999999</v>
      </c>
      <c r="S94" s="134">
        <v>21.178972000000002</v>
      </c>
      <c r="T94" s="54">
        <v>20.865417000000001</v>
      </c>
      <c r="U94" s="134">
        <v>20.264969000000001</v>
      </c>
      <c r="V94" s="54">
        <v>19.969785000000002</v>
      </c>
      <c r="W94" s="134">
        <v>19.713422999999999</v>
      </c>
      <c r="X94" s="54">
        <v>19.414024000000001</v>
      </c>
      <c r="Y94" s="134">
        <v>19.177029999999998</v>
      </c>
      <c r="Z94" s="54">
        <v>18.636385000000001</v>
      </c>
      <c r="AA94" s="134">
        <v>18.413601</v>
      </c>
      <c r="AB94" s="54">
        <v>18.162759000000001</v>
      </c>
      <c r="AC94" s="134">
        <v>17.930108000000001</v>
      </c>
      <c r="AD94" s="54">
        <v>17.711624</v>
      </c>
      <c r="AE94" s="134">
        <v>17.484650999999999</v>
      </c>
      <c r="AF94" s="54">
        <v>17.057691999999999</v>
      </c>
      <c r="AG94" s="134">
        <v>16.817086</v>
      </c>
      <c r="AH94" s="54">
        <v>16.627879</v>
      </c>
      <c r="AI94" s="134">
        <v>16.422968999999998</v>
      </c>
      <c r="AJ94" s="54">
        <v>16.218166</v>
      </c>
      <c r="AK94" s="134">
        <v>16.022545000000001</v>
      </c>
      <c r="AL94" s="54">
        <v>15.848954000000001</v>
      </c>
      <c r="AM94" s="134">
        <v>15.689043</v>
      </c>
      <c r="AN94" s="54">
        <v>15.513244</v>
      </c>
      <c r="AO94" s="134">
        <v>15.368417000000001</v>
      </c>
      <c r="AP94" s="54">
        <v>15.190688</v>
      </c>
      <c r="AQ94" s="134">
        <v>15.048188</v>
      </c>
    </row>
    <row r="113" spans="2:43" x14ac:dyDescent="0.25">
      <c r="B113" s="47" t="s">
        <v>4</v>
      </c>
      <c r="C113" s="47">
        <v>9</v>
      </c>
      <c r="D113" s="47"/>
      <c r="E113" s="47"/>
      <c r="F113" s="47"/>
      <c r="G113" s="21"/>
      <c r="H113" s="47"/>
      <c r="I113" s="21"/>
      <c r="J113" s="47"/>
      <c r="K113" s="21"/>
      <c r="L113" s="47"/>
      <c r="M113" s="21"/>
      <c r="N113" s="47"/>
      <c r="O113" s="21"/>
      <c r="P113" s="47"/>
      <c r="Q113" s="21"/>
      <c r="R113" s="47"/>
      <c r="S113" s="21"/>
      <c r="T113" s="47"/>
      <c r="U113" s="21"/>
      <c r="V113" s="47"/>
      <c r="W113" s="21"/>
      <c r="X113" s="47"/>
      <c r="Y113" s="21"/>
      <c r="Z113" s="47"/>
      <c r="AA113" s="21"/>
      <c r="AB113" s="47"/>
      <c r="AC113" s="21"/>
      <c r="AD113" s="47"/>
      <c r="AE113" s="21"/>
      <c r="AF113" s="47"/>
      <c r="AG113" s="21"/>
      <c r="AH113" s="47"/>
      <c r="AI113" s="21"/>
      <c r="AJ113" s="47"/>
      <c r="AK113" s="21"/>
      <c r="AL113" s="47"/>
      <c r="AM113" s="21"/>
      <c r="AN113" s="47"/>
      <c r="AO113" s="21"/>
      <c r="AP113" s="47"/>
      <c r="AQ113" s="21"/>
    </row>
    <row r="114" spans="2:43" x14ac:dyDescent="0.25">
      <c r="B114" s="1" t="s">
        <v>1</v>
      </c>
      <c r="C114" s="1">
        <v>1.8</v>
      </c>
      <c r="D114" s="2">
        <v>1.85</v>
      </c>
      <c r="E114" s="2">
        <v>1.9</v>
      </c>
      <c r="F114" s="2">
        <v>1.95</v>
      </c>
      <c r="G114" s="22">
        <v>2</v>
      </c>
      <c r="H114" s="2">
        <v>2.0499999999999998</v>
      </c>
      <c r="I114" s="22">
        <v>2.1</v>
      </c>
      <c r="J114" s="2">
        <v>2.15</v>
      </c>
      <c r="K114" s="22">
        <v>2.2000000000000002</v>
      </c>
      <c r="L114" s="2">
        <v>2.25</v>
      </c>
      <c r="M114" s="22">
        <v>2.2999999999999998</v>
      </c>
      <c r="N114" s="2">
        <v>2.35</v>
      </c>
      <c r="O114" s="22">
        <v>2.4</v>
      </c>
      <c r="P114" s="2">
        <v>2.4500000000000002</v>
      </c>
      <c r="Q114" s="22">
        <v>2.5</v>
      </c>
      <c r="R114" s="2">
        <v>2.5499999999999998</v>
      </c>
      <c r="S114" s="22">
        <v>2.6</v>
      </c>
      <c r="T114" s="2">
        <v>2.65</v>
      </c>
      <c r="U114" s="22">
        <v>2.7</v>
      </c>
      <c r="V114" s="2">
        <v>2.75</v>
      </c>
      <c r="W114" s="22">
        <v>2.8</v>
      </c>
      <c r="X114" s="2">
        <v>2.85</v>
      </c>
      <c r="Y114" s="22">
        <v>2.9</v>
      </c>
      <c r="Z114" s="2">
        <v>2.95</v>
      </c>
      <c r="AA114" s="22">
        <v>3</v>
      </c>
      <c r="AB114" s="2">
        <v>3.05</v>
      </c>
      <c r="AC114" s="22">
        <v>3.1</v>
      </c>
      <c r="AD114" s="2">
        <v>3.15</v>
      </c>
      <c r="AE114" s="22">
        <v>3.2</v>
      </c>
      <c r="AF114" s="2">
        <v>3.25</v>
      </c>
      <c r="AG114" s="22">
        <v>3.3</v>
      </c>
      <c r="AH114" s="2">
        <v>3.35</v>
      </c>
      <c r="AI114" s="22">
        <v>3.4</v>
      </c>
      <c r="AJ114" s="2">
        <v>3.45</v>
      </c>
      <c r="AK114" s="22">
        <v>3.5</v>
      </c>
      <c r="AL114" s="2">
        <v>3.55</v>
      </c>
      <c r="AM114" s="22">
        <v>3.6</v>
      </c>
      <c r="AN114" s="2">
        <v>3.65</v>
      </c>
      <c r="AO114" s="22">
        <v>3.7</v>
      </c>
      <c r="AP114" s="2">
        <v>3.75</v>
      </c>
      <c r="AQ114" s="22">
        <v>3.8</v>
      </c>
    </row>
    <row r="115" spans="2:43" x14ac:dyDescent="0.25">
      <c r="B115" s="1" t="s">
        <v>3</v>
      </c>
      <c r="C115" s="3">
        <f>AVERAGE(C116,C117,C118,C119,C120,C121)</f>
        <v>26.001154333333332</v>
      </c>
      <c r="D115" s="3">
        <f t="shared" ref="D115" si="121">AVERAGE(D116,D117,D118)</f>
        <v>26.278081999999998</v>
      </c>
      <c r="E115" s="3">
        <f t="shared" ref="E115" si="122">AVERAGE(E116,E117,E118)</f>
        <v>26.270234666666667</v>
      </c>
      <c r="F115" s="3">
        <f t="shared" ref="F115" si="123">AVERAGE(F116,F117,F118)</f>
        <v>26.27489266666667</v>
      </c>
      <c r="G115" s="34">
        <f t="shared" ref="G115" si="124">AVERAGE(G116,G117,G118)</f>
        <v>26.280080333333334</v>
      </c>
      <c r="H115" s="3">
        <f t="shared" ref="H115" si="125">AVERAGE(H116,H117,H118)</f>
        <v>23.48706</v>
      </c>
      <c r="I115" s="34">
        <f t="shared" ref="I115" si="126">AVERAGE(I116,I117,I118)</f>
        <v>22.855682333333334</v>
      </c>
      <c r="J115" s="3">
        <f t="shared" ref="J115" si="127">AVERAGE(J116,J117,J118)</f>
        <v>22.525427333333337</v>
      </c>
      <c r="K115" s="34">
        <f t="shared" ref="K115" si="128">AVERAGE(K116,K117,K118)</f>
        <v>21.911506000000003</v>
      </c>
      <c r="L115" s="3">
        <f t="shared" ref="L115" si="129">AVERAGE(L116,L117,L118)</f>
        <v>21.571097999999996</v>
      </c>
      <c r="M115" s="34">
        <f t="shared" ref="M115" si="130">AVERAGE(M116,M117,M118)</f>
        <v>21.166949333333331</v>
      </c>
      <c r="N115" s="3">
        <f t="shared" ref="N115" si="131">AVERAGE(N116,N117,N118)</f>
        <v>20.647777999999999</v>
      </c>
      <c r="O115" s="34">
        <f t="shared" ref="O115" si="132">AVERAGE(O116,O117,O118)</f>
        <v>20.395696333333333</v>
      </c>
      <c r="P115" s="3">
        <f t="shared" ref="P115" si="133">AVERAGE(P116,P117,P118)</f>
        <v>19.917819666666666</v>
      </c>
      <c r="Q115" s="34">
        <f t="shared" ref="Q115" si="134">AVERAGE(Q116,Q117,Q118)</f>
        <v>19.530607333333336</v>
      </c>
      <c r="R115" s="3">
        <f t="shared" ref="R115" si="135">AVERAGE(R116,R117,R118)</f>
        <v>19.299228333333332</v>
      </c>
      <c r="S115" s="34">
        <f t="shared" ref="S115" si="136">AVERAGE(S116,S117,S118)</f>
        <v>19.0245</v>
      </c>
      <c r="T115" s="3">
        <f t="shared" ref="T115" si="137">AVERAGE(T116,T117,T118)</f>
        <v>18.558361666666666</v>
      </c>
      <c r="U115" s="34">
        <f t="shared" ref="U115" si="138">AVERAGE(U116,U117,U118)</f>
        <v>18.195250333333334</v>
      </c>
      <c r="V115" s="3">
        <f t="shared" ref="V115" si="139">AVERAGE(V116,V117,V118)</f>
        <v>17.949099666666665</v>
      </c>
      <c r="W115" s="34">
        <f t="shared" ref="W115" si="140">AVERAGE(W116,W117,W118)</f>
        <v>17.697773333333334</v>
      </c>
      <c r="X115" s="3">
        <f t="shared" ref="X115" si="141">AVERAGE(X116,X117,X118)</f>
        <v>17.448136333333334</v>
      </c>
      <c r="Y115" s="34">
        <f t="shared" ref="Y115" si="142">AVERAGE(Y116,Y117,Y118)</f>
        <v>17.071080333333331</v>
      </c>
      <c r="Z115" s="3">
        <f t="shared" ref="Z115" si="143">AVERAGE(Z116,Z117,Z118)</f>
        <v>16.757073333333334</v>
      </c>
      <c r="AA115" s="34">
        <f t="shared" ref="AA115" si="144">AVERAGE(AA116,AA117,AA118)</f>
        <v>16.531847333333335</v>
      </c>
      <c r="AB115" s="3">
        <f t="shared" ref="AB115" si="145">AVERAGE(AB116,AB117,AB118)</f>
        <v>16.323406000000002</v>
      </c>
      <c r="AC115" s="34">
        <f t="shared" ref="AC115" si="146">AVERAGE(AC116,AC117,AC118)</f>
        <v>16.116202999999999</v>
      </c>
      <c r="AD115" s="3">
        <f t="shared" ref="AD115" si="147">AVERAGE(AD116,AD117,AD118)</f>
        <v>15.915212666666667</v>
      </c>
      <c r="AE115" s="34">
        <f t="shared" ref="AE115" si="148">AVERAGE(AE116,AE117,AE118)</f>
        <v>15.569783000000001</v>
      </c>
      <c r="AF115" s="3">
        <f t="shared" ref="AF115" si="149">AVERAGE(AF116,AF117,AF118)</f>
        <v>15.314943333333332</v>
      </c>
      <c r="AG115" s="34">
        <f t="shared" ref="AG115" si="150">AVERAGE(AG116,AG117,AG118)</f>
        <v>15.118917333333334</v>
      </c>
      <c r="AH115" s="3">
        <f t="shared" ref="AH115" si="151">AVERAGE(AH116,AH117,AH118)</f>
        <v>14.950532333333333</v>
      </c>
      <c r="AI115" s="34">
        <f t="shared" ref="AI115" si="152">AVERAGE(AI116,AI117,AI118)</f>
        <v>14.809356666666668</v>
      </c>
      <c r="AJ115" s="3">
        <f t="shared" ref="AJ115" si="153">AVERAGE(AJ116,AJ117,AJ118)</f>
        <v>14.633286666666665</v>
      </c>
      <c r="AK115" s="34">
        <f t="shared" ref="AK115" si="154">AVERAGE(AK116,AK117,AK118)</f>
        <v>14.466034666666665</v>
      </c>
      <c r="AL115" s="3">
        <f t="shared" ref="AL115" si="155">AVERAGE(AL116,AL117,AL118)</f>
        <v>14.302667666666666</v>
      </c>
      <c r="AM115" s="34">
        <f t="shared" ref="AM115" si="156">AVERAGE(AM116,AM117,AM118)</f>
        <v>14.152253999999999</v>
      </c>
      <c r="AN115" s="3">
        <f t="shared" ref="AN115" si="157">AVERAGE(AN116,AN117,AN118)</f>
        <v>13.997035333333335</v>
      </c>
      <c r="AO115" s="34">
        <f t="shared" ref="AO115" si="158">AVERAGE(AO116,AO117,AO118)</f>
        <v>13.862041</v>
      </c>
      <c r="AP115" s="3">
        <f t="shared" ref="AP115" si="159">AVERAGE(AP116,AP117,AP118)</f>
        <v>13.707084666666667</v>
      </c>
      <c r="AQ115" s="34">
        <f t="shared" ref="AQ115" si="160">AVERAGE(AQ116,AQ117,AQ118)</f>
        <v>13.570049333333335</v>
      </c>
    </row>
    <row r="116" spans="2:43" x14ac:dyDescent="0.25">
      <c r="B116" s="1">
        <v>1</v>
      </c>
      <c r="C116" s="55">
        <v>26.278876</v>
      </c>
      <c r="D116" s="55">
        <v>26.236471000000002</v>
      </c>
      <c r="E116" s="55">
        <v>26.221803000000001</v>
      </c>
      <c r="F116" s="55">
        <v>26.250315000000001</v>
      </c>
      <c r="G116" s="134">
        <v>26.251269000000001</v>
      </c>
      <c r="H116" s="55">
        <v>23.462613999999999</v>
      </c>
      <c r="I116" s="134">
        <v>22.829751000000002</v>
      </c>
      <c r="J116" s="55">
        <v>22.50507</v>
      </c>
      <c r="K116" s="134">
        <v>21.892258000000002</v>
      </c>
      <c r="L116" s="55">
        <v>21.527388999999999</v>
      </c>
      <c r="M116" s="134">
        <v>21.240454</v>
      </c>
      <c r="N116" s="55">
        <v>20.619558000000001</v>
      </c>
      <c r="O116" s="134">
        <v>20.500381999999998</v>
      </c>
      <c r="P116" s="55">
        <v>20.203188000000001</v>
      </c>
      <c r="Q116" s="134">
        <v>19.644832999999998</v>
      </c>
      <c r="R116" s="55">
        <v>19.351496999999998</v>
      </c>
      <c r="S116" s="134">
        <v>19.071724</v>
      </c>
      <c r="T116" s="55">
        <v>18.793847</v>
      </c>
      <c r="U116" s="134">
        <v>18.241578000000001</v>
      </c>
      <c r="V116" s="55">
        <v>17.999251000000001</v>
      </c>
      <c r="W116" s="134">
        <v>17.747646</v>
      </c>
      <c r="X116" s="55">
        <v>17.482575000000001</v>
      </c>
      <c r="Y116" s="134">
        <v>17.275845</v>
      </c>
      <c r="Z116" s="55">
        <v>16.807859000000001</v>
      </c>
      <c r="AA116" s="134">
        <v>16.581873999999999</v>
      </c>
      <c r="AB116" s="55">
        <v>16.375620999999999</v>
      </c>
      <c r="AC116" s="134">
        <v>16.160646</v>
      </c>
      <c r="AD116" s="55">
        <v>15.959377</v>
      </c>
      <c r="AE116" s="134">
        <v>15.760558</v>
      </c>
      <c r="AF116" s="55">
        <v>15.369588</v>
      </c>
      <c r="AG116" s="134">
        <v>15.162361000000001</v>
      </c>
      <c r="AH116" s="55">
        <v>14.998523</v>
      </c>
      <c r="AI116" s="134">
        <v>14.798613</v>
      </c>
      <c r="AJ116" s="55">
        <v>14.618121</v>
      </c>
      <c r="AK116" s="134">
        <v>14.447393999999999</v>
      </c>
      <c r="AL116" s="55">
        <v>14.296984</v>
      </c>
      <c r="AM116" s="134">
        <v>14.147551</v>
      </c>
      <c r="AN116" s="55">
        <v>13.996793</v>
      </c>
      <c r="AO116" s="134">
        <v>13.848000000000001</v>
      </c>
      <c r="AP116" s="55">
        <v>13.695772</v>
      </c>
      <c r="AQ116" s="134">
        <v>13.562898000000001</v>
      </c>
    </row>
    <row r="117" spans="2:43" x14ac:dyDescent="0.25">
      <c r="B117" s="1">
        <v>2</v>
      </c>
      <c r="C117" s="56">
        <v>26.219069000000001</v>
      </c>
      <c r="D117" s="56">
        <v>26.206923</v>
      </c>
      <c r="E117" s="56">
        <v>26.183876999999999</v>
      </c>
      <c r="F117" s="56">
        <v>26.192565999999999</v>
      </c>
      <c r="G117" s="134">
        <v>26.187787</v>
      </c>
      <c r="H117" s="56">
        <v>23.430524999999999</v>
      </c>
      <c r="I117" s="134">
        <v>22.792960000000001</v>
      </c>
      <c r="J117" s="56">
        <v>22.468575999999999</v>
      </c>
      <c r="K117" s="134">
        <v>21.853764999999999</v>
      </c>
      <c r="L117" s="56">
        <v>21.522279999999999</v>
      </c>
      <c r="M117" s="134">
        <v>21.216916000000001</v>
      </c>
      <c r="N117" s="56">
        <v>20.595027000000002</v>
      </c>
      <c r="O117" s="134">
        <v>20.287980000000001</v>
      </c>
      <c r="P117" s="56">
        <v>19.703951</v>
      </c>
      <c r="Q117" s="134">
        <v>19.410962000000001</v>
      </c>
      <c r="R117" s="56">
        <v>19.121725999999999</v>
      </c>
      <c r="S117" s="134">
        <v>18.851510000000001</v>
      </c>
      <c r="T117" s="56">
        <v>18.295625999999999</v>
      </c>
      <c r="U117" s="134">
        <v>18.030899000000002</v>
      </c>
      <c r="V117" s="56">
        <v>17.792266000000001</v>
      </c>
      <c r="W117" s="134">
        <v>17.536840000000002</v>
      </c>
      <c r="X117" s="56">
        <v>17.289028999999999</v>
      </c>
      <c r="Y117" s="134">
        <v>16.841882999999999</v>
      </c>
      <c r="Z117" s="56">
        <v>16.599366</v>
      </c>
      <c r="AA117" s="134">
        <v>16.378240999999999</v>
      </c>
      <c r="AB117" s="56">
        <v>16.164387999999999</v>
      </c>
      <c r="AC117" s="134">
        <v>15.960006999999999</v>
      </c>
      <c r="AD117" s="56">
        <v>15.75102</v>
      </c>
      <c r="AE117" s="134">
        <v>15.343301</v>
      </c>
      <c r="AF117" s="56">
        <v>15.159034</v>
      </c>
      <c r="AG117" s="134">
        <v>14.966327</v>
      </c>
      <c r="AH117" s="56">
        <v>14.792719</v>
      </c>
      <c r="AI117" s="134">
        <v>14.745264000000001</v>
      </c>
      <c r="AJ117" s="56">
        <v>14.586257</v>
      </c>
      <c r="AK117" s="134">
        <v>14.422604</v>
      </c>
      <c r="AL117" s="56">
        <v>14.253494</v>
      </c>
      <c r="AM117" s="134">
        <v>14.091787</v>
      </c>
      <c r="AN117" s="56">
        <v>13.933335</v>
      </c>
      <c r="AO117" s="134">
        <v>13.808349</v>
      </c>
      <c r="AP117" s="56">
        <v>13.651823</v>
      </c>
      <c r="AQ117" s="134">
        <v>13.515620999999999</v>
      </c>
    </row>
    <row r="118" spans="2:43" x14ac:dyDescent="0.25">
      <c r="B118" s="1">
        <v>3</v>
      </c>
      <c r="C118" s="57">
        <v>26.425025999999999</v>
      </c>
      <c r="D118" s="57">
        <v>26.390851999999999</v>
      </c>
      <c r="E118" s="57">
        <v>26.405024000000001</v>
      </c>
      <c r="F118" s="57">
        <v>26.381796999999999</v>
      </c>
      <c r="G118" s="134">
        <v>26.401185000000002</v>
      </c>
      <c r="H118" s="57">
        <v>23.568041000000001</v>
      </c>
      <c r="I118" s="134">
        <v>22.944336</v>
      </c>
      <c r="J118" s="57">
        <v>22.602636</v>
      </c>
      <c r="K118" s="134">
        <v>21.988495</v>
      </c>
      <c r="L118" s="57">
        <v>21.663625</v>
      </c>
      <c r="M118" s="134">
        <v>21.043478</v>
      </c>
      <c r="N118" s="57">
        <v>20.728749000000001</v>
      </c>
      <c r="O118" s="134">
        <v>20.398727000000001</v>
      </c>
      <c r="P118" s="57">
        <v>19.846319999999999</v>
      </c>
      <c r="Q118" s="134">
        <v>19.536027000000001</v>
      </c>
      <c r="R118" s="57">
        <v>19.424461999999998</v>
      </c>
      <c r="S118" s="134">
        <v>19.150265999999998</v>
      </c>
      <c r="T118" s="57">
        <v>18.585612000000001</v>
      </c>
      <c r="U118" s="134">
        <v>18.313274</v>
      </c>
      <c r="V118" s="57">
        <v>18.055782000000001</v>
      </c>
      <c r="W118" s="134">
        <v>17.808834000000001</v>
      </c>
      <c r="X118" s="57">
        <v>17.572804999999999</v>
      </c>
      <c r="Y118" s="134">
        <v>17.095513</v>
      </c>
      <c r="Z118" s="57">
        <v>16.863994999999999</v>
      </c>
      <c r="AA118" s="134">
        <v>16.635427</v>
      </c>
      <c r="AB118" s="57">
        <v>16.430209000000001</v>
      </c>
      <c r="AC118" s="134">
        <v>16.227955999999999</v>
      </c>
      <c r="AD118" s="57">
        <v>16.035240999999999</v>
      </c>
      <c r="AE118" s="134">
        <v>15.60549</v>
      </c>
      <c r="AF118" s="57">
        <v>15.416207999999999</v>
      </c>
      <c r="AG118" s="134">
        <v>15.228064</v>
      </c>
      <c r="AH118" s="57">
        <v>15.060354999999999</v>
      </c>
      <c r="AI118" s="134">
        <v>14.884193</v>
      </c>
      <c r="AJ118" s="57">
        <v>14.695482</v>
      </c>
      <c r="AK118" s="134">
        <v>14.528105999999999</v>
      </c>
      <c r="AL118" s="57">
        <v>14.357525000000001</v>
      </c>
      <c r="AM118" s="134">
        <v>14.217423999999999</v>
      </c>
      <c r="AN118" s="57">
        <v>14.060978</v>
      </c>
      <c r="AO118" s="134">
        <v>13.929774</v>
      </c>
      <c r="AP118" s="57">
        <v>13.773659</v>
      </c>
      <c r="AQ118" s="134">
        <v>13.631629</v>
      </c>
    </row>
    <row r="119" spans="2:43" x14ac:dyDescent="0.25">
      <c r="B119" s="32">
        <v>4</v>
      </c>
      <c r="C119" s="58">
        <v>24.378664000000001</v>
      </c>
      <c r="D119" s="58">
        <v>24.375605</v>
      </c>
      <c r="E119" s="58">
        <v>24.367474000000001</v>
      </c>
      <c r="F119" s="58">
        <v>24.364353000000001</v>
      </c>
      <c r="G119" s="134">
        <v>24.361103</v>
      </c>
      <c r="H119" s="58">
        <v>21.728299</v>
      </c>
      <c r="I119" s="134">
        <v>21.141352999999999</v>
      </c>
      <c r="J119" s="58">
        <v>20.821861999999999</v>
      </c>
      <c r="K119" s="134">
        <v>20.277864999999998</v>
      </c>
      <c r="L119" s="58">
        <v>19.953966999999999</v>
      </c>
      <c r="M119" s="134">
        <v>19.676316</v>
      </c>
      <c r="N119" s="58">
        <v>19.308921999999999</v>
      </c>
      <c r="O119" s="134">
        <v>19.003955000000001</v>
      </c>
      <c r="P119" s="58">
        <v>18.453572999999999</v>
      </c>
      <c r="Q119" s="134">
        <v>18.189468000000002</v>
      </c>
      <c r="R119" s="58">
        <v>17.923072000000001</v>
      </c>
      <c r="S119" s="134">
        <v>17.667162999999999</v>
      </c>
      <c r="T119" s="58">
        <v>17.128412999999998</v>
      </c>
      <c r="U119" s="134">
        <v>16.898111</v>
      </c>
      <c r="V119" s="58">
        <v>16.675459</v>
      </c>
      <c r="W119" s="134">
        <v>16.429971999999999</v>
      </c>
      <c r="X119" s="58">
        <v>16.209372999999999</v>
      </c>
      <c r="Y119" s="134">
        <v>15.771931</v>
      </c>
      <c r="Z119" s="58">
        <v>15.566867</v>
      </c>
      <c r="AA119" s="134">
        <v>15.362147999999999</v>
      </c>
      <c r="AB119" s="58">
        <v>15.177092999999999</v>
      </c>
      <c r="AC119" s="134">
        <v>14.961174</v>
      </c>
      <c r="AD119" s="58">
        <v>14.787886</v>
      </c>
      <c r="AE119" s="134">
        <v>14.399877999999999</v>
      </c>
      <c r="AF119" s="58">
        <v>14.231908000000001</v>
      </c>
      <c r="AG119" s="134">
        <v>14.047794</v>
      </c>
      <c r="AH119" s="58">
        <v>13.882721</v>
      </c>
      <c r="AI119" s="134">
        <v>13.715909</v>
      </c>
      <c r="AJ119" s="58">
        <v>13.5602</v>
      </c>
      <c r="AK119" s="134">
        <v>13.403644999999999</v>
      </c>
      <c r="AL119" s="58">
        <v>13.253081</v>
      </c>
      <c r="AM119" s="134">
        <v>13.111233</v>
      </c>
      <c r="AN119" s="58">
        <v>12.964312</v>
      </c>
      <c r="AO119" s="134">
        <v>12.829629000000001</v>
      </c>
      <c r="AP119" s="58">
        <v>12.710126000000001</v>
      </c>
      <c r="AQ119" s="134">
        <v>12.589295</v>
      </c>
    </row>
    <row r="120" spans="2:43" x14ac:dyDescent="0.25">
      <c r="B120" s="32">
        <v>5</v>
      </c>
      <c r="C120" s="59">
        <v>26.350270999999999</v>
      </c>
      <c r="D120" s="59">
        <v>26.32441</v>
      </c>
      <c r="E120" s="59">
        <v>26.306653000000001</v>
      </c>
      <c r="F120" s="59">
        <v>26.303360999999999</v>
      </c>
      <c r="G120" s="134">
        <v>26.307981999999999</v>
      </c>
      <c r="H120" s="59">
        <v>23.530691000000001</v>
      </c>
      <c r="I120" s="134">
        <v>22.908583</v>
      </c>
      <c r="J120" s="59">
        <v>22.575780000000002</v>
      </c>
      <c r="K120" s="134">
        <v>21.967310999999999</v>
      </c>
      <c r="L120" s="59">
        <v>21.628119000000002</v>
      </c>
      <c r="M120" s="134">
        <v>21.305074999999999</v>
      </c>
      <c r="N120" s="59">
        <v>20.684286</v>
      </c>
      <c r="O120" s="134">
        <v>20.566724000000001</v>
      </c>
      <c r="P120" s="59">
        <v>20.264562999999999</v>
      </c>
      <c r="Q120" s="134">
        <v>19.707177000000001</v>
      </c>
      <c r="R120" s="59">
        <v>19.405301999999999</v>
      </c>
      <c r="S120" s="134">
        <v>19.1188</v>
      </c>
      <c r="T120" s="59">
        <v>18.853241000000001</v>
      </c>
      <c r="U120" s="134">
        <v>18.309508000000001</v>
      </c>
      <c r="V120" s="59">
        <v>18.050104000000001</v>
      </c>
      <c r="W120" s="134">
        <v>17.795086000000001</v>
      </c>
      <c r="X120" s="59">
        <v>17.556628</v>
      </c>
      <c r="Y120" s="134">
        <v>17.306939</v>
      </c>
      <c r="Z120" s="59">
        <v>16.853961999999999</v>
      </c>
      <c r="AA120" s="134">
        <v>16.634955000000001</v>
      </c>
      <c r="AB120" s="59">
        <v>16.401195000000001</v>
      </c>
      <c r="AC120" s="134">
        <v>16.199549000000001</v>
      </c>
      <c r="AD120" s="59">
        <v>15.983297</v>
      </c>
      <c r="AE120" s="134">
        <v>15.589712</v>
      </c>
      <c r="AF120" s="59">
        <v>15.395574999999999</v>
      </c>
      <c r="AG120" s="134">
        <v>15.205543</v>
      </c>
      <c r="AH120" s="59">
        <v>15.019126999999999</v>
      </c>
      <c r="AI120" s="134">
        <v>14.836912</v>
      </c>
      <c r="AJ120" s="59">
        <v>14.661719</v>
      </c>
      <c r="AK120" s="134">
        <v>14.500417000000001</v>
      </c>
      <c r="AL120" s="59">
        <v>14.329573</v>
      </c>
      <c r="AM120" s="134">
        <v>14.188518</v>
      </c>
      <c r="AN120" s="59">
        <v>14.027620000000001</v>
      </c>
      <c r="AO120" s="134">
        <v>13.886746</v>
      </c>
      <c r="AP120" s="59">
        <v>13.856858000000001</v>
      </c>
      <c r="AQ120" s="134">
        <v>13.708491</v>
      </c>
    </row>
    <row r="121" spans="2:43" x14ac:dyDescent="0.25">
      <c r="B121" s="32">
        <v>6</v>
      </c>
      <c r="C121" s="60">
        <v>26.35502</v>
      </c>
      <c r="D121" s="60">
        <v>26.344335000000001</v>
      </c>
      <c r="E121" s="60">
        <v>26.579436999999999</v>
      </c>
      <c r="F121" s="60">
        <v>26.555351999999999</v>
      </c>
      <c r="G121" s="134">
        <v>26.559854999999999</v>
      </c>
      <c r="H121" s="60">
        <v>23.780138999999998</v>
      </c>
      <c r="I121" s="134">
        <v>23.155512999999999</v>
      </c>
      <c r="J121" s="60">
        <v>22.789504000000001</v>
      </c>
      <c r="K121" s="134">
        <v>22.199453999999999</v>
      </c>
      <c r="L121" s="60">
        <v>21.854941</v>
      </c>
      <c r="M121" s="134">
        <v>21.549810000000001</v>
      </c>
      <c r="N121" s="60">
        <v>20.913309000000002</v>
      </c>
      <c r="O121" s="134">
        <v>20.590616000000001</v>
      </c>
      <c r="P121" s="60">
        <v>20.293150000000001</v>
      </c>
      <c r="Q121" s="134">
        <v>19.724067999999999</v>
      </c>
      <c r="R121" s="60">
        <v>19.435980000000001</v>
      </c>
      <c r="S121" s="134">
        <v>19.150870000000001</v>
      </c>
      <c r="T121" s="60">
        <v>18.879669</v>
      </c>
      <c r="U121" s="134">
        <v>18.333621999999998</v>
      </c>
      <c r="V121" s="60">
        <v>18.073549</v>
      </c>
      <c r="W121" s="134">
        <v>17.825285999999998</v>
      </c>
      <c r="X121" s="60">
        <v>17.587512</v>
      </c>
      <c r="Y121" s="134">
        <v>17.351658</v>
      </c>
      <c r="Z121" s="60">
        <v>16.87724</v>
      </c>
      <c r="AA121" s="134">
        <v>16.6556</v>
      </c>
      <c r="AB121" s="60">
        <v>16.435535999999999</v>
      </c>
      <c r="AC121" s="134">
        <v>16.237576000000001</v>
      </c>
      <c r="AD121" s="60">
        <v>16.031355999999999</v>
      </c>
      <c r="AE121" s="134">
        <v>15.832216000000001</v>
      </c>
      <c r="AF121" s="60">
        <v>15.564907</v>
      </c>
      <c r="AG121" s="134">
        <v>15.359518</v>
      </c>
      <c r="AH121" s="60">
        <v>15.174943000000001</v>
      </c>
      <c r="AI121" s="134">
        <v>15.001754999999999</v>
      </c>
      <c r="AJ121" s="60">
        <v>14.826803999999999</v>
      </c>
      <c r="AK121" s="134">
        <v>14.656302999999999</v>
      </c>
      <c r="AL121" s="60">
        <v>14.489371</v>
      </c>
      <c r="AM121" s="134">
        <v>14.334695</v>
      </c>
      <c r="AN121" s="60">
        <v>14.176266</v>
      </c>
      <c r="AO121" s="134">
        <v>14.049383000000001</v>
      </c>
      <c r="AP121" s="60">
        <v>13.901948000000001</v>
      </c>
      <c r="AQ121" s="134">
        <v>13.767996999999999</v>
      </c>
    </row>
    <row r="140" spans="2:43" x14ac:dyDescent="0.25">
      <c r="B140" s="47" t="s">
        <v>4</v>
      </c>
      <c r="C140" s="47">
        <v>8</v>
      </c>
      <c r="D140" s="47"/>
      <c r="E140" s="47"/>
      <c r="F140" s="47"/>
      <c r="G140" s="21"/>
      <c r="H140" s="47"/>
      <c r="I140" s="21"/>
      <c r="J140" s="47"/>
      <c r="K140" s="21"/>
      <c r="L140" s="47"/>
      <c r="M140" s="21"/>
      <c r="N140" s="47"/>
      <c r="O140" s="21"/>
      <c r="P140" s="47"/>
      <c r="Q140" s="21"/>
      <c r="R140" s="47"/>
      <c r="S140" s="21"/>
      <c r="T140" s="47"/>
      <c r="U140" s="21"/>
      <c r="V140" s="47"/>
      <c r="W140" s="21"/>
      <c r="X140" s="47"/>
      <c r="Y140" s="21"/>
      <c r="Z140" s="47"/>
      <c r="AA140" s="21"/>
      <c r="AB140" s="47"/>
      <c r="AC140" s="21"/>
      <c r="AD140" s="47"/>
      <c r="AE140" s="21"/>
      <c r="AF140" s="47"/>
      <c r="AG140" s="21"/>
      <c r="AH140" s="47"/>
      <c r="AI140" s="21"/>
      <c r="AJ140" s="47"/>
      <c r="AK140" s="21"/>
      <c r="AL140" s="47"/>
      <c r="AM140" s="21"/>
      <c r="AN140" s="47"/>
      <c r="AO140" s="21"/>
      <c r="AP140" s="47"/>
      <c r="AQ140" s="21"/>
    </row>
    <row r="141" spans="2:43" x14ac:dyDescent="0.25">
      <c r="B141" s="1" t="s">
        <v>1</v>
      </c>
      <c r="C141" s="1">
        <v>1.8</v>
      </c>
      <c r="D141" s="2">
        <v>1.85</v>
      </c>
      <c r="E141" s="2">
        <v>1.9</v>
      </c>
      <c r="F141" s="2">
        <v>1.95</v>
      </c>
      <c r="G141" s="22">
        <v>2</v>
      </c>
      <c r="H141" s="2">
        <v>2.0499999999999998</v>
      </c>
      <c r="I141" s="22">
        <v>2.1</v>
      </c>
      <c r="J141" s="2">
        <v>2.15</v>
      </c>
      <c r="K141" s="22">
        <v>2.2000000000000002</v>
      </c>
      <c r="L141" s="2">
        <v>2.25</v>
      </c>
      <c r="M141" s="22">
        <v>2.2999999999999998</v>
      </c>
      <c r="N141" s="2">
        <v>2.35</v>
      </c>
      <c r="O141" s="22">
        <v>2.4</v>
      </c>
      <c r="P141" s="2">
        <v>2.4500000000000002</v>
      </c>
      <c r="Q141" s="22">
        <v>2.5</v>
      </c>
      <c r="R141" s="2">
        <v>2.5499999999999998</v>
      </c>
      <c r="S141" s="22">
        <v>2.6</v>
      </c>
      <c r="T141" s="2">
        <v>2.65</v>
      </c>
      <c r="U141" s="22">
        <v>2.7</v>
      </c>
      <c r="V141" s="2">
        <v>2.75</v>
      </c>
      <c r="W141" s="22">
        <v>2.8</v>
      </c>
      <c r="X141" s="2">
        <v>2.85</v>
      </c>
      <c r="Y141" s="22">
        <v>2.9</v>
      </c>
      <c r="Z141" s="2">
        <v>2.95</v>
      </c>
      <c r="AA141" s="22">
        <v>3</v>
      </c>
      <c r="AB141" s="2">
        <v>3.05</v>
      </c>
      <c r="AC141" s="22">
        <v>3.1</v>
      </c>
      <c r="AD141" s="2">
        <v>3.15</v>
      </c>
      <c r="AE141" s="22">
        <v>3.2</v>
      </c>
      <c r="AF141" s="2">
        <v>3.25</v>
      </c>
      <c r="AG141" s="22">
        <v>3.3</v>
      </c>
      <c r="AH141" s="2">
        <v>3.35</v>
      </c>
      <c r="AI141" s="22">
        <v>3.4</v>
      </c>
      <c r="AJ141" s="2">
        <v>3.45</v>
      </c>
      <c r="AK141" s="22">
        <v>3.5</v>
      </c>
      <c r="AL141" s="2">
        <v>3.55</v>
      </c>
      <c r="AM141" s="22">
        <v>3.6</v>
      </c>
      <c r="AN141" s="2">
        <v>3.65</v>
      </c>
      <c r="AO141" s="22">
        <v>3.7</v>
      </c>
      <c r="AP141" s="2">
        <v>3.75</v>
      </c>
      <c r="AQ141" s="22">
        <v>3.8</v>
      </c>
    </row>
    <row r="142" spans="2:43" x14ac:dyDescent="0.25">
      <c r="B142" s="1" t="s">
        <v>3</v>
      </c>
      <c r="C142" s="3">
        <f>AVERAGE(C143,C144,C145,C146,C147,C148)</f>
        <v>23.824379833333335</v>
      </c>
      <c r="D142" s="3">
        <f t="shared" ref="D142" si="161">AVERAGE(D143,D144,D145)</f>
        <v>23.583751666666668</v>
      </c>
      <c r="E142" s="3">
        <f t="shared" ref="E142" si="162">AVERAGE(E143,E144,E145)</f>
        <v>23.579005333333331</v>
      </c>
      <c r="F142" s="3">
        <f t="shared" ref="F142" si="163">AVERAGE(F143,F144,F145)</f>
        <v>23.577008666666668</v>
      </c>
      <c r="G142" s="34">
        <f t="shared" ref="G142" si="164">AVERAGE(G143,G144,G145)</f>
        <v>23.565411666666666</v>
      </c>
      <c r="H142" s="3">
        <f t="shared" ref="H142" si="165">AVERAGE(H143,H144,H145)</f>
        <v>21.061233666666666</v>
      </c>
      <c r="I142" s="34">
        <f t="shared" ref="I142" si="166">AVERAGE(I143,I144,I145)</f>
        <v>20.510289</v>
      </c>
      <c r="J142" s="3">
        <f t="shared" ref="J142" si="167">AVERAGE(J143,J144,J145)</f>
        <v>20.278636333333335</v>
      </c>
      <c r="K142" s="34">
        <f t="shared" ref="K142" si="168">AVERAGE(K143,K144,K145)</f>
        <v>19.747476333333331</v>
      </c>
      <c r="L142" s="3">
        <f t="shared" ref="L142" si="169">AVERAGE(L143,L144,L145)</f>
        <v>19.439864333333333</v>
      </c>
      <c r="M142" s="34">
        <f t="shared" ref="M142" si="170">AVERAGE(M143,M144,M145)</f>
        <v>19.225733999999999</v>
      </c>
      <c r="N142" s="3">
        <f t="shared" ref="N142" si="171">AVERAGE(N143,N144,N145)</f>
        <v>18.664165666666666</v>
      </c>
      <c r="O142" s="34">
        <f t="shared" ref="O142" si="172">AVERAGE(O143,O144,O145)</f>
        <v>18.382328333333334</v>
      </c>
      <c r="P142" s="3">
        <f t="shared" ref="P142" si="173">AVERAGE(P143,P144,P145)</f>
        <v>18.032300333333332</v>
      </c>
      <c r="Q142" s="34">
        <f t="shared" ref="Q142" si="174">AVERAGE(Q143,Q144,Q145)</f>
        <v>17.603778666666667</v>
      </c>
      <c r="R142" s="3">
        <f t="shared" ref="R142" si="175">AVERAGE(R143,R144,R145)</f>
        <v>17.347020999999998</v>
      </c>
      <c r="S142" s="34">
        <f t="shared" ref="S142" si="176">AVERAGE(S143,S144,S145)</f>
        <v>17.090069999999997</v>
      </c>
      <c r="T142" s="3">
        <f t="shared" ref="T142" si="177">AVERAGE(T143,T144,T145)</f>
        <v>16.774993666666663</v>
      </c>
      <c r="U142" s="34">
        <f t="shared" ref="U142" si="178">AVERAGE(U143,U144,U145)</f>
        <v>16.363316333333334</v>
      </c>
      <c r="V142" s="3">
        <f t="shared" ref="V142" si="179">AVERAGE(V143,V144,V145)</f>
        <v>16.137339000000001</v>
      </c>
      <c r="W142" s="34">
        <f t="shared" ref="W142" si="180">AVERAGE(W143,W144,W145)</f>
        <v>15.904938</v>
      </c>
      <c r="X142" s="3">
        <f t="shared" ref="X142" si="181">AVERAGE(X143,X144,X145)</f>
        <v>15.692836</v>
      </c>
      <c r="Y142" s="34">
        <f t="shared" ref="Y142" si="182">AVERAGE(Y143,Y144,Y145)</f>
        <v>15.421207333333333</v>
      </c>
      <c r="Z142" s="3">
        <f t="shared" ref="Z142" si="183">AVERAGE(Z143,Z144,Z145)</f>
        <v>15.067628333333333</v>
      </c>
      <c r="AA142" s="34">
        <f t="shared" ref="AA142" si="184">AVERAGE(AA143,AA144,AA145)</f>
        <v>14.870664666666668</v>
      </c>
      <c r="AB142" s="3">
        <f t="shared" ref="AB142" si="185">AVERAGE(AB143,AB144,AB145)</f>
        <v>14.679232999999998</v>
      </c>
      <c r="AC142" s="34">
        <f t="shared" ref="AC142" si="186">AVERAGE(AC143,AC144,AC145)</f>
        <v>14.489625666666667</v>
      </c>
      <c r="AD142" s="3">
        <f t="shared" ref="AD142" si="187">AVERAGE(AD143,AD144,AD145)</f>
        <v>14.307628333333334</v>
      </c>
      <c r="AE142" s="34">
        <f t="shared" ref="AE142" si="188">AVERAGE(AE143,AE144,AE145)</f>
        <v>14.004796666666669</v>
      </c>
      <c r="AF142" s="3">
        <f t="shared" ref="AF142" si="189">AVERAGE(AF143,AF144,AF145)</f>
        <v>13.776426999999998</v>
      </c>
      <c r="AG142" s="34">
        <f t="shared" ref="AG142" si="190">AVERAGE(AG143,AG144,AG145)</f>
        <v>13.653956333333333</v>
      </c>
      <c r="AH142" s="3">
        <f t="shared" ref="AH142" si="191">AVERAGE(AH143,AH144,AH145)</f>
        <v>13.493994000000001</v>
      </c>
      <c r="AI142" s="34">
        <f t="shared" ref="AI142" si="192">AVERAGE(AI143,AI144,AI145)</f>
        <v>13.336689</v>
      </c>
      <c r="AJ142" s="3">
        <f t="shared" ref="AJ142" si="193">AVERAGE(AJ143,AJ144,AJ145)</f>
        <v>13.175626333333334</v>
      </c>
      <c r="AK142" s="34">
        <f t="shared" ref="AK142" si="194">AVERAGE(AK143,AK144,AK145)</f>
        <v>13.021557666666666</v>
      </c>
      <c r="AL142" s="3">
        <f t="shared" ref="AL142" si="195">AVERAGE(AL143,AL144,AL145)</f>
        <v>12.872554666666666</v>
      </c>
      <c r="AM142" s="34">
        <f t="shared" ref="AM142" si="196">AVERAGE(AM143,AM144,AM145)</f>
        <v>12.743711333333335</v>
      </c>
      <c r="AN142" s="3">
        <f t="shared" ref="AN142" si="197">AVERAGE(AN143,AN144,AN145)</f>
        <v>12.602745666666666</v>
      </c>
      <c r="AO142" s="34">
        <f t="shared" ref="AO142" si="198">AVERAGE(AO143,AO144,AO145)</f>
        <v>12.480173333333333</v>
      </c>
      <c r="AP142" s="3">
        <f t="shared" ref="AP142" si="199">AVERAGE(AP143,AP144,AP145)</f>
        <v>12.398549666666668</v>
      </c>
      <c r="AQ142" s="34">
        <f t="shared" ref="AQ142" si="200">AVERAGE(AQ143,AQ144,AQ145)</f>
        <v>12.275589000000002</v>
      </c>
    </row>
    <row r="143" spans="2:43" x14ac:dyDescent="0.25">
      <c r="B143" s="1">
        <v>1</v>
      </c>
      <c r="C143" s="61">
        <v>24.271032000000002</v>
      </c>
      <c r="D143" s="61">
        <v>24.473005000000001</v>
      </c>
      <c r="E143" s="61">
        <v>24.468613000000001</v>
      </c>
      <c r="F143" s="61">
        <v>24.466650000000001</v>
      </c>
      <c r="G143" s="134">
        <v>24.457121000000001</v>
      </c>
      <c r="H143" s="61">
        <v>21.879217000000001</v>
      </c>
      <c r="I143" s="134">
        <v>21.307888999999999</v>
      </c>
      <c r="J143" s="61">
        <v>20.972010000000001</v>
      </c>
      <c r="K143" s="134">
        <v>20.431315999999999</v>
      </c>
      <c r="L143" s="61">
        <v>20.126448</v>
      </c>
      <c r="M143" s="134">
        <v>19.833016000000001</v>
      </c>
      <c r="N143" s="61">
        <v>19.236543999999999</v>
      </c>
      <c r="O143" s="134">
        <v>18.960567000000001</v>
      </c>
      <c r="P143" s="61">
        <v>18.678757000000001</v>
      </c>
      <c r="Q143" s="134">
        <v>18.153438999999999</v>
      </c>
      <c r="R143" s="61">
        <v>17.892429</v>
      </c>
      <c r="S143" s="134">
        <v>17.625404</v>
      </c>
      <c r="T143" s="61">
        <v>17.392413999999999</v>
      </c>
      <c r="U143" s="134">
        <v>16.878577</v>
      </c>
      <c r="V143" s="61">
        <v>16.651071999999999</v>
      </c>
      <c r="W143" s="134">
        <v>16.412790999999999</v>
      </c>
      <c r="X143" s="61">
        <v>16.191597999999999</v>
      </c>
      <c r="Y143" s="134">
        <v>15.983847000000001</v>
      </c>
      <c r="Z143" s="61">
        <v>15.545839000000001</v>
      </c>
      <c r="AA143" s="134">
        <v>15.341917</v>
      </c>
      <c r="AB143" s="61">
        <v>15.136851999999999</v>
      </c>
      <c r="AC143" s="134">
        <v>14.96003</v>
      </c>
      <c r="AD143" s="61">
        <v>14.766771</v>
      </c>
      <c r="AE143" s="134">
        <v>14.581175999999999</v>
      </c>
      <c r="AF143" s="61">
        <v>14.209267000000001</v>
      </c>
      <c r="AG143" s="134">
        <v>14.191755000000001</v>
      </c>
      <c r="AH143" s="61">
        <v>14.03055</v>
      </c>
      <c r="AI143" s="134">
        <v>13.867419</v>
      </c>
      <c r="AJ143" s="61">
        <v>13.696020000000001</v>
      </c>
      <c r="AK143" s="134">
        <v>13.536994</v>
      </c>
      <c r="AL143" s="61">
        <v>13.383754</v>
      </c>
      <c r="AM143" s="134">
        <v>13.252074</v>
      </c>
      <c r="AN143" s="61">
        <v>13.106298000000001</v>
      </c>
      <c r="AO143" s="134">
        <v>12.984127000000001</v>
      </c>
      <c r="AP143" s="61">
        <v>12.839205</v>
      </c>
      <c r="AQ143" s="134">
        <v>12.713393</v>
      </c>
    </row>
    <row r="144" spans="2:43" x14ac:dyDescent="0.25">
      <c r="B144" s="1">
        <v>2</v>
      </c>
      <c r="C144" s="62">
        <v>24.093585000000001</v>
      </c>
      <c r="D144" s="62">
        <v>24.060887999999998</v>
      </c>
      <c r="E144" s="62">
        <v>24.048442000000001</v>
      </c>
      <c r="F144" s="62">
        <v>24.052688</v>
      </c>
      <c r="G144" s="134">
        <v>24.045024000000002</v>
      </c>
      <c r="H144" s="62">
        <v>21.509021000000001</v>
      </c>
      <c r="I144" s="134">
        <v>20.953522</v>
      </c>
      <c r="J144" s="62">
        <v>20.883554</v>
      </c>
      <c r="K144" s="134">
        <v>20.332802999999998</v>
      </c>
      <c r="L144" s="62">
        <v>20.017257000000001</v>
      </c>
      <c r="M144" s="134">
        <v>19.719450999999999</v>
      </c>
      <c r="N144" s="62">
        <v>19.157011000000001</v>
      </c>
      <c r="O144" s="134">
        <v>18.862812000000002</v>
      </c>
      <c r="P144" s="62">
        <v>18.582191999999999</v>
      </c>
      <c r="Q144" s="134">
        <v>18.069210999999999</v>
      </c>
      <c r="R144" s="62">
        <v>17.799963999999999</v>
      </c>
      <c r="S144" s="134">
        <v>17.532817999999999</v>
      </c>
      <c r="T144" s="62">
        <v>17.287026999999998</v>
      </c>
      <c r="U144" s="134">
        <v>16.792773</v>
      </c>
      <c r="V144" s="62">
        <v>16.562517</v>
      </c>
      <c r="W144" s="134">
        <v>16.313212</v>
      </c>
      <c r="X144" s="62">
        <v>16.099079</v>
      </c>
      <c r="Y144" s="134">
        <v>15.881052</v>
      </c>
      <c r="Z144" s="62">
        <v>15.459281000000001</v>
      </c>
      <c r="AA144" s="134">
        <v>15.253363</v>
      </c>
      <c r="AB144" s="62">
        <v>15.055343000000001</v>
      </c>
      <c r="AC144" s="134">
        <v>14.862024999999999</v>
      </c>
      <c r="AD144" s="62">
        <v>14.665466</v>
      </c>
      <c r="AE144" s="134">
        <v>14.292450000000001</v>
      </c>
      <c r="AF144" s="62">
        <v>14.131219</v>
      </c>
      <c r="AG144" s="134">
        <v>13.946875</v>
      </c>
      <c r="AH144" s="62">
        <v>13.781499</v>
      </c>
      <c r="AI144" s="134">
        <v>13.623143000000001</v>
      </c>
      <c r="AJ144" s="62">
        <v>13.453419999999999</v>
      </c>
      <c r="AK144" s="134">
        <v>13.301453</v>
      </c>
      <c r="AL144" s="62">
        <v>13.143034</v>
      </c>
      <c r="AM144" s="134">
        <v>13.017262000000001</v>
      </c>
      <c r="AN144" s="62">
        <v>12.866671</v>
      </c>
      <c r="AO144" s="134">
        <v>12.737795</v>
      </c>
      <c r="AP144" s="62">
        <v>12.764341</v>
      </c>
      <c r="AQ144" s="134">
        <v>12.624511</v>
      </c>
    </row>
    <row r="145" spans="2:43" x14ac:dyDescent="0.25">
      <c r="B145" s="1">
        <v>3</v>
      </c>
      <c r="C145" s="63">
        <v>22.231681999999999</v>
      </c>
      <c r="D145" s="63">
        <v>22.217362000000001</v>
      </c>
      <c r="E145" s="63">
        <v>22.219961000000001</v>
      </c>
      <c r="F145" s="63">
        <v>22.211687999999999</v>
      </c>
      <c r="G145" s="134">
        <v>22.194089999999999</v>
      </c>
      <c r="H145" s="63">
        <v>19.795463000000002</v>
      </c>
      <c r="I145" s="134">
        <v>19.269456000000002</v>
      </c>
      <c r="J145" s="63">
        <v>18.980345</v>
      </c>
      <c r="K145" s="134">
        <v>18.47831</v>
      </c>
      <c r="L145" s="63">
        <v>18.175888</v>
      </c>
      <c r="M145" s="134">
        <v>18.124735000000001</v>
      </c>
      <c r="N145" s="63">
        <v>17.598942000000001</v>
      </c>
      <c r="O145" s="134">
        <v>17.323606000000002</v>
      </c>
      <c r="P145" s="63">
        <v>16.835951999999999</v>
      </c>
      <c r="Q145" s="134">
        <v>16.588685999999999</v>
      </c>
      <c r="R145" s="63">
        <v>16.348669999999998</v>
      </c>
      <c r="S145" s="134">
        <v>16.111988</v>
      </c>
      <c r="T145" s="63">
        <v>15.64554</v>
      </c>
      <c r="U145" s="134">
        <v>15.418599</v>
      </c>
      <c r="V145" s="63">
        <v>15.198428</v>
      </c>
      <c r="W145" s="134">
        <v>14.988811</v>
      </c>
      <c r="X145" s="63">
        <v>14.787831000000001</v>
      </c>
      <c r="Y145" s="134">
        <v>14.398723</v>
      </c>
      <c r="Z145" s="63">
        <v>14.197765</v>
      </c>
      <c r="AA145" s="134">
        <v>14.016714</v>
      </c>
      <c r="AB145" s="63">
        <v>13.845504</v>
      </c>
      <c r="AC145" s="134">
        <v>13.646822</v>
      </c>
      <c r="AD145" s="63">
        <v>13.490648</v>
      </c>
      <c r="AE145" s="134">
        <v>13.140764000000001</v>
      </c>
      <c r="AF145" s="63">
        <v>12.988795</v>
      </c>
      <c r="AG145" s="134">
        <v>12.823238999999999</v>
      </c>
      <c r="AH145" s="63">
        <v>12.669933</v>
      </c>
      <c r="AI145" s="134">
        <v>12.519505000000001</v>
      </c>
      <c r="AJ145" s="63">
        <v>12.377439000000001</v>
      </c>
      <c r="AK145" s="134">
        <v>12.226226</v>
      </c>
      <c r="AL145" s="63">
        <v>12.090876</v>
      </c>
      <c r="AM145" s="134">
        <v>11.961798</v>
      </c>
      <c r="AN145" s="63">
        <v>11.835267999999999</v>
      </c>
      <c r="AO145" s="134">
        <v>11.718598</v>
      </c>
      <c r="AP145" s="63">
        <v>11.592103</v>
      </c>
      <c r="AQ145" s="134">
        <v>11.488863</v>
      </c>
    </row>
    <row r="146" spans="2:43" x14ac:dyDescent="0.25">
      <c r="B146" s="32">
        <v>4</v>
      </c>
      <c r="C146" s="64">
        <v>24.251048999999998</v>
      </c>
      <c r="D146" s="64">
        <v>24.236121000000001</v>
      </c>
      <c r="E146" s="64">
        <v>24.233665999999999</v>
      </c>
      <c r="F146" s="64">
        <v>24.240717</v>
      </c>
      <c r="G146" s="134">
        <v>24.215088000000002</v>
      </c>
      <c r="H146" s="64">
        <v>21.635048000000001</v>
      </c>
      <c r="I146" s="134">
        <v>21.049347999999998</v>
      </c>
      <c r="J146" s="64">
        <v>20.734010999999999</v>
      </c>
      <c r="K146" s="134">
        <v>20.176418000000002</v>
      </c>
      <c r="L146" s="64">
        <v>19.86655</v>
      </c>
      <c r="M146" s="134">
        <v>19.317723000000001</v>
      </c>
      <c r="N146" s="64">
        <v>19.019204999999999</v>
      </c>
      <c r="O146" s="134">
        <v>18.719723999999999</v>
      </c>
      <c r="P146" s="64">
        <v>18.212216999999999</v>
      </c>
      <c r="Q146" s="134">
        <v>18.128914000000002</v>
      </c>
      <c r="R146" s="64">
        <v>17.861077000000002</v>
      </c>
      <c r="S146" s="134">
        <v>17.600991</v>
      </c>
      <c r="T146" s="64">
        <v>17.096083</v>
      </c>
      <c r="U146" s="134">
        <v>16.846347999999999</v>
      </c>
      <c r="V146" s="64">
        <v>16.610849999999999</v>
      </c>
      <c r="W146" s="134">
        <v>16.385124000000001</v>
      </c>
      <c r="X146" s="64">
        <v>16.152647000000002</v>
      </c>
      <c r="Y146" s="134">
        <v>15.721094000000001</v>
      </c>
      <c r="Z146" s="64">
        <v>15.508239</v>
      </c>
      <c r="AA146" s="134">
        <v>15.305049</v>
      </c>
      <c r="AB146" s="64">
        <v>15.114295</v>
      </c>
      <c r="AC146" s="134">
        <v>14.924639000000001</v>
      </c>
      <c r="AD146" s="64">
        <v>14.740411</v>
      </c>
      <c r="AE146" s="134">
        <v>14.360747</v>
      </c>
      <c r="AF146" s="64">
        <v>14.193963</v>
      </c>
      <c r="AG146" s="134">
        <v>14.002183</v>
      </c>
      <c r="AH146" s="64">
        <v>13.849016000000001</v>
      </c>
      <c r="AI146" s="134">
        <v>13.68887</v>
      </c>
      <c r="AJ146" s="64">
        <v>13.525919999999999</v>
      </c>
      <c r="AK146" s="134">
        <v>13.363714999999999</v>
      </c>
      <c r="AL146" s="64">
        <v>13.21194</v>
      </c>
      <c r="AM146" s="134">
        <v>13.079363000000001</v>
      </c>
      <c r="AN146" s="64">
        <v>12.935347</v>
      </c>
      <c r="AO146" s="134">
        <v>12.814344</v>
      </c>
      <c r="AP146" s="64">
        <v>12.66685</v>
      </c>
      <c r="AQ146" s="134">
        <v>12.54467</v>
      </c>
    </row>
    <row r="147" spans="2:43" x14ac:dyDescent="0.25">
      <c r="B147" s="32">
        <v>5</v>
      </c>
      <c r="C147" s="65">
        <v>23.997610999999999</v>
      </c>
      <c r="D147" s="65">
        <v>23.980505999999998</v>
      </c>
      <c r="E147" s="65">
        <v>23.970227000000001</v>
      </c>
      <c r="F147" s="65">
        <v>23.966742</v>
      </c>
      <c r="G147" s="134">
        <v>23.976621999999999</v>
      </c>
      <c r="H147" s="65">
        <v>21.425101999999999</v>
      </c>
      <c r="I147" s="134">
        <v>20.852520999999999</v>
      </c>
      <c r="J147" s="65">
        <v>20.531752999999998</v>
      </c>
      <c r="K147" s="134">
        <v>19.985816</v>
      </c>
      <c r="L147" s="65">
        <v>19.683958000000001</v>
      </c>
      <c r="M147" s="134">
        <v>19.396636000000001</v>
      </c>
      <c r="N147" s="65">
        <v>18.827829999999999</v>
      </c>
      <c r="O147" s="134">
        <v>18.553712000000001</v>
      </c>
      <c r="P147" s="65">
        <v>18.040586000000001</v>
      </c>
      <c r="Q147" s="134">
        <v>17.760707</v>
      </c>
      <c r="R147" s="65">
        <v>17.491273</v>
      </c>
      <c r="S147" s="134">
        <v>17.239159000000001</v>
      </c>
      <c r="T147" s="65">
        <v>16.735367</v>
      </c>
      <c r="U147" s="134">
        <v>16.495090999999999</v>
      </c>
      <c r="V147" s="65">
        <v>16.281804999999999</v>
      </c>
      <c r="W147" s="134">
        <v>16.038944000000001</v>
      </c>
      <c r="X147" s="65">
        <v>15.820668</v>
      </c>
      <c r="Y147" s="134">
        <v>15.411503</v>
      </c>
      <c r="Z147" s="65">
        <v>15.184388999999999</v>
      </c>
      <c r="AA147" s="134">
        <v>14.985124000000001</v>
      </c>
      <c r="AB147" s="65">
        <v>14.786396</v>
      </c>
      <c r="AC147" s="134">
        <v>14.59413</v>
      </c>
      <c r="AD147" s="65">
        <v>14.417714</v>
      </c>
      <c r="AE147" s="134">
        <v>14.04091</v>
      </c>
      <c r="AF147" s="65">
        <v>13.884414</v>
      </c>
      <c r="AG147" s="134">
        <v>13.708019</v>
      </c>
      <c r="AH147" s="65">
        <v>13.543784</v>
      </c>
      <c r="AI147" s="134">
        <v>13.376567</v>
      </c>
      <c r="AJ147" s="65">
        <v>13.400076</v>
      </c>
      <c r="AK147" s="134">
        <v>13.252739</v>
      </c>
      <c r="AL147" s="65">
        <v>13.095397</v>
      </c>
      <c r="AM147" s="134">
        <v>12.958643</v>
      </c>
      <c r="AN147" s="65">
        <v>12.802765000000001</v>
      </c>
      <c r="AO147" s="134">
        <v>12.677951</v>
      </c>
      <c r="AP147" s="65">
        <v>12.550860999999999</v>
      </c>
      <c r="AQ147" s="134">
        <v>12.427676999999999</v>
      </c>
    </row>
    <row r="148" spans="2:43" x14ac:dyDescent="0.25">
      <c r="B148" s="32">
        <v>6</v>
      </c>
      <c r="C148" s="66">
        <v>24.101320000000001</v>
      </c>
      <c r="D148" s="66">
        <v>24.105734999999999</v>
      </c>
      <c r="E148" s="66">
        <v>24.074294999999999</v>
      </c>
      <c r="F148" s="66">
        <v>24.098275999999998</v>
      </c>
      <c r="G148" s="134">
        <v>24.105149000000001</v>
      </c>
      <c r="H148" s="66">
        <v>21.499338000000002</v>
      </c>
      <c r="I148" s="134">
        <v>20.934450999999999</v>
      </c>
      <c r="J148" s="66">
        <v>20.612636999999999</v>
      </c>
      <c r="K148" s="134">
        <v>20.074043</v>
      </c>
      <c r="L148" s="66">
        <v>19.764868</v>
      </c>
      <c r="M148" s="134">
        <v>19.467444</v>
      </c>
      <c r="N148" s="66">
        <v>19.162299999999998</v>
      </c>
      <c r="O148" s="134">
        <v>18.846598</v>
      </c>
      <c r="P148" s="66">
        <v>18.569186999999999</v>
      </c>
      <c r="Q148" s="134">
        <v>18.064565999999999</v>
      </c>
      <c r="R148" s="66">
        <v>17.783384000000002</v>
      </c>
      <c r="S148" s="134">
        <v>17.536313</v>
      </c>
      <c r="T148" s="66">
        <v>17.295764999999999</v>
      </c>
      <c r="U148" s="134">
        <v>16.76942</v>
      </c>
      <c r="V148" s="66">
        <v>16.563237999999998</v>
      </c>
      <c r="W148" s="134">
        <v>16.323345</v>
      </c>
      <c r="X148" s="66">
        <v>16.091799000000002</v>
      </c>
      <c r="Y148" s="134">
        <v>15.874668</v>
      </c>
      <c r="Z148" s="66">
        <v>15.463149</v>
      </c>
      <c r="AA148" s="134">
        <v>15.268622000000001</v>
      </c>
      <c r="AB148" s="66">
        <v>15.053366</v>
      </c>
      <c r="AC148" s="134">
        <v>14.861179999999999</v>
      </c>
      <c r="AD148" s="66">
        <v>14.687524</v>
      </c>
      <c r="AE148" s="134">
        <v>14.487565999999999</v>
      </c>
      <c r="AF148" s="66">
        <v>14.130312999999999</v>
      </c>
      <c r="AG148" s="134">
        <v>13.950288</v>
      </c>
      <c r="AH148" s="66">
        <v>13.791032</v>
      </c>
      <c r="AI148" s="134">
        <v>13.622286000000001</v>
      </c>
      <c r="AJ148" s="66">
        <v>13.460993999999999</v>
      </c>
      <c r="AK148" s="134">
        <v>13.298800999999999</v>
      </c>
      <c r="AL148" s="66">
        <v>13.134760999999999</v>
      </c>
      <c r="AM148" s="134">
        <v>13.015578</v>
      </c>
      <c r="AN148" s="66">
        <v>12.875935999999999</v>
      </c>
      <c r="AO148" s="134">
        <v>12.73612</v>
      </c>
      <c r="AP148" s="66">
        <v>12.600562999999999</v>
      </c>
      <c r="AQ148" s="134">
        <v>12.642925</v>
      </c>
    </row>
    <row r="167" spans="2:43" x14ac:dyDescent="0.25">
      <c r="B167" s="47" t="s">
        <v>4</v>
      </c>
      <c r="C167" s="47">
        <v>7</v>
      </c>
      <c r="D167" s="47"/>
      <c r="E167" s="47"/>
      <c r="F167" s="47"/>
      <c r="G167" s="21"/>
      <c r="H167" s="47"/>
      <c r="I167" s="21"/>
      <c r="J167" s="47"/>
      <c r="K167" s="21"/>
      <c r="L167" s="47"/>
      <c r="M167" s="21"/>
      <c r="N167" s="47"/>
      <c r="O167" s="21"/>
      <c r="P167" s="47"/>
      <c r="Q167" s="21"/>
      <c r="R167" s="47"/>
      <c r="S167" s="21"/>
      <c r="T167" s="47"/>
      <c r="U167" s="21"/>
      <c r="V167" s="47"/>
      <c r="W167" s="21"/>
      <c r="X167" s="47"/>
      <c r="Y167" s="21"/>
      <c r="Z167" s="47"/>
      <c r="AA167" s="21"/>
      <c r="AB167" s="47"/>
      <c r="AC167" s="21"/>
      <c r="AD167" s="47"/>
      <c r="AE167" s="21"/>
      <c r="AF167" s="47"/>
      <c r="AG167" s="21"/>
      <c r="AH167" s="47"/>
      <c r="AI167" s="21"/>
      <c r="AJ167" s="47"/>
      <c r="AK167" s="21"/>
      <c r="AL167" s="47"/>
      <c r="AM167" s="21"/>
      <c r="AN167" s="47"/>
      <c r="AO167" s="21"/>
      <c r="AP167" s="47"/>
      <c r="AQ167" s="21"/>
    </row>
    <row r="168" spans="2:43" x14ac:dyDescent="0.25">
      <c r="B168" s="1" t="s">
        <v>1</v>
      </c>
      <c r="C168" s="1">
        <v>1.8</v>
      </c>
      <c r="D168" s="2">
        <v>1.85</v>
      </c>
      <c r="E168" s="2">
        <v>1.9</v>
      </c>
      <c r="F168" s="2">
        <v>1.95</v>
      </c>
      <c r="G168" s="22">
        <v>2</v>
      </c>
      <c r="H168" s="2">
        <v>2.0499999999999998</v>
      </c>
      <c r="I168" s="22">
        <v>2.1</v>
      </c>
      <c r="J168" s="2">
        <v>2.15</v>
      </c>
      <c r="K168" s="22">
        <v>2.2000000000000002</v>
      </c>
      <c r="L168" s="2">
        <v>2.25</v>
      </c>
      <c r="M168" s="22">
        <v>2.2999999999999998</v>
      </c>
      <c r="N168" s="2">
        <v>2.35</v>
      </c>
      <c r="O168" s="22">
        <v>2.4</v>
      </c>
      <c r="P168" s="2">
        <v>2.4500000000000002</v>
      </c>
      <c r="Q168" s="22">
        <v>2.5</v>
      </c>
      <c r="R168" s="2">
        <v>2.5499999999999998</v>
      </c>
      <c r="S168" s="22">
        <v>2.6</v>
      </c>
      <c r="T168" s="2">
        <v>2.65</v>
      </c>
      <c r="U168" s="22">
        <v>2.7</v>
      </c>
      <c r="V168" s="2">
        <v>2.75</v>
      </c>
      <c r="W168" s="22">
        <v>2.8</v>
      </c>
      <c r="X168" s="2">
        <v>2.85</v>
      </c>
      <c r="Y168" s="22">
        <v>2.9</v>
      </c>
      <c r="Z168" s="2">
        <v>2.95</v>
      </c>
      <c r="AA168" s="22">
        <v>3</v>
      </c>
      <c r="AB168" s="2">
        <v>3.05</v>
      </c>
      <c r="AC168" s="22">
        <v>3.1</v>
      </c>
      <c r="AD168" s="2">
        <v>3.15</v>
      </c>
      <c r="AE168" s="22">
        <v>3.2</v>
      </c>
      <c r="AF168" s="2">
        <v>3.25</v>
      </c>
      <c r="AG168" s="22">
        <v>3.3</v>
      </c>
      <c r="AH168" s="2">
        <v>3.35</v>
      </c>
      <c r="AI168" s="22">
        <v>3.4</v>
      </c>
      <c r="AJ168" s="2">
        <v>3.45</v>
      </c>
      <c r="AK168" s="22">
        <v>3.5</v>
      </c>
      <c r="AL168" s="2">
        <v>3.55</v>
      </c>
      <c r="AM168" s="22">
        <v>3.6</v>
      </c>
      <c r="AN168" s="2">
        <v>3.65</v>
      </c>
      <c r="AO168" s="22">
        <v>3.7</v>
      </c>
      <c r="AP168" s="2">
        <v>3.75</v>
      </c>
      <c r="AQ168" s="22">
        <v>3.8</v>
      </c>
    </row>
    <row r="169" spans="2:43" x14ac:dyDescent="0.25">
      <c r="B169" s="1" t="s">
        <v>3</v>
      </c>
      <c r="C169" s="3">
        <f>AVERAGE(C170,C171,C172,C173,C174,C175)</f>
        <v>21.852155</v>
      </c>
      <c r="D169" s="3">
        <f t="shared" ref="D169" si="201">AVERAGE(D170,D171,D172)</f>
        <v>22.140331</v>
      </c>
      <c r="E169" s="3">
        <f t="shared" ref="E169" si="202">AVERAGE(E170,E171,E172)</f>
        <v>22.129811666666665</v>
      </c>
      <c r="F169" s="3">
        <f t="shared" ref="F169" si="203">AVERAGE(F170,F171,F172)</f>
        <v>22.115893666666665</v>
      </c>
      <c r="G169" s="34">
        <f t="shared" ref="G169" si="204">AVERAGE(G170,G171,G172)</f>
        <v>22.140597333333332</v>
      </c>
      <c r="H169" s="3">
        <f t="shared" ref="H169" si="205">AVERAGE(H170,H171,H172)</f>
        <v>19.749645333333333</v>
      </c>
      <c r="I169" s="34">
        <f t="shared" ref="I169" si="206">AVERAGE(I170,I171,I172)</f>
        <v>19.221685333333333</v>
      </c>
      <c r="J169" s="3">
        <f t="shared" ref="J169" si="207">AVERAGE(J170,J171,J172)</f>
        <v>18.950142333333332</v>
      </c>
      <c r="K169" s="34">
        <f t="shared" ref="K169" si="208">AVERAGE(K170,K171,K172)</f>
        <v>18.438379999999999</v>
      </c>
      <c r="L169" s="3">
        <f t="shared" ref="L169" si="209">AVERAGE(L170,L171,L172)</f>
        <v>18.151774</v>
      </c>
      <c r="M169" s="34">
        <f t="shared" ref="M169" si="210">AVERAGE(M170,M171,M172)</f>
        <v>17.901301333333336</v>
      </c>
      <c r="N169" s="3">
        <f t="shared" ref="N169" si="211">AVERAGE(N170,N171,N172)</f>
        <v>17.456571333333333</v>
      </c>
      <c r="O169" s="34">
        <f t="shared" ref="O169" si="212">AVERAGE(O170,O171,O172)</f>
        <v>17.291150999999999</v>
      </c>
      <c r="P169" s="3">
        <f t="shared" ref="P169" si="213">AVERAGE(P170,P171,P172)</f>
        <v>16.796367666666665</v>
      </c>
      <c r="Q169" s="34">
        <f t="shared" ref="Q169" si="214">AVERAGE(Q170,Q171,Q172)</f>
        <v>16.545915666666669</v>
      </c>
      <c r="R169" s="3">
        <f t="shared" ref="R169" si="215">AVERAGE(R170,R171,R172)</f>
        <v>16.301591333333334</v>
      </c>
      <c r="S169" s="34">
        <f t="shared" ref="S169" si="216">AVERAGE(S170,S171,S172)</f>
        <v>16.059621666666668</v>
      </c>
      <c r="T169" s="3">
        <f t="shared" ref="T169" si="217">AVERAGE(T170,T171,T172)</f>
        <v>15.682914333333335</v>
      </c>
      <c r="U169" s="34">
        <f t="shared" ref="U169" si="218">AVERAGE(U170,U171,U172)</f>
        <v>15.387646666666667</v>
      </c>
      <c r="V169" s="3">
        <f t="shared" ref="V169" si="219">AVERAGE(V170,V171,V172)</f>
        <v>15.166024999999999</v>
      </c>
      <c r="W169" s="34">
        <f t="shared" ref="W169" si="220">AVERAGE(W170,W171,W172)</f>
        <v>14.955331333333334</v>
      </c>
      <c r="X169" s="3">
        <f t="shared" ref="X169" si="221">AVERAGE(X170,X171,X172)</f>
        <v>14.745914333333333</v>
      </c>
      <c r="Y169" s="34">
        <f t="shared" ref="Y169" si="222">AVERAGE(Y170,Y171,Y172)</f>
        <v>14.427877333333333</v>
      </c>
      <c r="Z169" s="3">
        <f t="shared" ref="Z169" si="223">AVERAGE(Z170,Z171,Z172)</f>
        <v>14.171131000000001</v>
      </c>
      <c r="AA169" s="34">
        <f t="shared" ref="AA169" si="224">AVERAGE(AA170,AA171,AA172)</f>
        <v>13.981012666666667</v>
      </c>
      <c r="AB169" s="3">
        <f t="shared" ref="AB169" si="225">AVERAGE(AB170,AB171,AB172)</f>
        <v>13.799405999999999</v>
      </c>
      <c r="AC169" s="34">
        <f t="shared" ref="AC169" si="226">AVERAGE(AC170,AC171,AC172)</f>
        <v>13.618725</v>
      </c>
      <c r="AD169" s="3">
        <f t="shared" ref="AD169" si="227">AVERAGE(AD170,AD171,AD172)</f>
        <v>13.452966666666667</v>
      </c>
      <c r="AE169" s="34">
        <f t="shared" ref="AE169" si="228">AVERAGE(AE170,AE171,AE172)</f>
        <v>13.164499333333334</v>
      </c>
      <c r="AF169" s="3">
        <f t="shared" ref="AF169" si="229">AVERAGE(AF170,AF171,AF172)</f>
        <v>12.954972666666668</v>
      </c>
      <c r="AG169" s="34">
        <f t="shared" ref="AG169" si="230">AVERAGE(AG170,AG171,AG172)</f>
        <v>12.786976666666668</v>
      </c>
      <c r="AH169" s="3">
        <f t="shared" ref="AH169" si="231">AVERAGE(AH170,AH171,AH172)</f>
        <v>12.646581333333332</v>
      </c>
      <c r="AI169" s="34">
        <f t="shared" ref="AI169" si="232">AVERAGE(AI170,AI171,AI172)</f>
        <v>12.483612333333333</v>
      </c>
      <c r="AJ169" s="3">
        <f t="shared" ref="AJ169" si="233">AVERAGE(AJ170,AJ171,AJ172)</f>
        <v>12.403824333333333</v>
      </c>
      <c r="AK169" s="34">
        <f t="shared" ref="AK169" si="234">AVERAGE(AK170,AK171,AK172)</f>
        <v>12.261298000000002</v>
      </c>
      <c r="AL169" s="3">
        <f t="shared" ref="AL169" si="235">AVERAGE(AL170,AL171,AL172)</f>
        <v>12.121907999999999</v>
      </c>
      <c r="AM169" s="34">
        <f t="shared" ref="AM169" si="236">AVERAGE(AM170,AM171,AM172)</f>
        <v>11.997954666666667</v>
      </c>
      <c r="AN169" s="3">
        <f t="shared" ref="AN169" si="237">AVERAGE(AN170,AN171,AN172)</f>
        <v>11.857574</v>
      </c>
      <c r="AO169" s="34">
        <f t="shared" ref="AO169" si="238">AVERAGE(AO170,AO171,AO172)</f>
        <v>11.742249333333334</v>
      </c>
      <c r="AP169" s="3">
        <f t="shared" ref="AP169" si="239">AVERAGE(AP170,AP171,AP172)</f>
        <v>11.625268999999998</v>
      </c>
      <c r="AQ169" s="34">
        <f t="shared" ref="AQ169" si="240">AVERAGE(AQ170,AQ171,AQ172)</f>
        <v>11.505534333333335</v>
      </c>
    </row>
    <row r="170" spans="2:43" x14ac:dyDescent="0.25">
      <c r="B170" s="1">
        <v>1</v>
      </c>
      <c r="C170" s="67">
        <v>22.198608</v>
      </c>
      <c r="D170" s="67">
        <v>22.165323999999998</v>
      </c>
      <c r="E170" s="67">
        <v>22.181149999999999</v>
      </c>
      <c r="F170" s="67">
        <v>22.144221000000002</v>
      </c>
      <c r="G170" s="134">
        <v>22.190363000000001</v>
      </c>
      <c r="H170" s="67">
        <v>19.760895000000001</v>
      </c>
      <c r="I170" s="134">
        <v>19.241084000000001</v>
      </c>
      <c r="J170" s="67">
        <v>18.979157000000001</v>
      </c>
      <c r="K170" s="134">
        <v>18.458822999999999</v>
      </c>
      <c r="L170" s="67">
        <v>18.172917000000002</v>
      </c>
      <c r="M170" s="134">
        <v>18.190342000000001</v>
      </c>
      <c r="N170" s="67">
        <v>17.656488</v>
      </c>
      <c r="O170" s="134">
        <v>17.3995</v>
      </c>
      <c r="P170" s="67">
        <v>17.136092999999999</v>
      </c>
      <c r="Q170" s="134">
        <v>16.637398000000001</v>
      </c>
      <c r="R170" s="67">
        <v>16.403780000000001</v>
      </c>
      <c r="S170" s="134">
        <v>16.162503999999998</v>
      </c>
      <c r="T170" s="67">
        <v>15.93661</v>
      </c>
      <c r="U170" s="134">
        <v>15.489642</v>
      </c>
      <c r="V170" s="67">
        <v>15.26366</v>
      </c>
      <c r="W170" s="134">
        <v>15.049886000000001</v>
      </c>
      <c r="X170" s="67">
        <v>14.83855</v>
      </c>
      <c r="Y170" s="134">
        <v>14.645605</v>
      </c>
      <c r="Z170" s="67">
        <v>14.265207999999999</v>
      </c>
      <c r="AA170" s="134">
        <v>14.077412000000001</v>
      </c>
      <c r="AB170" s="67">
        <v>13.887513</v>
      </c>
      <c r="AC170" s="134">
        <v>13.715274000000001</v>
      </c>
      <c r="AD170" s="67">
        <v>13.544738000000001</v>
      </c>
      <c r="AE170" s="134">
        <v>13.369381000000001</v>
      </c>
      <c r="AF170" s="67">
        <v>13.037221000000001</v>
      </c>
      <c r="AG170" s="134">
        <v>12.873279</v>
      </c>
      <c r="AH170" s="67">
        <v>12.734446</v>
      </c>
      <c r="AI170" s="134">
        <v>12.567591</v>
      </c>
      <c r="AJ170" s="67">
        <v>12.416535</v>
      </c>
      <c r="AK170" s="134">
        <v>12.271437000000001</v>
      </c>
      <c r="AL170" s="67">
        <v>12.132137999999999</v>
      </c>
      <c r="AM170" s="134">
        <v>12.009425999999999</v>
      </c>
      <c r="AN170" s="67">
        <v>11.868344</v>
      </c>
      <c r="AO170" s="134">
        <v>11.751946999999999</v>
      </c>
      <c r="AP170" s="67">
        <v>11.636627000000001</v>
      </c>
      <c r="AQ170" s="134">
        <v>11.524996</v>
      </c>
    </row>
    <row r="171" spans="2:43" x14ac:dyDescent="0.25">
      <c r="B171" s="1">
        <v>2</v>
      </c>
      <c r="C171" s="68">
        <v>22.005089000000002</v>
      </c>
      <c r="D171" s="68">
        <v>21.996130999999998</v>
      </c>
      <c r="E171" s="68">
        <v>21.976186999999999</v>
      </c>
      <c r="F171" s="68">
        <v>21.964997</v>
      </c>
      <c r="G171" s="134">
        <v>21.991240999999999</v>
      </c>
      <c r="H171" s="68">
        <v>19.639223999999999</v>
      </c>
      <c r="I171" s="134">
        <v>19.103850999999999</v>
      </c>
      <c r="J171" s="68">
        <v>18.826983999999999</v>
      </c>
      <c r="K171" s="134">
        <v>18.337240000000001</v>
      </c>
      <c r="L171" s="68">
        <v>18.045563000000001</v>
      </c>
      <c r="M171" s="134">
        <v>17.786280999999999</v>
      </c>
      <c r="N171" s="68">
        <v>17.260947000000002</v>
      </c>
      <c r="O171" s="134">
        <v>17.004933000000001</v>
      </c>
      <c r="P171" s="68">
        <v>16.532491</v>
      </c>
      <c r="Q171" s="134">
        <v>16.283833999999999</v>
      </c>
      <c r="R171" s="68">
        <v>16.032183</v>
      </c>
      <c r="S171" s="134">
        <v>15.797758</v>
      </c>
      <c r="T171" s="68">
        <v>15.347478000000001</v>
      </c>
      <c r="U171" s="134">
        <v>15.134413</v>
      </c>
      <c r="V171" s="68">
        <v>14.917737000000001</v>
      </c>
      <c r="W171" s="134">
        <v>14.710611999999999</v>
      </c>
      <c r="X171" s="68">
        <v>14.500919</v>
      </c>
      <c r="Y171" s="134">
        <v>14.135431000000001</v>
      </c>
      <c r="Z171" s="68">
        <v>13.938069</v>
      </c>
      <c r="AA171" s="134">
        <v>13.744832000000001</v>
      </c>
      <c r="AB171" s="68">
        <v>13.560746999999999</v>
      </c>
      <c r="AC171" s="134">
        <v>13.387370000000001</v>
      </c>
      <c r="AD171" s="68">
        <v>13.214924</v>
      </c>
      <c r="AE171" s="134">
        <v>12.875142</v>
      </c>
      <c r="AF171" s="68">
        <v>12.727805</v>
      </c>
      <c r="AG171" s="134">
        <v>12.570479000000001</v>
      </c>
      <c r="AH171" s="68">
        <v>12.424769</v>
      </c>
      <c r="AI171" s="134">
        <v>12.262138999999999</v>
      </c>
      <c r="AJ171" s="68">
        <v>12.325125999999999</v>
      </c>
      <c r="AK171" s="134">
        <v>12.183731</v>
      </c>
      <c r="AL171" s="68">
        <v>12.046252000000001</v>
      </c>
      <c r="AM171" s="134">
        <v>11.917749000000001</v>
      </c>
      <c r="AN171" s="68">
        <v>11.768549</v>
      </c>
      <c r="AO171" s="134">
        <v>11.660297</v>
      </c>
      <c r="AP171" s="68">
        <v>11.540896999999999</v>
      </c>
      <c r="AQ171" s="134">
        <v>11.420185999999999</v>
      </c>
    </row>
    <row r="172" spans="2:43" x14ac:dyDescent="0.25">
      <c r="B172" s="1">
        <v>3</v>
      </c>
      <c r="C172" s="69">
        <v>22.278842999999998</v>
      </c>
      <c r="D172" s="69">
        <v>22.259537999999999</v>
      </c>
      <c r="E172" s="69">
        <v>22.232098000000001</v>
      </c>
      <c r="F172" s="69">
        <v>22.238462999999999</v>
      </c>
      <c r="G172" s="134">
        <v>22.240188</v>
      </c>
      <c r="H172" s="69">
        <v>19.848817</v>
      </c>
      <c r="I172" s="134">
        <v>19.320121</v>
      </c>
      <c r="J172" s="69">
        <v>19.044286</v>
      </c>
      <c r="K172" s="134">
        <v>18.519076999999999</v>
      </c>
      <c r="L172" s="69">
        <v>18.236841999999999</v>
      </c>
      <c r="M172" s="134">
        <v>17.727281000000001</v>
      </c>
      <c r="N172" s="69">
        <v>17.452279000000001</v>
      </c>
      <c r="O172" s="134">
        <v>17.46902</v>
      </c>
      <c r="P172" s="69">
        <v>16.720518999999999</v>
      </c>
      <c r="Q172" s="134">
        <v>16.716515000000001</v>
      </c>
      <c r="R172" s="69">
        <v>16.468810999999999</v>
      </c>
      <c r="S172" s="134">
        <v>16.218603000000002</v>
      </c>
      <c r="T172" s="69">
        <v>15.764654999999999</v>
      </c>
      <c r="U172" s="134">
        <v>15.538885000000001</v>
      </c>
      <c r="V172" s="69">
        <v>15.316678</v>
      </c>
      <c r="W172" s="134">
        <v>15.105496</v>
      </c>
      <c r="X172" s="69">
        <v>14.898274000000001</v>
      </c>
      <c r="Y172" s="134">
        <v>14.502596</v>
      </c>
      <c r="Z172" s="69">
        <v>14.310116000000001</v>
      </c>
      <c r="AA172" s="134">
        <v>14.120794</v>
      </c>
      <c r="AB172" s="69">
        <v>13.949958000000001</v>
      </c>
      <c r="AC172" s="134">
        <v>13.753531000000001</v>
      </c>
      <c r="AD172" s="69">
        <v>13.599238</v>
      </c>
      <c r="AE172" s="134">
        <v>13.248975</v>
      </c>
      <c r="AF172" s="69">
        <v>13.099892000000001</v>
      </c>
      <c r="AG172" s="134">
        <v>12.917172000000001</v>
      </c>
      <c r="AH172" s="69">
        <v>12.780529</v>
      </c>
      <c r="AI172" s="134">
        <v>12.621107</v>
      </c>
      <c r="AJ172" s="69">
        <v>12.469811999999999</v>
      </c>
      <c r="AK172" s="134">
        <v>12.328726</v>
      </c>
      <c r="AL172" s="69">
        <v>12.187334</v>
      </c>
      <c r="AM172" s="134">
        <v>12.066689</v>
      </c>
      <c r="AN172" s="69">
        <v>11.935829</v>
      </c>
      <c r="AO172" s="134">
        <v>11.814503999999999</v>
      </c>
      <c r="AP172" s="69">
        <v>11.698283</v>
      </c>
      <c r="AQ172" s="134">
        <v>11.571421000000001</v>
      </c>
    </row>
    <row r="173" spans="2:43" x14ac:dyDescent="0.25">
      <c r="B173" s="32">
        <v>4</v>
      </c>
      <c r="C173" s="70">
        <v>20.284838000000001</v>
      </c>
      <c r="D173" s="70">
        <v>20.297070000000001</v>
      </c>
      <c r="E173" s="70">
        <v>20.302084000000001</v>
      </c>
      <c r="F173" s="70">
        <v>20.295995000000001</v>
      </c>
      <c r="G173" s="134">
        <v>20.273209000000001</v>
      </c>
      <c r="H173" s="70">
        <v>18.077629000000002</v>
      </c>
      <c r="I173" s="134">
        <v>17.584871</v>
      </c>
      <c r="J173" s="70">
        <v>17.334302000000001</v>
      </c>
      <c r="K173" s="134">
        <v>16.866301</v>
      </c>
      <c r="L173" s="70">
        <v>16.595534000000001</v>
      </c>
      <c r="M173" s="134">
        <v>16.366275000000002</v>
      </c>
      <c r="N173" s="70">
        <v>16.163184000000001</v>
      </c>
      <c r="O173" s="134">
        <v>15.912276</v>
      </c>
      <c r="P173" s="70">
        <v>15.475431</v>
      </c>
      <c r="Q173" s="134">
        <v>15.235991</v>
      </c>
      <c r="R173" s="70">
        <v>15.011497</v>
      </c>
      <c r="S173" s="134">
        <v>14.804404</v>
      </c>
      <c r="T173" s="70">
        <v>14.3767</v>
      </c>
      <c r="U173" s="134">
        <v>14.162635999999999</v>
      </c>
      <c r="V173" s="70">
        <v>13.964007000000001</v>
      </c>
      <c r="W173" s="134">
        <v>13.767250000000001</v>
      </c>
      <c r="X173" s="70">
        <v>13.599638000000001</v>
      </c>
      <c r="Y173" s="134">
        <v>13.227007</v>
      </c>
      <c r="Z173" s="70">
        <v>13.043335000000001</v>
      </c>
      <c r="AA173" s="134">
        <v>12.882192</v>
      </c>
      <c r="AB173" s="70">
        <v>12.72059</v>
      </c>
      <c r="AC173" s="134">
        <v>12.538688</v>
      </c>
      <c r="AD173" s="70">
        <v>12.397460000000001</v>
      </c>
      <c r="AE173" s="134">
        <v>12.078087999999999</v>
      </c>
      <c r="AF173" s="70">
        <v>11.942396</v>
      </c>
      <c r="AG173" s="134">
        <v>11.783814</v>
      </c>
      <c r="AH173" s="70">
        <v>11.643136999999999</v>
      </c>
      <c r="AI173" s="134">
        <v>11.501588999999999</v>
      </c>
      <c r="AJ173" s="70">
        <v>11.361020999999999</v>
      </c>
      <c r="AK173" s="134">
        <v>11.235763</v>
      </c>
      <c r="AL173" s="70">
        <v>11.111834999999999</v>
      </c>
      <c r="AM173" s="134">
        <v>10.993389000000001</v>
      </c>
      <c r="AN173" s="70">
        <v>10.876185</v>
      </c>
      <c r="AO173" s="134">
        <v>10.764901999999999</v>
      </c>
      <c r="AP173" s="70">
        <v>10.657296000000001</v>
      </c>
      <c r="AQ173" s="134">
        <v>10.557283</v>
      </c>
    </row>
    <row r="174" spans="2:43" x14ac:dyDescent="0.25">
      <c r="B174" s="32">
        <v>5</v>
      </c>
      <c r="C174" s="71">
        <v>22.047507</v>
      </c>
      <c r="D174" s="71">
        <v>22.016030000000001</v>
      </c>
      <c r="E174" s="71">
        <v>22.007535000000001</v>
      </c>
      <c r="F174" s="71">
        <v>22.015498999999998</v>
      </c>
      <c r="G174" s="134">
        <v>22.018751000000002</v>
      </c>
      <c r="H174" s="71">
        <v>19.663779000000002</v>
      </c>
      <c r="I174" s="134">
        <v>19.143602999999999</v>
      </c>
      <c r="J174" s="71">
        <v>19.185068000000001</v>
      </c>
      <c r="K174" s="134">
        <v>18.680216999999999</v>
      </c>
      <c r="L174" s="71">
        <v>18.389659999999999</v>
      </c>
      <c r="M174" s="134">
        <v>18.101524000000001</v>
      </c>
      <c r="N174" s="71">
        <v>17.60284</v>
      </c>
      <c r="O174" s="134">
        <v>17.326067999999999</v>
      </c>
      <c r="P174" s="71">
        <v>17.068321000000001</v>
      </c>
      <c r="Q174" s="134">
        <v>16.590043999999999</v>
      </c>
      <c r="R174" s="71">
        <v>16.355239000000001</v>
      </c>
      <c r="S174" s="134">
        <v>16.111750000000001</v>
      </c>
      <c r="T174" s="71">
        <v>15.883838000000001</v>
      </c>
      <c r="U174" s="134">
        <v>15.43214</v>
      </c>
      <c r="V174" s="71">
        <v>15.21092</v>
      </c>
      <c r="W174" s="134">
        <v>14.982810000000001</v>
      </c>
      <c r="X174" s="71">
        <v>14.788307</v>
      </c>
      <c r="Y174" s="134">
        <v>14.594086000000001</v>
      </c>
      <c r="Z174" s="71">
        <v>14.215437</v>
      </c>
      <c r="AA174" s="134">
        <v>14.023999999999999</v>
      </c>
      <c r="AB174" s="71">
        <v>13.836021000000001</v>
      </c>
      <c r="AC174" s="134">
        <v>13.652751</v>
      </c>
      <c r="AD174" s="71">
        <v>13.478945</v>
      </c>
      <c r="AE174" s="134">
        <v>13.137313000000001</v>
      </c>
      <c r="AF174" s="71">
        <v>12.987273</v>
      </c>
      <c r="AG174" s="134">
        <v>12.822124000000001</v>
      </c>
      <c r="AH174" s="71">
        <v>12.665222999999999</v>
      </c>
      <c r="AI174" s="134">
        <v>12.513764999999999</v>
      </c>
      <c r="AJ174" s="71">
        <v>12.363849</v>
      </c>
      <c r="AK174" s="134">
        <v>12.218949</v>
      </c>
      <c r="AL174" s="71">
        <v>12.088975</v>
      </c>
      <c r="AM174" s="134">
        <v>11.952527999999999</v>
      </c>
      <c r="AN174" s="71">
        <v>11.830351</v>
      </c>
      <c r="AO174" s="134">
        <v>11.70397</v>
      </c>
      <c r="AP174" s="71">
        <v>11.768181999999999</v>
      </c>
      <c r="AQ174" s="134">
        <v>11.636111</v>
      </c>
    </row>
    <row r="175" spans="2:43" x14ac:dyDescent="0.25">
      <c r="B175" s="32">
        <v>6</v>
      </c>
      <c r="C175" s="72">
        <v>22.298044999999998</v>
      </c>
      <c r="D175" s="72">
        <v>22.304183999999999</v>
      </c>
      <c r="E175" s="72">
        <v>22.651329</v>
      </c>
      <c r="F175" s="72">
        <v>22.635548</v>
      </c>
      <c r="G175" s="134">
        <v>22.607322</v>
      </c>
      <c r="H175" s="72">
        <v>20.250116999999999</v>
      </c>
      <c r="I175" s="134">
        <v>19.702166999999999</v>
      </c>
      <c r="J175" s="72">
        <v>19.389883000000001</v>
      </c>
      <c r="K175" s="134">
        <v>18.908355</v>
      </c>
      <c r="L175" s="72">
        <v>18.613992</v>
      </c>
      <c r="M175" s="134">
        <v>18.351683999999999</v>
      </c>
      <c r="N175" s="72">
        <v>17.811612</v>
      </c>
      <c r="O175" s="134">
        <v>17.533577000000001</v>
      </c>
      <c r="P175" s="72">
        <v>17.286031000000001</v>
      </c>
      <c r="Q175" s="134">
        <v>16.795777000000001</v>
      </c>
      <c r="R175" s="72">
        <v>16.542479</v>
      </c>
      <c r="S175" s="134">
        <v>16.312093999999998</v>
      </c>
      <c r="T175" s="72">
        <v>16.082767</v>
      </c>
      <c r="U175" s="134">
        <v>15.617744999999999</v>
      </c>
      <c r="V175" s="72">
        <v>15.400262</v>
      </c>
      <c r="W175" s="134">
        <v>15.192216999999999</v>
      </c>
      <c r="X175" s="72">
        <v>14.983271999999999</v>
      </c>
      <c r="Y175" s="134">
        <v>14.788812</v>
      </c>
      <c r="Z175" s="72">
        <v>14.380278000000001</v>
      </c>
      <c r="AA175" s="134">
        <v>14.202897</v>
      </c>
      <c r="AB175" s="72">
        <v>14.006791</v>
      </c>
      <c r="AC175" s="134">
        <v>13.836936</v>
      </c>
      <c r="AD175" s="72">
        <v>13.663493000000001</v>
      </c>
      <c r="AE175" s="134">
        <v>13.475351</v>
      </c>
      <c r="AF175" s="72">
        <v>13.158977</v>
      </c>
      <c r="AG175" s="134">
        <v>12.980115</v>
      </c>
      <c r="AH175" s="72">
        <v>12.828684000000001</v>
      </c>
      <c r="AI175" s="134">
        <v>12.677844</v>
      </c>
      <c r="AJ175" s="72">
        <v>12.532534</v>
      </c>
      <c r="AK175" s="134">
        <v>12.387688000000001</v>
      </c>
      <c r="AL175" s="72">
        <v>12.244095</v>
      </c>
      <c r="AM175" s="134">
        <v>12.114076000000001</v>
      </c>
      <c r="AN175" s="72">
        <v>11.981047999999999</v>
      </c>
      <c r="AO175" s="134">
        <v>11.872622</v>
      </c>
      <c r="AP175" s="72">
        <v>11.745428</v>
      </c>
      <c r="AQ175" s="134">
        <v>11.813836999999999</v>
      </c>
    </row>
    <row r="195" spans="2:43" x14ac:dyDescent="0.25">
      <c r="B195" s="47" t="s">
        <v>4</v>
      </c>
      <c r="C195" s="47">
        <v>6</v>
      </c>
      <c r="D195" s="47"/>
      <c r="E195" s="47"/>
      <c r="F195" s="47"/>
      <c r="G195" s="21"/>
      <c r="H195" s="47"/>
      <c r="I195" s="21"/>
      <c r="J195" s="47"/>
      <c r="K195" s="21"/>
      <c r="L195" s="47"/>
      <c r="M195" s="21"/>
      <c r="N195" s="47"/>
      <c r="O195" s="21"/>
      <c r="P195" s="47"/>
      <c r="Q195" s="21"/>
      <c r="R195" s="47"/>
      <c r="S195" s="21"/>
      <c r="T195" s="47"/>
      <c r="U195" s="21"/>
      <c r="V195" s="47"/>
      <c r="W195" s="21"/>
      <c r="X195" s="47"/>
      <c r="Y195" s="21"/>
      <c r="Z195" s="47"/>
      <c r="AA195" s="21"/>
      <c r="AB195" s="47"/>
      <c r="AC195" s="21"/>
      <c r="AD195" s="47"/>
      <c r="AE195" s="21"/>
      <c r="AF195" s="47"/>
      <c r="AG195" s="21"/>
      <c r="AH195" s="47"/>
      <c r="AI195" s="21"/>
      <c r="AJ195" s="47"/>
      <c r="AK195" s="21"/>
      <c r="AL195" s="47"/>
      <c r="AM195" s="21"/>
      <c r="AN195" s="47"/>
      <c r="AO195" s="21"/>
      <c r="AP195" s="47"/>
      <c r="AQ195" s="21"/>
    </row>
    <row r="196" spans="2:43" x14ac:dyDescent="0.25">
      <c r="B196" s="1" t="s">
        <v>1</v>
      </c>
      <c r="C196" s="1">
        <v>1.8</v>
      </c>
      <c r="D196" s="2">
        <v>1.85</v>
      </c>
      <c r="E196" s="2">
        <v>1.9</v>
      </c>
      <c r="F196" s="2">
        <v>1.95</v>
      </c>
      <c r="G196" s="22">
        <v>2</v>
      </c>
      <c r="H196" s="2">
        <v>2.0499999999999998</v>
      </c>
      <c r="I196" s="22">
        <v>2.1</v>
      </c>
      <c r="J196" s="2">
        <v>2.15</v>
      </c>
      <c r="K196" s="22">
        <v>2.2000000000000002</v>
      </c>
      <c r="L196" s="2">
        <v>2.25</v>
      </c>
      <c r="M196" s="22">
        <v>2.2999999999999998</v>
      </c>
      <c r="N196" s="2">
        <v>2.35</v>
      </c>
      <c r="O196" s="22">
        <v>2.4</v>
      </c>
      <c r="P196" s="2">
        <v>2.4500000000000002</v>
      </c>
      <c r="Q196" s="22">
        <v>2.5</v>
      </c>
      <c r="R196" s="2">
        <v>2.5499999999999998</v>
      </c>
      <c r="S196" s="22">
        <v>2.6</v>
      </c>
      <c r="T196" s="2">
        <v>2.65</v>
      </c>
      <c r="U196" s="22">
        <v>2.7</v>
      </c>
      <c r="V196" s="2">
        <v>2.75</v>
      </c>
      <c r="W196" s="22">
        <v>2.8</v>
      </c>
      <c r="X196" s="2">
        <v>2.85</v>
      </c>
      <c r="Y196" s="22">
        <v>2.9</v>
      </c>
      <c r="Z196" s="2">
        <v>2.95</v>
      </c>
      <c r="AA196" s="22">
        <v>3</v>
      </c>
      <c r="AB196" s="2">
        <v>3.05</v>
      </c>
      <c r="AC196" s="22">
        <v>3.1</v>
      </c>
      <c r="AD196" s="2">
        <v>3.15</v>
      </c>
      <c r="AE196" s="22">
        <v>3.2</v>
      </c>
      <c r="AF196" s="2">
        <v>3.25</v>
      </c>
      <c r="AG196" s="22">
        <v>3.3</v>
      </c>
      <c r="AH196" s="2">
        <v>3.35</v>
      </c>
      <c r="AI196" s="22">
        <v>3.4</v>
      </c>
      <c r="AJ196" s="2">
        <v>3.45</v>
      </c>
      <c r="AK196" s="22">
        <v>3.5</v>
      </c>
      <c r="AL196" s="2">
        <v>3.55</v>
      </c>
      <c r="AM196" s="22">
        <v>3.6</v>
      </c>
      <c r="AN196" s="2">
        <v>3.65</v>
      </c>
      <c r="AO196" s="22">
        <v>3.7</v>
      </c>
      <c r="AP196" s="2">
        <v>3.75</v>
      </c>
      <c r="AQ196" s="22">
        <v>3.8</v>
      </c>
    </row>
    <row r="197" spans="2:43" x14ac:dyDescent="0.25">
      <c r="B197" s="1" t="s">
        <v>3</v>
      </c>
      <c r="C197" s="3">
        <f>AVERAGE(C198,C199,C200,C201,C202,C203)</f>
        <v>20.416833833333335</v>
      </c>
      <c r="D197" s="3">
        <f t="shared" ref="D197" si="241">AVERAGE(D198,D199,D200)</f>
        <v>20.173899666666667</v>
      </c>
      <c r="E197" s="3">
        <f t="shared" ref="E197" si="242">AVERAGE(E198,E199,E200)</f>
        <v>20.311570666666665</v>
      </c>
      <c r="F197" s="3">
        <f t="shared" ref="F197" si="243">AVERAGE(F198,F199,F200)</f>
        <v>20.304974333333334</v>
      </c>
      <c r="G197" s="34">
        <f t="shared" ref="G197" si="244">AVERAGE(G198,G199,G200)</f>
        <v>20.303167666666667</v>
      </c>
      <c r="H197" s="3">
        <f t="shared" ref="H197" si="245">AVERAGE(H198,H199,H200)</f>
        <v>18.12724</v>
      </c>
      <c r="I197" s="34">
        <f t="shared" ref="I197" si="246">AVERAGE(I198,I199,I200)</f>
        <v>17.644490000000001</v>
      </c>
      <c r="J197" s="3">
        <f t="shared" ref="J197" si="247">AVERAGE(J198,J199,J200)</f>
        <v>17.373998333333333</v>
      </c>
      <c r="K197" s="34">
        <f t="shared" ref="K197" si="248">AVERAGE(K198,K199,K200)</f>
        <v>16.928590666666668</v>
      </c>
      <c r="L197" s="3">
        <f t="shared" ref="L197" si="249">AVERAGE(L198,L199,L200)</f>
        <v>16.656205</v>
      </c>
      <c r="M197" s="34">
        <f t="shared" ref="M197" si="250">AVERAGE(M198,M199,M200)</f>
        <v>16.418228666666668</v>
      </c>
      <c r="N197" s="3">
        <f t="shared" ref="N197" si="251">AVERAGE(N198,N199,N200)</f>
        <v>16.043624333333334</v>
      </c>
      <c r="O197" s="34">
        <f t="shared" ref="O197" si="252">AVERAGE(O198,O199,O200)</f>
        <v>15.796862666666668</v>
      </c>
      <c r="P197" s="3">
        <f t="shared" ref="P197" si="253">AVERAGE(P198,P199,P200)</f>
        <v>15.502666666666665</v>
      </c>
      <c r="Q197" s="34">
        <f t="shared" ref="Q197" si="254">AVERAGE(Q198,Q199,Q200)</f>
        <v>15.128291666666668</v>
      </c>
      <c r="R197" s="3">
        <f t="shared" ref="R197" si="255">AVERAGE(R198,R199,R200)</f>
        <v>14.913608333333334</v>
      </c>
      <c r="S197" s="34">
        <f t="shared" ref="S197" si="256">AVERAGE(S198,S199,S200)</f>
        <v>14.694916333333333</v>
      </c>
      <c r="T197" s="3">
        <f t="shared" ref="T197" si="257">AVERAGE(T198,T199,T200)</f>
        <v>14.418866000000001</v>
      </c>
      <c r="U197" s="34">
        <f t="shared" ref="U197" si="258">AVERAGE(U198,U199,U200)</f>
        <v>14.067646666666667</v>
      </c>
      <c r="V197" s="3">
        <f t="shared" ref="V197" si="259">AVERAGE(V198,V199,V200)</f>
        <v>13.874724333333333</v>
      </c>
      <c r="W197" s="34">
        <f t="shared" ref="W197" si="260">AVERAGE(W198,W199,W200)</f>
        <v>13.677245999999998</v>
      </c>
      <c r="X197" s="3">
        <f t="shared" ref="X197" si="261">AVERAGE(X198,X199,X200)</f>
        <v>13.493373333333333</v>
      </c>
      <c r="Y197" s="34">
        <f t="shared" ref="Y197" si="262">AVERAGE(Y198,Y199,Y200)</f>
        <v>13.261502</v>
      </c>
      <c r="Z197" s="3">
        <f t="shared" ref="Z197" si="263">AVERAGE(Z198,Z199,Z200)</f>
        <v>12.957344333333333</v>
      </c>
      <c r="AA197" s="34">
        <f t="shared" ref="AA197" si="264">AVERAGE(AA198,AA199,AA200)</f>
        <v>12.789398</v>
      </c>
      <c r="AB197" s="3">
        <f t="shared" ref="AB197" si="265">AVERAGE(AB198,AB199,AB200)</f>
        <v>12.620695666666668</v>
      </c>
      <c r="AC197" s="34">
        <f t="shared" ref="AC197" si="266">AVERAGE(AC198,AC199,AC200)</f>
        <v>12.460140333333333</v>
      </c>
      <c r="AD197" s="3">
        <f t="shared" ref="AD197" si="267">AVERAGE(AD198,AD199,AD200)</f>
        <v>12.310285333333335</v>
      </c>
      <c r="AE197" s="34">
        <f t="shared" ref="AE197" si="268">AVERAGE(AE198,AE199,AE200)</f>
        <v>12.055246666666667</v>
      </c>
      <c r="AF197" s="3">
        <f t="shared" ref="AF197" si="269">AVERAGE(AF198,AF199,AF200)</f>
        <v>11.854932333333332</v>
      </c>
      <c r="AG197" s="34">
        <f t="shared" ref="AG197" si="270">AVERAGE(AG198,AG199,AG200)</f>
        <v>11.698264333333334</v>
      </c>
      <c r="AH197" s="3">
        <f t="shared" ref="AH197" si="271">AVERAGE(AH198,AH199,AH200)</f>
        <v>11.560357999999999</v>
      </c>
      <c r="AI197" s="34">
        <f t="shared" ref="AI197" si="272">AVERAGE(AI198,AI199,AI200)</f>
        <v>11.421815666666667</v>
      </c>
      <c r="AJ197" s="3">
        <f t="shared" ref="AJ197" si="273">AVERAGE(AJ198,AJ199,AJ200)</f>
        <v>11.288990333333333</v>
      </c>
      <c r="AK197" s="34">
        <f t="shared" ref="AK197" si="274">AVERAGE(AK198,AK199,AK200)</f>
        <v>11.154007</v>
      </c>
      <c r="AL197" s="3">
        <f t="shared" ref="AL197" si="275">AVERAGE(AL198,AL199,AL200)</f>
        <v>11.032090666666667</v>
      </c>
      <c r="AM197" s="34">
        <f t="shared" ref="AM197" si="276">AVERAGE(AM198,AM199,AM200)</f>
        <v>10.912416</v>
      </c>
      <c r="AN197" s="3">
        <f t="shared" ref="AN197" si="277">AVERAGE(AN198,AN199,AN200)</f>
        <v>10.796732999999998</v>
      </c>
      <c r="AO197" s="34">
        <f t="shared" ref="AO197" si="278">AVERAGE(AO198,AO199,AO200)</f>
        <v>10.691697666666668</v>
      </c>
      <c r="AP197" s="3">
        <f t="shared" ref="AP197" si="279">AVERAGE(AP198,AP199,AP200)</f>
        <v>10.716066333333332</v>
      </c>
      <c r="AQ197" s="34">
        <f t="shared" ref="AQ197" si="280">AVERAGE(AQ198,AQ199,AQ200)</f>
        <v>10.613478333333333</v>
      </c>
    </row>
    <row r="198" spans="2:43" x14ac:dyDescent="0.25">
      <c r="B198" s="1">
        <v>1</v>
      </c>
      <c r="C198" s="73">
        <v>20.783061</v>
      </c>
      <c r="D198" s="73">
        <v>20.769690000000001</v>
      </c>
      <c r="E198" s="73">
        <v>21.173349000000002</v>
      </c>
      <c r="F198" s="73">
        <v>21.162474</v>
      </c>
      <c r="G198" s="134">
        <v>21.157927000000001</v>
      </c>
      <c r="H198" s="73">
        <v>18.926400999999998</v>
      </c>
      <c r="I198" s="134">
        <v>18.418528999999999</v>
      </c>
      <c r="J198" s="73">
        <v>18.123177999999999</v>
      </c>
      <c r="K198" s="134">
        <v>17.674461000000001</v>
      </c>
      <c r="L198" s="73">
        <v>17.397652000000001</v>
      </c>
      <c r="M198" s="134">
        <v>17.143514</v>
      </c>
      <c r="N198" s="73">
        <v>16.644425999999999</v>
      </c>
      <c r="O198" s="134">
        <v>16.378067000000001</v>
      </c>
      <c r="P198" s="73">
        <v>16.158190999999999</v>
      </c>
      <c r="Q198" s="134">
        <v>15.700588</v>
      </c>
      <c r="R198" s="73">
        <v>15.475633999999999</v>
      </c>
      <c r="S198" s="134">
        <v>15.254072000000001</v>
      </c>
      <c r="T198" s="73">
        <v>15.037544</v>
      </c>
      <c r="U198" s="134">
        <v>14.59348</v>
      </c>
      <c r="V198" s="73">
        <v>14.403420000000001</v>
      </c>
      <c r="W198" s="134">
        <v>14.20138</v>
      </c>
      <c r="X198" s="73">
        <v>14.011362</v>
      </c>
      <c r="Y198" s="134">
        <v>13.825319</v>
      </c>
      <c r="Z198" s="73">
        <v>13.441245</v>
      </c>
      <c r="AA198" s="134">
        <v>13.275117</v>
      </c>
      <c r="AB198" s="73">
        <v>13.097246999999999</v>
      </c>
      <c r="AC198" s="134">
        <v>12.946298000000001</v>
      </c>
      <c r="AD198" s="73">
        <v>12.788287</v>
      </c>
      <c r="AE198" s="134">
        <v>12.631208000000001</v>
      </c>
      <c r="AF198" s="73">
        <v>12.306459</v>
      </c>
      <c r="AG198" s="134">
        <v>12.142162000000001</v>
      </c>
      <c r="AH198" s="73">
        <v>11.999532</v>
      </c>
      <c r="AI198" s="134">
        <v>11.854093000000001</v>
      </c>
      <c r="AJ198" s="73">
        <v>11.721413</v>
      </c>
      <c r="AK198" s="134">
        <v>11.582053</v>
      </c>
      <c r="AL198" s="73">
        <v>11.451395</v>
      </c>
      <c r="AM198" s="134">
        <v>11.336911000000001</v>
      </c>
      <c r="AN198" s="73">
        <v>11.203533</v>
      </c>
      <c r="AO198" s="134">
        <v>11.106506</v>
      </c>
      <c r="AP198" s="73">
        <v>11.193151</v>
      </c>
      <c r="AQ198" s="134">
        <v>11.086435</v>
      </c>
    </row>
    <row r="199" spans="2:43" x14ac:dyDescent="0.25">
      <c r="B199" s="1">
        <v>2</v>
      </c>
      <c r="C199" s="74">
        <v>20.904668000000001</v>
      </c>
      <c r="D199" s="74">
        <v>20.875644000000001</v>
      </c>
      <c r="E199" s="74">
        <v>20.887823000000001</v>
      </c>
      <c r="F199" s="74">
        <v>20.881247999999999</v>
      </c>
      <c r="G199" s="134">
        <v>20.874631999999998</v>
      </c>
      <c r="H199" s="74">
        <v>18.651464000000001</v>
      </c>
      <c r="I199" s="134">
        <v>18.160905</v>
      </c>
      <c r="J199" s="74">
        <v>17.886379000000002</v>
      </c>
      <c r="K199" s="134">
        <v>17.432288</v>
      </c>
      <c r="L199" s="74">
        <v>17.142662999999999</v>
      </c>
      <c r="M199" s="134">
        <v>16.895917000000001</v>
      </c>
      <c r="N199" s="74">
        <v>16.417173999999999</v>
      </c>
      <c r="O199" s="134">
        <v>16.170214999999999</v>
      </c>
      <c r="P199" s="74">
        <v>15.919264999999999</v>
      </c>
      <c r="Q199" s="134">
        <v>15.473371999999999</v>
      </c>
      <c r="R199" s="74">
        <v>15.254913</v>
      </c>
      <c r="S199" s="134">
        <v>15.028983</v>
      </c>
      <c r="T199" s="74">
        <v>14.807238</v>
      </c>
      <c r="U199" s="134">
        <v>14.391838</v>
      </c>
      <c r="V199" s="74">
        <v>14.187004</v>
      </c>
      <c r="W199" s="134">
        <v>13.982400999999999</v>
      </c>
      <c r="X199" s="74">
        <v>13.792453</v>
      </c>
      <c r="Y199" s="134">
        <v>13.613797</v>
      </c>
      <c r="Z199" s="74">
        <v>13.259047000000001</v>
      </c>
      <c r="AA199" s="134">
        <v>13.075568000000001</v>
      </c>
      <c r="AB199" s="74">
        <v>12.898019</v>
      </c>
      <c r="AC199" s="134">
        <v>12.730261</v>
      </c>
      <c r="AD199" s="74">
        <v>12.568377</v>
      </c>
      <c r="AE199" s="134">
        <v>12.260586999999999</v>
      </c>
      <c r="AF199" s="74">
        <v>12.120753000000001</v>
      </c>
      <c r="AG199" s="134">
        <v>11.961589</v>
      </c>
      <c r="AH199" s="74">
        <v>11.815966</v>
      </c>
      <c r="AI199" s="134">
        <v>11.683904999999999</v>
      </c>
      <c r="AJ199" s="74">
        <v>11.541122</v>
      </c>
      <c r="AK199" s="134">
        <v>11.401987999999999</v>
      </c>
      <c r="AL199" s="74">
        <v>11.273216</v>
      </c>
      <c r="AM199" s="134">
        <v>11.152695</v>
      </c>
      <c r="AN199" s="74">
        <v>11.036479999999999</v>
      </c>
      <c r="AO199" s="134">
        <v>10.917586999999999</v>
      </c>
      <c r="AP199" s="74">
        <v>11.013665</v>
      </c>
      <c r="AQ199" s="134">
        <v>10.903411999999999</v>
      </c>
    </row>
    <row r="200" spans="2:43" x14ac:dyDescent="0.25">
      <c r="B200" s="1">
        <v>3</v>
      </c>
      <c r="C200" s="75">
        <v>18.879787</v>
      </c>
      <c r="D200" s="75">
        <v>18.876365</v>
      </c>
      <c r="E200" s="75">
        <v>18.873539999999998</v>
      </c>
      <c r="F200" s="75">
        <v>18.871200999999999</v>
      </c>
      <c r="G200" s="134">
        <v>18.876944000000002</v>
      </c>
      <c r="H200" s="75">
        <v>16.803854999999999</v>
      </c>
      <c r="I200" s="134">
        <v>16.354036000000001</v>
      </c>
      <c r="J200" s="75">
        <v>16.112438000000001</v>
      </c>
      <c r="K200" s="134">
        <v>15.679023000000001</v>
      </c>
      <c r="L200" s="75">
        <v>15.4283</v>
      </c>
      <c r="M200" s="134">
        <v>15.215255000000001</v>
      </c>
      <c r="N200" s="75">
        <v>15.069273000000001</v>
      </c>
      <c r="O200" s="134">
        <v>14.842306000000001</v>
      </c>
      <c r="P200" s="75">
        <v>14.430543999999999</v>
      </c>
      <c r="Q200" s="134">
        <v>14.210915</v>
      </c>
      <c r="R200" s="75">
        <v>14.010278</v>
      </c>
      <c r="S200" s="134">
        <v>13.801693999999999</v>
      </c>
      <c r="T200" s="75">
        <v>13.411816</v>
      </c>
      <c r="U200" s="134">
        <v>13.217622</v>
      </c>
      <c r="V200" s="75">
        <v>13.033749</v>
      </c>
      <c r="W200" s="134">
        <v>12.847956999999999</v>
      </c>
      <c r="X200" s="75">
        <v>12.676304999999999</v>
      </c>
      <c r="Y200" s="134">
        <v>12.34539</v>
      </c>
      <c r="Z200" s="75">
        <v>12.171741000000001</v>
      </c>
      <c r="AA200" s="134">
        <v>12.017509</v>
      </c>
      <c r="AB200" s="75">
        <v>11.866821</v>
      </c>
      <c r="AC200" s="134">
        <v>11.703862000000001</v>
      </c>
      <c r="AD200" s="75">
        <v>11.574192</v>
      </c>
      <c r="AE200" s="134">
        <v>11.273944999999999</v>
      </c>
      <c r="AF200" s="75">
        <v>11.137585</v>
      </c>
      <c r="AG200" s="134">
        <v>10.991042</v>
      </c>
      <c r="AH200" s="75">
        <v>10.865576000000001</v>
      </c>
      <c r="AI200" s="134">
        <v>10.727449</v>
      </c>
      <c r="AJ200" s="75">
        <v>10.604436</v>
      </c>
      <c r="AK200" s="134">
        <v>10.477980000000001</v>
      </c>
      <c r="AL200" s="75">
        <v>10.371661</v>
      </c>
      <c r="AM200" s="134">
        <v>10.247642000000001</v>
      </c>
      <c r="AN200" s="75">
        <v>10.150186</v>
      </c>
      <c r="AO200" s="134">
        <v>10.051</v>
      </c>
      <c r="AP200" s="75">
        <v>9.9413830000000001</v>
      </c>
      <c r="AQ200" s="134">
        <v>9.8505880000000001</v>
      </c>
    </row>
    <row r="201" spans="2:43" x14ac:dyDescent="0.25">
      <c r="B201" s="32">
        <v>4</v>
      </c>
      <c r="C201" s="76">
        <v>20.769224000000001</v>
      </c>
      <c r="D201" s="76">
        <v>20.744776000000002</v>
      </c>
      <c r="E201" s="76">
        <v>20.72709</v>
      </c>
      <c r="F201" s="76">
        <v>20.727938000000002</v>
      </c>
      <c r="G201" s="134">
        <v>20.730612000000001</v>
      </c>
      <c r="H201" s="76">
        <v>18.499642000000001</v>
      </c>
      <c r="I201" s="134">
        <v>17.995404000000001</v>
      </c>
      <c r="J201" s="76">
        <v>17.733675999999999</v>
      </c>
      <c r="K201" s="134">
        <v>17.268736000000001</v>
      </c>
      <c r="L201" s="76">
        <v>16.995245000000001</v>
      </c>
      <c r="M201" s="134">
        <v>16.533560000000001</v>
      </c>
      <c r="N201" s="76">
        <v>16.259284999999998</v>
      </c>
      <c r="O201" s="134">
        <v>16.025746999999999</v>
      </c>
      <c r="P201" s="76">
        <v>15.580838999999999</v>
      </c>
      <c r="Q201" s="134">
        <v>15.634781</v>
      </c>
      <c r="R201" s="76">
        <v>15.408224000000001</v>
      </c>
      <c r="S201" s="134">
        <v>15.178224</v>
      </c>
      <c r="T201" s="76">
        <v>14.749592</v>
      </c>
      <c r="U201" s="134">
        <v>14.528561</v>
      </c>
      <c r="V201" s="76">
        <v>14.332454</v>
      </c>
      <c r="W201" s="134">
        <v>14.121988999999999</v>
      </c>
      <c r="X201" s="76">
        <v>13.92525</v>
      </c>
      <c r="Y201" s="134">
        <v>13.576900999999999</v>
      </c>
      <c r="Z201" s="76">
        <v>13.394012999999999</v>
      </c>
      <c r="AA201" s="134">
        <v>13.198840000000001</v>
      </c>
      <c r="AB201" s="76">
        <v>13.044347</v>
      </c>
      <c r="AC201" s="134">
        <v>12.871370000000001</v>
      </c>
      <c r="AD201" s="76">
        <v>12.7164</v>
      </c>
      <c r="AE201" s="134">
        <v>12.393908</v>
      </c>
      <c r="AF201" s="76">
        <v>12.248276000000001</v>
      </c>
      <c r="AG201" s="134">
        <v>12.089752000000001</v>
      </c>
      <c r="AH201" s="76">
        <v>11.955252</v>
      </c>
      <c r="AI201" s="134">
        <v>11.803236</v>
      </c>
      <c r="AJ201" s="76">
        <v>11.665706999999999</v>
      </c>
      <c r="AK201" s="134">
        <v>11.529868</v>
      </c>
      <c r="AL201" s="76">
        <v>11.400153</v>
      </c>
      <c r="AM201" s="134">
        <v>11.283398</v>
      </c>
      <c r="AN201" s="76">
        <v>11.167596</v>
      </c>
      <c r="AO201" s="134">
        <v>11.063157</v>
      </c>
      <c r="AP201" s="76">
        <v>10.93417</v>
      </c>
      <c r="AQ201" s="134">
        <v>10.828284999999999</v>
      </c>
    </row>
    <row r="202" spans="2:43" x14ac:dyDescent="0.25">
      <c r="B202" s="32">
        <v>5</v>
      </c>
      <c r="C202" s="77">
        <v>20.511499000000001</v>
      </c>
      <c r="D202" s="77">
        <v>20.483011999999999</v>
      </c>
      <c r="E202" s="77">
        <v>20.489864000000001</v>
      </c>
      <c r="F202" s="77">
        <v>20.467949999999998</v>
      </c>
      <c r="G202" s="134">
        <v>20.49849</v>
      </c>
      <c r="H202" s="77">
        <v>18.294530000000002</v>
      </c>
      <c r="I202" s="134">
        <v>17.787258999999999</v>
      </c>
      <c r="J202" s="77">
        <v>17.556584000000001</v>
      </c>
      <c r="K202" s="134">
        <v>17.068604000000001</v>
      </c>
      <c r="L202" s="77">
        <v>16.815888999999999</v>
      </c>
      <c r="M202" s="134">
        <v>16.554765</v>
      </c>
      <c r="N202" s="77">
        <v>16.083158999999998</v>
      </c>
      <c r="O202" s="134">
        <v>15.841551000000001</v>
      </c>
      <c r="P202" s="77">
        <v>15.397344</v>
      </c>
      <c r="Q202" s="134">
        <v>15.166878000000001</v>
      </c>
      <c r="R202" s="77">
        <v>14.941039</v>
      </c>
      <c r="S202" s="134">
        <v>14.722008000000001</v>
      </c>
      <c r="T202" s="77">
        <v>14.304232000000001</v>
      </c>
      <c r="U202" s="134">
        <v>14.120144</v>
      </c>
      <c r="V202" s="77">
        <v>13.902272999999999</v>
      </c>
      <c r="W202" s="134">
        <v>13.700464999999999</v>
      </c>
      <c r="X202" s="77">
        <v>13.527029000000001</v>
      </c>
      <c r="Y202" s="134">
        <v>13.170864999999999</v>
      </c>
      <c r="Z202" s="77">
        <v>12.989499</v>
      </c>
      <c r="AA202" s="134">
        <v>12.802481</v>
      </c>
      <c r="AB202" s="77">
        <v>12.646335000000001</v>
      </c>
      <c r="AC202" s="134">
        <v>12.478153000000001</v>
      </c>
      <c r="AD202" s="77">
        <v>12.327628000000001</v>
      </c>
      <c r="AE202" s="134">
        <v>11.998241</v>
      </c>
      <c r="AF202" s="77">
        <v>11.870100000000001</v>
      </c>
      <c r="AG202" s="134">
        <v>11.712489</v>
      </c>
      <c r="AH202" s="77">
        <v>11.581343</v>
      </c>
      <c r="AI202" s="134">
        <v>11.427695</v>
      </c>
      <c r="AJ202" s="77">
        <v>11.519135</v>
      </c>
      <c r="AK202" s="134">
        <v>11.184282</v>
      </c>
      <c r="AL202" s="77">
        <v>11.249518999999999</v>
      </c>
      <c r="AM202" s="134">
        <v>11.13026</v>
      </c>
      <c r="AN202" s="77">
        <v>11.002881</v>
      </c>
      <c r="AO202" s="134">
        <v>10.903956000000001</v>
      </c>
      <c r="AP202" s="77">
        <v>10.775900999999999</v>
      </c>
      <c r="AQ202" s="134">
        <v>10.684559999999999</v>
      </c>
    </row>
    <row r="203" spans="2:43" x14ac:dyDescent="0.25">
      <c r="B203" s="32">
        <v>6</v>
      </c>
      <c r="C203" s="78">
        <v>20.652764000000001</v>
      </c>
      <c r="D203" s="78">
        <v>20.600114999999999</v>
      </c>
      <c r="E203" s="78">
        <v>20.616693000000001</v>
      </c>
      <c r="F203" s="78">
        <v>20.648354000000001</v>
      </c>
      <c r="G203" s="134">
        <v>20.595271</v>
      </c>
      <c r="H203" s="78">
        <v>18.367842</v>
      </c>
      <c r="I203" s="134">
        <v>17.922264999999999</v>
      </c>
      <c r="J203" s="78">
        <v>17.630817</v>
      </c>
      <c r="K203" s="134">
        <v>17.16168</v>
      </c>
      <c r="L203" s="78">
        <v>16.895168999999999</v>
      </c>
      <c r="M203" s="134">
        <v>16.653165000000001</v>
      </c>
      <c r="N203" s="78">
        <v>16.470383000000002</v>
      </c>
      <c r="O203" s="134">
        <v>16.231624</v>
      </c>
      <c r="P203" s="78">
        <v>15.98357</v>
      </c>
      <c r="Q203" s="134">
        <v>15.538697000000001</v>
      </c>
      <c r="R203" s="78">
        <v>15.307043</v>
      </c>
      <c r="S203" s="134">
        <v>15.080957</v>
      </c>
      <c r="T203" s="78">
        <v>14.852672999999999</v>
      </c>
      <c r="U203" s="134">
        <v>14.44538</v>
      </c>
      <c r="V203" s="78">
        <v>14.247671</v>
      </c>
      <c r="W203" s="134">
        <v>14.046312</v>
      </c>
      <c r="X203" s="78">
        <v>13.838288</v>
      </c>
      <c r="Y203" s="134">
        <v>13.667903000000001</v>
      </c>
      <c r="Z203" s="78">
        <v>13.311055</v>
      </c>
      <c r="AA203" s="134">
        <v>13.111621</v>
      </c>
      <c r="AB203" s="78">
        <v>12.968405000000001</v>
      </c>
      <c r="AC203" s="134">
        <v>12.797394000000001</v>
      </c>
      <c r="AD203" s="78">
        <v>12.641695</v>
      </c>
      <c r="AE203" s="134">
        <v>12.471078</v>
      </c>
      <c r="AF203" s="78">
        <v>12.172031</v>
      </c>
      <c r="AG203" s="134">
        <v>11.996352</v>
      </c>
      <c r="AH203" s="78">
        <v>11.879049999999999</v>
      </c>
      <c r="AI203" s="134">
        <v>11.724791</v>
      </c>
      <c r="AJ203" s="78">
        <v>11.588993</v>
      </c>
      <c r="AK203" s="134">
        <v>11.453314000000001</v>
      </c>
      <c r="AL203" s="78">
        <v>11.321787</v>
      </c>
      <c r="AM203" s="134">
        <v>11.203697</v>
      </c>
      <c r="AN203" s="78">
        <v>11.082236999999999</v>
      </c>
      <c r="AO203" s="134">
        <v>10.974076999999999</v>
      </c>
      <c r="AP203" s="78">
        <v>10.863756</v>
      </c>
      <c r="AQ203" s="134">
        <v>10.757428000000001</v>
      </c>
    </row>
    <row r="224" spans="2:43" x14ac:dyDescent="0.25">
      <c r="B224" s="47" t="s">
        <v>4</v>
      </c>
      <c r="C224" s="47">
        <v>5</v>
      </c>
      <c r="D224" s="47"/>
      <c r="E224" s="47"/>
      <c r="F224" s="47"/>
      <c r="G224" s="21"/>
      <c r="H224" s="47"/>
      <c r="I224" s="21"/>
      <c r="J224" s="47"/>
      <c r="K224" s="21"/>
      <c r="L224" s="47"/>
      <c r="M224" s="21"/>
      <c r="N224" s="47"/>
      <c r="O224" s="21"/>
      <c r="P224" s="47"/>
      <c r="Q224" s="21"/>
      <c r="R224" s="47"/>
      <c r="S224" s="21"/>
      <c r="T224" s="47"/>
      <c r="U224" s="21"/>
      <c r="V224" s="47"/>
      <c r="W224" s="21"/>
      <c r="X224" s="47"/>
      <c r="Y224" s="21"/>
      <c r="Z224" s="47"/>
      <c r="AA224" s="21"/>
      <c r="AB224" s="47"/>
      <c r="AC224" s="21"/>
      <c r="AD224" s="47"/>
      <c r="AE224" s="21"/>
      <c r="AF224" s="47"/>
      <c r="AG224" s="21"/>
      <c r="AH224" s="47"/>
      <c r="AI224" s="21"/>
      <c r="AJ224" s="47"/>
      <c r="AK224" s="21"/>
      <c r="AL224" s="47"/>
      <c r="AM224" s="21"/>
      <c r="AN224" s="47"/>
      <c r="AO224" s="21"/>
      <c r="AP224" s="47"/>
      <c r="AQ224" s="21"/>
    </row>
    <row r="225" spans="2:43" x14ac:dyDescent="0.25">
      <c r="B225" s="1" t="s">
        <v>1</v>
      </c>
      <c r="C225" s="1">
        <v>1.8</v>
      </c>
      <c r="D225" s="2">
        <v>1.85</v>
      </c>
      <c r="E225" s="2">
        <v>1.9</v>
      </c>
      <c r="F225" s="2">
        <v>1.95</v>
      </c>
      <c r="G225" s="22">
        <v>2</v>
      </c>
      <c r="H225" s="2">
        <v>2.0499999999999998</v>
      </c>
      <c r="I225" s="22">
        <v>2.1</v>
      </c>
      <c r="J225" s="2">
        <v>2.15</v>
      </c>
      <c r="K225" s="22">
        <v>2.2000000000000002</v>
      </c>
      <c r="L225" s="2">
        <v>2.25</v>
      </c>
      <c r="M225" s="22">
        <v>2.2999999999999998</v>
      </c>
      <c r="N225" s="2">
        <v>2.35</v>
      </c>
      <c r="O225" s="22">
        <v>2.4</v>
      </c>
      <c r="P225" s="2">
        <v>2.4500000000000002</v>
      </c>
      <c r="Q225" s="22">
        <v>2.5</v>
      </c>
      <c r="R225" s="2">
        <v>2.5499999999999998</v>
      </c>
      <c r="S225" s="22">
        <v>2.6</v>
      </c>
      <c r="T225" s="2">
        <v>2.65</v>
      </c>
      <c r="U225" s="22">
        <v>2.7</v>
      </c>
      <c r="V225" s="2">
        <v>2.75</v>
      </c>
      <c r="W225" s="22">
        <v>2.8</v>
      </c>
      <c r="X225" s="2">
        <v>2.85</v>
      </c>
      <c r="Y225" s="22">
        <v>2.9</v>
      </c>
      <c r="Z225" s="2">
        <v>2.95</v>
      </c>
      <c r="AA225" s="22">
        <v>3</v>
      </c>
      <c r="AB225" s="2">
        <v>3.05</v>
      </c>
      <c r="AC225" s="22">
        <v>3.1</v>
      </c>
      <c r="AD225" s="2">
        <v>3.15</v>
      </c>
      <c r="AE225" s="22">
        <v>3.2</v>
      </c>
      <c r="AF225" s="2">
        <v>3.25</v>
      </c>
      <c r="AG225" s="22">
        <v>3.3</v>
      </c>
      <c r="AH225" s="2">
        <v>3.35</v>
      </c>
      <c r="AI225" s="22">
        <v>3.4</v>
      </c>
      <c r="AJ225" s="2">
        <v>3.45</v>
      </c>
      <c r="AK225" s="22">
        <v>3.5</v>
      </c>
      <c r="AL225" s="2">
        <v>3.55</v>
      </c>
      <c r="AM225" s="22">
        <v>3.6</v>
      </c>
      <c r="AN225" s="2">
        <v>3.65</v>
      </c>
      <c r="AO225" s="22">
        <v>3.7</v>
      </c>
      <c r="AP225" s="2">
        <v>3.75</v>
      </c>
      <c r="AQ225" s="22">
        <v>3.8</v>
      </c>
    </row>
    <row r="226" spans="2:43" x14ac:dyDescent="0.25">
      <c r="B226" s="1" t="s">
        <v>3</v>
      </c>
      <c r="C226" s="3">
        <f>AVERAGE(C227,C228,C229,C230,C231,C232)</f>
        <v>18.722993500000001</v>
      </c>
      <c r="D226" s="3">
        <f t="shared" ref="D226" si="281">AVERAGE(D227,D228,D229)</f>
        <v>18.90350033333333</v>
      </c>
      <c r="E226" s="3">
        <f t="shared" ref="E226" si="282">AVERAGE(E227,E228,E229)</f>
        <v>18.911113666666669</v>
      </c>
      <c r="F226" s="3">
        <f t="shared" ref="F226" si="283">AVERAGE(F227,F228,F229)</f>
        <v>18.908940000000001</v>
      </c>
      <c r="G226" s="34">
        <f t="shared" ref="G226" si="284">AVERAGE(G227,G228,G229)</f>
        <v>18.906539000000002</v>
      </c>
      <c r="H226" s="3">
        <f t="shared" ref="H226" si="285">AVERAGE(H227,H228,H229)</f>
        <v>16.856847000000002</v>
      </c>
      <c r="I226" s="34">
        <f t="shared" ref="I226" si="286">AVERAGE(I227,I228,I229)</f>
        <v>16.429681333333331</v>
      </c>
      <c r="J226" s="3">
        <f t="shared" ref="J226" si="287">AVERAGE(J227,J228,J229)</f>
        <v>16.182931666666665</v>
      </c>
      <c r="K226" s="34">
        <f t="shared" ref="K226" si="288">AVERAGE(K227,K228,K229)</f>
        <v>15.742962333333333</v>
      </c>
      <c r="L226" s="3">
        <f t="shared" ref="L226" si="289">AVERAGE(L227,L228,L229)</f>
        <v>15.501492666666666</v>
      </c>
      <c r="M226" s="34">
        <f t="shared" ref="M226" si="290">AVERAGE(M227,M228,M229)</f>
        <v>15.201002000000001</v>
      </c>
      <c r="N226" s="3">
        <f t="shared" ref="N226" si="291">AVERAGE(N227,N228,N229)</f>
        <v>14.938431333333334</v>
      </c>
      <c r="O226" s="34">
        <f t="shared" ref="O226" si="292">AVERAGE(O227,O228,O229)</f>
        <v>14.726690666666668</v>
      </c>
      <c r="P226" s="3">
        <f t="shared" ref="P226" si="293">AVERAGE(P227,P228,P229)</f>
        <v>14.376780666666667</v>
      </c>
      <c r="Q226" s="34">
        <f t="shared" ref="Q226" si="294">AVERAGE(Q227,Q228,Q229)</f>
        <v>14.212122666666668</v>
      </c>
      <c r="R226" s="3">
        <f t="shared" ref="R226" si="295">AVERAGE(R227,R228,R229)</f>
        <v>13.995390333333333</v>
      </c>
      <c r="S226" s="34">
        <f t="shared" ref="S226" si="296">AVERAGE(S227,S228,S229)</f>
        <v>13.792832666666667</v>
      </c>
      <c r="T226" s="3">
        <f t="shared" ref="T226" si="297">AVERAGE(T227,T228,T229)</f>
        <v>13.469899333333332</v>
      </c>
      <c r="U226" s="34">
        <f t="shared" ref="U226" si="298">AVERAGE(U227,U228,U229)</f>
        <v>13.211327333333335</v>
      </c>
      <c r="V226" s="3">
        <f t="shared" ref="V226" si="299">AVERAGE(V227,V228,V229)</f>
        <v>13.025896666666668</v>
      </c>
      <c r="W226" s="34">
        <f t="shared" ref="W226" si="300">AVERAGE(W227,W228,W229)</f>
        <v>12.841069333333332</v>
      </c>
      <c r="X226" s="3">
        <f t="shared" ref="X226" si="301">AVERAGE(X227,X228,X229)</f>
        <v>12.662300999999999</v>
      </c>
      <c r="Y226" s="34">
        <f t="shared" ref="Y226" si="302">AVERAGE(Y227,Y228,Y229)</f>
        <v>12.401766666666667</v>
      </c>
      <c r="Z226" s="3">
        <f t="shared" ref="Z226" si="303">AVERAGE(Z227,Z228,Z229)</f>
        <v>12.165961999999999</v>
      </c>
      <c r="AA226" s="34">
        <f t="shared" ref="AA226" si="304">AVERAGE(AA227,AA228,AA229)</f>
        <v>12.001252333333333</v>
      </c>
      <c r="AB226" s="3">
        <f t="shared" ref="AB226" si="305">AVERAGE(AB227,AB228,AB229)</f>
        <v>11.858888</v>
      </c>
      <c r="AC226" s="34">
        <f t="shared" ref="AC226" si="306">AVERAGE(AC227,AC228,AC229)</f>
        <v>11.696958</v>
      </c>
      <c r="AD226" s="3">
        <f t="shared" ref="AD226" si="307">AVERAGE(AD227,AD228,AD229)</f>
        <v>11.560008666666667</v>
      </c>
      <c r="AE226" s="34">
        <f t="shared" ref="AE226" si="308">AVERAGE(AE227,AE228,AE229)</f>
        <v>11.314090666666667</v>
      </c>
      <c r="AF226" s="3">
        <f t="shared" ref="AF226" si="309">AVERAGE(AF227,AF228,AF229)</f>
        <v>11.126716333333334</v>
      </c>
      <c r="AG226" s="34">
        <f t="shared" ref="AG226" si="310">AVERAGE(AG227,AG228,AG229)</f>
        <v>10.982005000000001</v>
      </c>
      <c r="AH226" s="3">
        <f t="shared" ref="AH226" si="311">AVERAGE(AH227,AH228,AH229)</f>
        <v>10.856454000000001</v>
      </c>
      <c r="AI226" s="34">
        <f t="shared" ref="AI226" si="312">AVERAGE(AI227,AI228,AI229)</f>
        <v>10.798957000000001</v>
      </c>
      <c r="AJ226" s="3">
        <f t="shared" ref="AJ226" si="313">AVERAGE(AJ227,AJ228,AJ229)</f>
        <v>10.600892666666667</v>
      </c>
      <c r="AK226" s="34">
        <f t="shared" ref="AK226" si="314">AVERAGE(AK227,AK228,AK229)</f>
        <v>10.557536666666666</v>
      </c>
      <c r="AL226" s="3">
        <f t="shared" ref="AL226" si="315">AVERAGE(AL227,AL228,AL229)</f>
        <v>10.430546999999999</v>
      </c>
      <c r="AM226" s="34">
        <f t="shared" ref="AM226" si="316">AVERAGE(AM227,AM228,AM229)</f>
        <v>10.326085333333333</v>
      </c>
      <c r="AN226" s="3">
        <f t="shared" ref="AN226" si="317">AVERAGE(AN227,AN228,AN229)</f>
        <v>10.211962999999999</v>
      </c>
      <c r="AO226" s="34">
        <f t="shared" ref="AO226" si="318">AVERAGE(AO227,AO228,AO229)</f>
        <v>10.116718333333333</v>
      </c>
      <c r="AP226" s="3">
        <f t="shared" ref="AP226" si="319">AVERAGE(AP227,AP228,AP229)</f>
        <v>10.000872000000001</v>
      </c>
      <c r="AQ226" s="34">
        <f t="shared" ref="AQ226" si="320">AVERAGE(AQ227,AQ228,AQ229)</f>
        <v>9.9108169999999998</v>
      </c>
    </row>
    <row r="227" spans="2:43" x14ac:dyDescent="0.25">
      <c r="B227" s="1">
        <v>1</v>
      </c>
      <c r="C227" s="79">
        <v>18.963017000000001</v>
      </c>
      <c r="D227" s="79">
        <v>18.937711</v>
      </c>
      <c r="E227" s="79">
        <v>18.949168</v>
      </c>
      <c r="F227" s="79">
        <v>18.956177</v>
      </c>
      <c r="G227" s="134">
        <v>18.963622000000001</v>
      </c>
      <c r="H227" s="79">
        <v>16.877509</v>
      </c>
      <c r="I227" s="134">
        <v>16.476852000000001</v>
      </c>
      <c r="J227" s="79">
        <v>16.213059999999999</v>
      </c>
      <c r="K227" s="134">
        <v>15.768361000000001</v>
      </c>
      <c r="L227" s="79">
        <v>15.521198999999999</v>
      </c>
      <c r="M227" s="134">
        <v>15.285439999999999</v>
      </c>
      <c r="N227" s="79">
        <v>15.180948000000001</v>
      </c>
      <c r="O227" s="134">
        <v>14.972388</v>
      </c>
      <c r="P227" s="79">
        <v>14.749382000000001</v>
      </c>
      <c r="Q227" s="134">
        <v>14.33928</v>
      </c>
      <c r="R227" s="79">
        <v>14.119744000000001</v>
      </c>
      <c r="S227" s="134">
        <v>13.923486</v>
      </c>
      <c r="T227" s="79">
        <v>13.731949</v>
      </c>
      <c r="U227" s="134">
        <v>13.338259000000001</v>
      </c>
      <c r="V227" s="79">
        <v>13.143542999999999</v>
      </c>
      <c r="W227" s="134">
        <v>12.959258999999999</v>
      </c>
      <c r="X227" s="79">
        <v>12.775914999999999</v>
      </c>
      <c r="Y227" s="134">
        <v>12.62567</v>
      </c>
      <c r="Z227" s="79">
        <v>12.270693</v>
      </c>
      <c r="AA227" s="134">
        <v>12.115607000000001</v>
      </c>
      <c r="AB227" s="79">
        <v>11.962408</v>
      </c>
      <c r="AC227" s="134">
        <v>11.813242000000001</v>
      </c>
      <c r="AD227" s="79">
        <v>11.664861999999999</v>
      </c>
      <c r="AE227" s="134">
        <v>11.508330000000001</v>
      </c>
      <c r="AF227" s="79">
        <v>11.231608</v>
      </c>
      <c r="AG227" s="134">
        <v>11.082794</v>
      </c>
      <c r="AH227" s="79">
        <v>10.960508000000001</v>
      </c>
      <c r="AI227" s="134">
        <v>10.812184</v>
      </c>
      <c r="AJ227" s="79">
        <v>10.696432</v>
      </c>
      <c r="AK227" s="134">
        <v>10.571336000000001</v>
      </c>
      <c r="AL227" s="79">
        <v>10.444095000000001</v>
      </c>
      <c r="AM227" s="134">
        <v>10.332349000000001</v>
      </c>
      <c r="AN227" s="79">
        <v>10.228873</v>
      </c>
      <c r="AO227" s="134">
        <v>10.128491</v>
      </c>
      <c r="AP227" s="79">
        <v>10.018081</v>
      </c>
      <c r="AQ227" s="134">
        <v>9.922485</v>
      </c>
    </row>
    <row r="228" spans="2:43" x14ac:dyDescent="0.25">
      <c r="B228" s="1">
        <v>2</v>
      </c>
      <c r="C228" s="80">
        <v>18.796503000000001</v>
      </c>
      <c r="D228" s="80">
        <v>18.766801999999998</v>
      </c>
      <c r="E228" s="80">
        <v>18.779768000000001</v>
      </c>
      <c r="F228" s="80">
        <v>18.771284999999999</v>
      </c>
      <c r="G228" s="134">
        <v>18.756972000000001</v>
      </c>
      <c r="H228" s="80">
        <v>16.742080999999999</v>
      </c>
      <c r="I228" s="134">
        <v>16.31296</v>
      </c>
      <c r="J228" s="80">
        <v>16.082812000000001</v>
      </c>
      <c r="K228" s="134">
        <v>15.646405</v>
      </c>
      <c r="L228" s="80">
        <v>15.40394</v>
      </c>
      <c r="M228" s="134">
        <v>15.177413</v>
      </c>
      <c r="N228" s="80">
        <v>14.727150999999999</v>
      </c>
      <c r="O228" s="134">
        <v>14.517564</v>
      </c>
      <c r="P228" s="80">
        <v>14.097642</v>
      </c>
      <c r="Q228" s="134">
        <v>13.906597</v>
      </c>
      <c r="R228" s="80">
        <v>13.694342000000001</v>
      </c>
      <c r="S228" s="134">
        <v>13.486632999999999</v>
      </c>
      <c r="T228" s="80">
        <v>13.107841000000001</v>
      </c>
      <c r="U228" s="134">
        <v>12.931841</v>
      </c>
      <c r="V228" s="80">
        <v>12.747852999999999</v>
      </c>
      <c r="W228" s="134">
        <v>12.558555999999999</v>
      </c>
      <c r="X228" s="80">
        <v>12.393729</v>
      </c>
      <c r="Y228" s="134">
        <v>12.074187999999999</v>
      </c>
      <c r="Z228" s="80">
        <v>11.900451</v>
      </c>
      <c r="AA228" s="134">
        <v>11.734059</v>
      </c>
      <c r="AB228" s="80">
        <v>11.592969</v>
      </c>
      <c r="AC228" s="134">
        <v>11.438378</v>
      </c>
      <c r="AD228" s="80">
        <v>11.301291000000001</v>
      </c>
      <c r="AE228" s="134">
        <v>11.017405</v>
      </c>
      <c r="AF228" s="80">
        <v>10.877433999999999</v>
      </c>
      <c r="AG228" s="134">
        <v>10.734461</v>
      </c>
      <c r="AH228" s="80">
        <v>10.600350000000001</v>
      </c>
      <c r="AI228" s="134">
        <v>10.717297</v>
      </c>
      <c r="AJ228" s="80">
        <v>10.362762999999999</v>
      </c>
      <c r="AK228" s="134">
        <v>10.488395000000001</v>
      </c>
      <c r="AL228" s="80">
        <v>10.350187999999999</v>
      </c>
      <c r="AM228" s="134">
        <v>10.253626000000001</v>
      </c>
      <c r="AN228" s="80">
        <v>10.12294</v>
      </c>
      <c r="AO228" s="134">
        <v>10.040172999999999</v>
      </c>
      <c r="AP228" s="80">
        <v>9.9153769999999994</v>
      </c>
      <c r="AQ228" s="134">
        <v>9.8345350000000007</v>
      </c>
    </row>
    <row r="229" spans="2:43" x14ac:dyDescent="0.25">
      <c r="B229" s="1">
        <v>3</v>
      </c>
      <c r="C229" s="81">
        <v>19.032198000000001</v>
      </c>
      <c r="D229" s="81">
        <v>19.005987999999999</v>
      </c>
      <c r="E229" s="81">
        <v>19.004404999999998</v>
      </c>
      <c r="F229" s="81">
        <v>18.999358000000001</v>
      </c>
      <c r="G229" s="134">
        <v>18.999023000000001</v>
      </c>
      <c r="H229" s="81">
        <v>16.950951</v>
      </c>
      <c r="I229" s="134">
        <v>16.499231999999999</v>
      </c>
      <c r="J229" s="81">
        <v>16.252922999999999</v>
      </c>
      <c r="K229" s="134">
        <v>15.814121</v>
      </c>
      <c r="L229" s="81">
        <v>15.579338999999999</v>
      </c>
      <c r="M229" s="134">
        <v>15.140153</v>
      </c>
      <c r="N229" s="81">
        <v>14.907195</v>
      </c>
      <c r="O229" s="134">
        <v>14.69012</v>
      </c>
      <c r="P229" s="81">
        <v>14.283318</v>
      </c>
      <c r="Q229" s="134">
        <v>14.390491000000001</v>
      </c>
      <c r="R229" s="81">
        <v>14.172084999999999</v>
      </c>
      <c r="S229" s="134">
        <v>13.968379000000001</v>
      </c>
      <c r="T229" s="81">
        <v>13.569908</v>
      </c>
      <c r="U229" s="134">
        <v>13.363882</v>
      </c>
      <c r="V229" s="81">
        <v>13.186294</v>
      </c>
      <c r="W229" s="134">
        <v>13.005393</v>
      </c>
      <c r="X229" s="81">
        <v>12.817259</v>
      </c>
      <c r="Y229" s="134">
        <v>12.505442</v>
      </c>
      <c r="Z229" s="81">
        <v>12.326741999999999</v>
      </c>
      <c r="AA229" s="134">
        <v>12.154090999999999</v>
      </c>
      <c r="AB229" s="81">
        <v>12.021286999999999</v>
      </c>
      <c r="AC229" s="134">
        <v>11.839254</v>
      </c>
      <c r="AD229" s="81">
        <v>11.713873</v>
      </c>
      <c r="AE229" s="134">
        <v>11.416537</v>
      </c>
      <c r="AF229" s="81">
        <v>11.271107000000001</v>
      </c>
      <c r="AG229" s="134">
        <v>11.12876</v>
      </c>
      <c r="AH229" s="81">
        <v>11.008504</v>
      </c>
      <c r="AI229" s="134">
        <v>10.86739</v>
      </c>
      <c r="AJ229" s="81">
        <v>10.743482999999999</v>
      </c>
      <c r="AK229" s="134">
        <v>10.612879</v>
      </c>
      <c r="AL229" s="81">
        <v>10.497358</v>
      </c>
      <c r="AM229" s="134">
        <v>10.392281000000001</v>
      </c>
      <c r="AN229" s="81">
        <v>10.284076000000001</v>
      </c>
      <c r="AO229" s="134">
        <v>10.181490999999999</v>
      </c>
      <c r="AP229" s="81">
        <v>10.069158</v>
      </c>
      <c r="AQ229" s="134">
        <v>9.9754310000000004</v>
      </c>
    </row>
    <row r="230" spans="2:43" x14ac:dyDescent="0.25">
      <c r="B230" s="32">
        <v>4</v>
      </c>
      <c r="C230" s="82">
        <v>17.290526</v>
      </c>
      <c r="D230" s="82">
        <v>17.296123999999999</v>
      </c>
      <c r="E230" s="82">
        <v>17.296519</v>
      </c>
      <c r="F230" s="82">
        <v>17.290092999999999</v>
      </c>
      <c r="G230" s="134">
        <v>17.298646999999999</v>
      </c>
      <c r="H230" s="82">
        <v>15.388628000000001</v>
      </c>
      <c r="I230" s="134">
        <v>14.979426</v>
      </c>
      <c r="J230" s="82">
        <v>14.75773</v>
      </c>
      <c r="K230" s="134">
        <v>14.349266</v>
      </c>
      <c r="L230" s="82">
        <v>14.125119</v>
      </c>
      <c r="M230" s="134">
        <v>13.940168999999999</v>
      </c>
      <c r="N230" s="82">
        <v>13.854732</v>
      </c>
      <c r="O230" s="134">
        <v>13.650178</v>
      </c>
      <c r="P230" s="82">
        <v>13.270515</v>
      </c>
      <c r="Q230" s="134">
        <v>13.066952000000001</v>
      </c>
      <c r="R230" s="82">
        <v>12.866547000000001</v>
      </c>
      <c r="S230" s="134">
        <v>12.684901999999999</v>
      </c>
      <c r="T230" s="82">
        <v>12.336760999999999</v>
      </c>
      <c r="U230" s="134">
        <v>12.155582000000001</v>
      </c>
      <c r="V230" s="82">
        <v>11.974119999999999</v>
      </c>
      <c r="W230" s="134">
        <v>11.812911</v>
      </c>
      <c r="X230" s="82">
        <v>11.656769000000001</v>
      </c>
      <c r="Y230" s="134">
        <v>11.343507000000001</v>
      </c>
      <c r="Z230" s="82">
        <v>11.189346</v>
      </c>
      <c r="AA230" s="134">
        <v>11.048714</v>
      </c>
      <c r="AB230" s="82">
        <v>10.906283</v>
      </c>
      <c r="AC230" s="134">
        <v>10.766683</v>
      </c>
      <c r="AD230" s="82">
        <v>10.635667</v>
      </c>
      <c r="AE230" s="134">
        <v>10.367668999999999</v>
      </c>
      <c r="AF230" s="82">
        <v>10.244104999999999</v>
      </c>
      <c r="AG230" s="134">
        <v>10.107018</v>
      </c>
      <c r="AH230" s="82">
        <v>9.9967410000000001</v>
      </c>
      <c r="AI230" s="134">
        <v>9.8622960000000006</v>
      </c>
      <c r="AJ230" s="82">
        <v>9.7533750000000001</v>
      </c>
      <c r="AK230" s="134">
        <v>9.6384830000000008</v>
      </c>
      <c r="AL230" s="82">
        <v>9.5336929999999995</v>
      </c>
      <c r="AM230" s="134">
        <v>9.4389669999999999</v>
      </c>
      <c r="AN230" s="82">
        <v>9.3439230000000002</v>
      </c>
      <c r="AO230" s="134">
        <v>9.2439630000000008</v>
      </c>
      <c r="AP230" s="82">
        <v>9.1372280000000003</v>
      </c>
      <c r="AQ230" s="134">
        <v>9.0567360000000008</v>
      </c>
    </row>
    <row r="231" spans="2:43" x14ac:dyDescent="0.25">
      <c r="B231" s="32">
        <v>5</v>
      </c>
      <c r="C231" s="83">
        <v>19.182690999999998</v>
      </c>
      <c r="D231" s="83">
        <v>19.162614999999999</v>
      </c>
      <c r="E231" s="83">
        <v>19.167328000000001</v>
      </c>
      <c r="F231" s="83">
        <v>19.143193</v>
      </c>
      <c r="G231" s="134">
        <v>19.154443000000001</v>
      </c>
      <c r="H231" s="83">
        <v>17.112251000000001</v>
      </c>
      <c r="I231" s="134">
        <v>16.658185</v>
      </c>
      <c r="J231" s="83">
        <v>16.41189</v>
      </c>
      <c r="K231" s="134">
        <v>15.977774999999999</v>
      </c>
      <c r="L231" s="83">
        <v>15.713324</v>
      </c>
      <c r="M231" s="134">
        <v>15.481833999999999</v>
      </c>
      <c r="N231" s="83">
        <v>15.049552</v>
      </c>
      <c r="O231" s="134">
        <v>14.834254</v>
      </c>
      <c r="P231" s="83">
        <v>14.597719</v>
      </c>
      <c r="Q231" s="134">
        <v>14.199237999999999</v>
      </c>
      <c r="R231" s="83">
        <v>13.993838</v>
      </c>
      <c r="S231" s="134">
        <v>13.776325999999999</v>
      </c>
      <c r="T231" s="83">
        <v>13.588312999999999</v>
      </c>
      <c r="U231" s="134">
        <v>13.202157</v>
      </c>
      <c r="V231" s="83">
        <v>13.013207</v>
      </c>
      <c r="W231" s="134">
        <v>12.828989</v>
      </c>
      <c r="X231" s="83">
        <v>12.654348000000001</v>
      </c>
      <c r="Y231" s="134">
        <v>12.484038999999999</v>
      </c>
      <c r="Z231" s="83">
        <v>12.170109</v>
      </c>
      <c r="AA231" s="134">
        <v>11.999864000000001</v>
      </c>
      <c r="AB231" s="83">
        <v>11.834571</v>
      </c>
      <c r="AC231" s="134">
        <v>11.688205</v>
      </c>
      <c r="AD231" s="83">
        <v>11.537013</v>
      </c>
      <c r="AE231" s="134">
        <v>11.247522</v>
      </c>
      <c r="AF231" s="83">
        <v>11.123156</v>
      </c>
      <c r="AG231" s="134">
        <v>10.973561999999999</v>
      </c>
      <c r="AH231" s="83">
        <v>10.840296</v>
      </c>
      <c r="AI231" s="134">
        <v>10.714079</v>
      </c>
      <c r="AJ231" s="83">
        <v>10.579738000000001</v>
      </c>
      <c r="AK231" s="134">
        <v>10.466227</v>
      </c>
      <c r="AL231" s="83">
        <v>10.349427</v>
      </c>
      <c r="AM231" s="134">
        <v>10.237714</v>
      </c>
      <c r="AN231" s="83">
        <v>10.121757000000001</v>
      </c>
      <c r="AO231" s="134">
        <v>10.018283</v>
      </c>
      <c r="AP231" s="83">
        <v>10.148906</v>
      </c>
      <c r="AQ231" s="134">
        <v>10.053511</v>
      </c>
    </row>
    <row r="232" spans="2:43" x14ac:dyDescent="0.25">
      <c r="B232" s="32">
        <v>6</v>
      </c>
      <c r="C232" s="84">
        <v>19.073025999999999</v>
      </c>
      <c r="D232" s="84">
        <v>19.519376999999999</v>
      </c>
      <c r="E232" s="84">
        <v>19.505344999999998</v>
      </c>
      <c r="F232" s="84">
        <v>19.492315000000001</v>
      </c>
      <c r="G232" s="134">
        <v>19.493879</v>
      </c>
      <c r="H232" s="84">
        <v>17.410565999999999</v>
      </c>
      <c r="I232" s="134">
        <v>16.974266</v>
      </c>
      <c r="J232" s="84">
        <v>16.719719999999999</v>
      </c>
      <c r="K232" s="134">
        <v>16.272966</v>
      </c>
      <c r="L232" s="84">
        <v>16.017457</v>
      </c>
      <c r="M232" s="134">
        <v>15.800229</v>
      </c>
      <c r="N232" s="84">
        <v>15.335509</v>
      </c>
      <c r="O232" s="134">
        <v>15.102059000000001</v>
      </c>
      <c r="P232" s="84">
        <v>14.878631</v>
      </c>
      <c r="Q232" s="134">
        <v>14.46433</v>
      </c>
      <c r="R232" s="84">
        <v>14.243741999999999</v>
      </c>
      <c r="S232" s="134">
        <v>14.044169999999999</v>
      </c>
      <c r="T232" s="84">
        <v>13.854825999999999</v>
      </c>
      <c r="U232" s="134">
        <v>13.451155</v>
      </c>
      <c r="V232" s="84">
        <v>13.269437999999999</v>
      </c>
      <c r="W232" s="134">
        <v>13.066458000000001</v>
      </c>
      <c r="X232" s="84">
        <v>12.902293</v>
      </c>
      <c r="Y232" s="134">
        <v>12.746054000000001</v>
      </c>
      <c r="Z232" s="84">
        <v>12.39052</v>
      </c>
      <c r="AA232" s="134">
        <v>12.234766</v>
      </c>
      <c r="AB232" s="84">
        <v>12.065242</v>
      </c>
      <c r="AC232" s="134">
        <v>11.910354</v>
      </c>
      <c r="AD232" s="84">
        <v>11.765863</v>
      </c>
      <c r="AE232" s="134">
        <v>11.63654</v>
      </c>
      <c r="AF232" s="84">
        <v>11.335126000000001</v>
      </c>
      <c r="AG232" s="134">
        <v>11.187198</v>
      </c>
      <c r="AH232" s="84">
        <v>11.051902</v>
      </c>
      <c r="AI232" s="134">
        <v>10.920451</v>
      </c>
      <c r="AJ232" s="84">
        <v>10.808132000000001</v>
      </c>
      <c r="AK232" s="134">
        <v>10.671897</v>
      </c>
      <c r="AL232" s="84">
        <v>10.557304999999999</v>
      </c>
      <c r="AM232" s="134">
        <v>10.44631</v>
      </c>
      <c r="AN232" s="84">
        <v>10.333174</v>
      </c>
      <c r="AO232" s="134">
        <v>10.235636</v>
      </c>
      <c r="AP232" s="84">
        <v>10.135812</v>
      </c>
      <c r="AQ232" s="134">
        <v>10.034209000000001</v>
      </c>
    </row>
    <row r="251" spans="2:43" x14ac:dyDescent="0.25">
      <c r="B251" s="47" t="s">
        <v>4</v>
      </c>
      <c r="C251" s="47">
        <v>4</v>
      </c>
      <c r="D251" s="47"/>
      <c r="E251" s="47"/>
      <c r="F251" s="47"/>
      <c r="G251" s="21"/>
      <c r="H251" s="47"/>
      <c r="I251" s="21"/>
      <c r="J251" s="47"/>
      <c r="K251" s="21"/>
      <c r="L251" s="47"/>
      <c r="M251" s="21"/>
      <c r="N251" s="47"/>
      <c r="O251" s="21"/>
      <c r="P251" s="47"/>
      <c r="Q251" s="21"/>
      <c r="R251" s="47"/>
      <c r="S251" s="21"/>
      <c r="T251" s="47"/>
      <c r="U251" s="21"/>
      <c r="V251" s="47"/>
      <c r="W251" s="21"/>
      <c r="X251" s="47"/>
      <c r="Y251" s="21"/>
      <c r="Z251" s="47"/>
      <c r="AA251" s="21"/>
      <c r="AB251" s="47"/>
      <c r="AC251" s="21"/>
      <c r="AD251" s="47"/>
      <c r="AE251" s="21"/>
      <c r="AF251" s="47"/>
      <c r="AG251" s="21"/>
      <c r="AH251" s="47"/>
      <c r="AI251" s="21"/>
      <c r="AJ251" s="47"/>
      <c r="AK251" s="21"/>
      <c r="AL251" s="47"/>
      <c r="AM251" s="21"/>
      <c r="AN251" s="47"/>
      <c r="AO251" s="21"/>
      <c r="AP251" s="47"/>
      <c r="AQ251" s="21"/>
    </row>
    <row r="252" spans="2:43" x14ac:dyDescent="0.25">
      <c r="B252" s="1" t="s">
        <v>1</v>
      </c>
      <c r="C252" s="1">
        <v>1.8</v>
      </c>
      <c r="D252" s="2">
        <v>1.85</v>
      </c>
      <c r="E252" s="2">
        <v>1.9</v>
      </c>
      <c r="F252" s="2">
        <v>1.95</v>
      </c>
      <c r="G252" s="22">
        <v>2</v>
      </c>
      <c r="H252" s="2">
        <v>2.0499999999999998</v>
      </c>
      <c r="I252" s="22">
        <v>2.1</v>
      </c>
      <c r="J252" s="2">
        <v>2.15</v>
      </c>
      <c r="K252" s="22">
        <v>2.2000000000000002</v>
      </c>
      <c r="L252" s="2">
        <v>2.25</v>
      </c>
      <c r="M252" s="22">
        <v>2.2999999999999998</v>
      </c>
      <c r="N252" s="2">
        <v>2.35</v>
      </c>
      <c r="O252" s="22">
        <v>2.4</v>
      </c>
      <c r="P252" s="2">
        <v>2.4500000000000002</v>
      </c>
      <c r="Q252" s="22">
        <v>2.5</v>
      </c>
      <c r="R252" s="2">
        <v>2.5499999999999998</v>
      </c>
      <c r="S252" s="22">
        <v>2.6</v>
      </c>
      <c r="T252" s="2">
        <v>2.65</v>
      </c>
      <c r="U252" s="22">
        <v>2.7</v>
      </c>
      <c r="V252" s="2">
        <v>2.75</v>
      </c>
      <c r="W252" s="22">
        <v>2.8</v>
      </c>
      <c r="X252" s="2">
        <v>2.85</v>
      </c>
      <c r="Y252" s="22">
        <v>2.9</v>
      </c>
      <c r="Z252" s="2">
        <v>2.95</v>
      </c>
      <c r="AA252" s="22">
        <v>3</v>
      </c>
      <c r="AB252" s="2">
        <v>3.05</v>
      </c>
      <c r="AC252" s="22">
        <v>3.1</v>
      </c>
      <c r="AD252" s="2">
        <v>3.15</v>
      </c>
      <c r="AE252" s="22">
        <v>3.2</v>
      </c>
      <c r="AF252" s="2">
        <v>3.25</v>
      </c>
      <c r="AG252" s="22">
        <v>3.3</v>
      </c>
      <c r="AH252" s="2">
        <v>3.35</v>
      </c>
      <c r="AI252" s="22">
        <v>3.4</v>
      </c>
      <c r="AJ252" s="2">
        <v>3.45</v>
      </c>
      <c r="AK252" s="22">
        <v>3.5</v>
      </c>
      <c r="AL252" s="2">
        <v>3.55</v>
      </c>
      <c r="AM252" s="22">
        <v>3.6</v>
      </c>
      <c r="AN252" s="2">
        <v>3.65</v>
      </c>
      <c r="AO252" s="22">
        <v>3.7</v>
      </c>
      <c r="AP252" s="2">
        <v>3.75</v>
      </c>
      <c r="AQ252" s="22">
        <v>3.8</v>
      </c>
    </row>
    <row r="253" spans="2:43" x14ac:dyDescent="0.25">
      <c r="B253" s="1" t="s">
        <v>3</v>
      </c>
      <c r="C253" s="3">
        <f>AVERAGE(C254,C255,C256,C257,C258,C259)</f>
        <v>17.825070333333333</v>
      </c>
      <c r="D253" s="3">
        <f t="shared" ref="D253" si="321">AVERAGE(D254,D255,D256)</f>
        <v>17.655105666666667</v>
      </c>
      <c r="E253" s="3">
        <f t="shared" ref="E253" si="322">AVERAGE(E254,E255,E256)</f>
        <v>17.649005000000002</v>
      </c>
      <c r="F253" s="3">
        <f t="shared" ref="F253" si="323">AVERAGE(F254,F255,F256)</f>
        <v>17.776602333333333</v>
      </c>
      <c r="G253" s="34">
        <f t="shared" ref="G253" si="324">AVERAGE(G254,G255,G256)</f>
        <v>17.782016666666667</v>
      </c>
      <c r="H253" s="3">
        <f t="shared" ref="H253" si="325">AVERAGE(H254,H255,H256)</f>
        <v>15.868521999999999</v>
      </c>
      <c r="I253" s="34">
        <f t="shared" ref="I253" si="326">AVERAGE(I254,I255,I256)</f>
        <v>15.442236333333332</v>
      </c>
      <c r="J253" s="3">
        <f t="shared" ref="J253" si="327">AVERAGE(J254,J255,J256)</f>
        <v>15.209949</v>
      </c>
      <c r="K253" s="34">
        <f t="shared" ref="K253" si="328">AVERAGE(K254,K255,K256)</f>
        <v>14.809437333333333</v>
      </c>
      <c r="L253" s="3">
        <f t="shared" ref="L253" si="329">AVERAGE(L254,L255,L256)</f>
        <v>14.570875333333333</v>
      </c>
      <c r="M253" s="34">
        <f t="shared" ref="M253" si="330">AVERAGE(M254,M255,M256)</f>
        <v>14.480798999999999</v>
      </c>
      <c r="N253" s="3">
        <f t="shared" ref="N253" si="331">AVERAGE(N254,N255,N256)</f>
        <v>14.063648000000001</v>
      </c>
      <c r="O253" s="34">
        <f t="shared" ref="O253" si="332">AVERAGE(O254,O255,O256)</f>
        <v>13.747476333333333</v>
      </c>
      <c r="P253" s="3">
        <f t="shared" ref="P253" si="333">AVERAGE(P254,P255,P256)</f>
        <v>13.588349333333333</v>
      </c>
      <c r="Q253" s="34">
        <f t="shared" ref="Q253" si="334">AVERAGE(Q254,Q255,Q256)</f>
        <v>13.255688999999999</v>
      </c>
      <c r="R253" s="3">
        <f t="shared" ref="R253" si="335">AVERAGE(R254,R255,R256)</f>
        <v>13.068411666666668</v>
      </c>
      <c r="S253" s="34">
        <f t="shared" ref="S253" si="336">AVERAGE(S254,S255,S256)</f>
        <v>12.873573</v>
      </c>
      <c r="T253" s="3">
        <f t="shared" ref="T253" si="337">AVERAGE(T254,T255,T256)</f>
        <v>12.645088999999999</v>
      </c>
      <c r="U253" s="34">
        <f t="shared" ref="U253" si="338">AVERAGE(U254,U255,U256)</f>
        <v>12.336715666666668</v>
      </c>
      <c r="V253" s="3">
        <f t="shared" ref="V253" si="339">AVERAGE(V254,V255,V256)</f>
        <v>12.161685333333333</v>
      </c>
      <c r="W253" s="34">
        <f t="shared" ref="W253" si="340">AVERAGE(W254,W255,W256)</f>
        <v>11.987684666666667</v>
      </c>
      <c r="X253" s="3">
        <f t="shared" ref="X253" si="341">AVERAGE(X254,X255,X256)</f>
        <v>11.832259333333333</v>
      </c>
      <c r="Y253" s="34">
        <f t="shared" ref="Y253" si="342">AVERAGE(Y254,Y255,Y256)</f>
        <v>11.624945000000002</v>
      </c>
      <c r="Z253" s="3">
        <f t="shared" ref="Z253" si="343">AVERAGE(Z254,Z255,Z256)</f>
        <v>11.369536999999999</v>
      </c>
      <c r="AA253" s="34">
        <f t="shared" ref="AA253" si="344">AVERAGE(AA254,AA255,AA256)</f>
        <v>11.216153</v>
      </c>
      <c r="AB253" s="3">
        <f t="shared" ref="AB253" si="345">AVERAGE(AB254,AB255,AB256)</f>
        <v>11.069614</v>
      </c>
      <c r="AC253" s="34">
        <f t="shared" ref="AC253" si="346">AVERAGE(AC254,AC255,AC256)</f>
        <v>10.928987333333334</v>
      </c>
      <c r="AD253" s="3">
        <f t="shared" ref="AD253" si="347">AVERAGE(AD254,AD255,AD256)</f>
        <v>10.785274999999999</v>
      </c>
      <c r="AE253" s="34">
        <f t="shared" ref="AE253" si="348">AVERAGE(AE254,AE255,AE256)</f>
        <v>10.573503333333335</v>
      </c>
      <c r="AF253" s="3">
        <f t="shared" ref="AF253" si="349">AVERAGE(AF254,AF255,AF256)</f>
        <v>10.392754666666667</v>
      </c>
      <c r="AG253" s="34">
        <f t="shared" ref="AG253" si="350">AVERAGE(AG254,AG255,AG256)</f>
        <v>10.258528999999999</v>
      </c>
      <c r="AH253" s="3">
        <f t="shared" ref="AH253" si="351">AVERAGE(AH254,AH255,AH256)</f>
        <v>10.135434333333334</v>
      </c>
      <c r="AI253" s="34">
        <f t="shared" ref="AI253" si="352">AVERAGE(AI254,AI255,AI256)</f>
        <v>10.015096</v>
      </c>
      <c r="AJ253" s="3">
        <f t="shared" ref="AJ253" si="353">AVERAGE(AJ254,AJ255,AJ256)</f>
        <v>9.9026816666666662</v>
      </c>
      <c r="AK253" s="34">
        <f t="shared" ref="AK253" si="354">AVERAGE(AK254,AK255,AK256)</f>
        <v>9.7855136666666667</v>
      </c>
      <c r="AL253" s="3">
        <f t="shared" ref="AL253" si="355">AVERAGE(AL254,AL255,AL256)</f>
        <v>9.6786476666666683</v>
      </c>
      <c r="AM253" s="34">
        <f t="shared" ref="AM253" si="356">AVERAGE(AM254,AM255,AM256)</f>
        <v>9.5753520000000005</v>
      </c>
      <c r="AN253" s="3">
        <f t="shared" ref="AN253" si="357">AVERAGE(AN254,AN255,AN256)</f>
        <v>9.4721996666666666</v>
      </c>
      <c r="AO253" s="34">
        <f t="shared" ref="AO253" si="358">AVERAGE(AO254,AO255,AO256)</f>
        <v>9.3832226666666667</v>
      </c>
      <c r="AP253" s="3">
        <f t="shared" ref="AP253" si="359">AVERAGE(AP254,AP255,AP256)</f>
        <v>9.2814490000000003</v>
      </c>
      <c r="AQ253" s="34">
        <f t="shared" ref="AQ253" si="360">AVERAGE(AQ254,AQ255,AQ256)</f>
        <v>9.2573740000000004</v>
      </c>
    </row>
    <row r="254" spans="2:43" x14ac:dyDescent="0.25">
      <c r="B254" s="1">
        <v>1</v>
      </c>
      <c r="C254" s="85">
        <v>18.165932000000002</v>
      </c>
      <c r="D254" s="85">
        <v>18.162358000000001</v>
      </c>
      <c r="E254" s="85">
        <v>18.158059000000002</v>
      </c>
      <c r="F254" s="85">
        <v>18.563058000000002</v>
      </c>
      <c r="G254" s="134">
        <v>18.562024000000001</v>
      </c>
      <c r="H254" s="85">
        <v>16.586846000000001</v>
      </c>
      <c r="I254" s="134">
        <v>16.148546</v>
      </c>
      <c r="J254" s="85">
        <v>15.904102999999999</v>
      </c>
      <c r="K254" s="134">
        <v>15.485920999999999</v>
      </c>
      <c r="L254" s="85">
        <v>15.248286</v>
      </c>
      <c r="M254" s="134">
        <v>15.039538</v>
      </c>
      <c r="N254" s="85">
        <v>14.600123</v>
      </c>
      <c r="O254" s="134">
        <v>14.375367000000001</v>
      </c>
      <c r="P254" s="85">
        <v>14.167429</v>
      </c>
      <c r="Q254" s="134">
        <v>13.756831999999999</v>
      </c>
      <c r="R254" s="85">
        <v>13.57586</v>
      </c>
      <c r="S254" s="134">
        <v>13.375659000000001</v>
      </c>
      <c r="T254" s="85">
        <v>13.188464</v>
      </c>
      <c r="U254" s="134">
        <v>12.80397</v>
      </c>
      <c r="V254" s="85">
        <v>12.629749</v>
      </c>
      <c r="W254" s="134">
        <v>12.447213</v>
      </c>
      <c r="X254" s="85">
        <v>12.295798</v>
      </c>
      <c r="Y254" s="134">
        <v>12.130248</v>
      </c>
      <c r="Z254" s="85">
        <v>11.808462</v>
      </c>
      <c r="AA254" s="134">
        <v>11.65104</v>
      </c>
      <c r="AB254" s="85">
        <v>11.492133000000001</v>
      </c>
      <c r="AC254" s="134">
        <v>11.357243</v>
      </c>
      <c r="AD254" s="85">
        <v>11.195347</v>
      </c>
      <c r="AE254" s="134">
        <v>11.081661</v>
      </c>
      <c r="AF254" s="85">
        <v>10.795192999999999</v>
      </c>
      <c r="AG254" s="134">
        <v>10.647861000000001</v>
      </c>
      <c r="AH254" s="85">
        <v>10.524252000000001</v>
      </c>
      <c r="AI254" s="134">
        <v>10.403069</v>
      </c>
      <c r="AJ254" s="85">
        <v>10.285335</v>
      </c>
      <c r="AK254" s="134">
        <v>10.160339</v>
      </c>
      <c r="AL254" s="85">
        <v>10.056774000000001</v>
      </c>
      <c r="AM254" s="134">
        <v>9.9491169999999993</v>
      </c>
      <c r="AN254" s="85">
        <v>9.8381659999999993</v>
      </c>
      <c r="AO254" s="134">
        <v>9.7552219999999998</v>
      </c>
      <c r="AP254" s="85">
        <v>9.6516889999999993</v>
      </c>
      <c r="AQ254" s="134">
        <v>9.5599629999999998</v>
      </c>
    </row>
    <row r="255" spans="2:43" x14ac:dyDescent="0.25">
      <c r="B255" s="1">
        <v>2</v>
      </c>
      <c r="C255" s="86">
        <v>18.333079000000001</v>
      </c>
      <c r="D255" s="86">
        <v>18.327338999999998</v>
      </c>
      <c r="E255" s="86">
        <v>18.303332000000001</v>
      </c>
      <c r="F255" s="86">
        <v>18.294466</v>
      </c>
      <c r="G255" s="134">
        <v>18.311215000000001</v>
      </c>
      <c r="H255" s="86">
        <v>16.358523000000002</v>
      </c>
      <c r="I255" s="134">
        <v>15.909632</v>
      </c>
      <c r="J255" s="86">
        <v>15.667303</v>
      </c>
      <c r="K255" s="134">
        <v>15.270339</v>
      </c>
      <c r="L255" s="86">
        <v>15.009185</v>
      </c>
      <c r="M255" s="134">
        <v>14.795423</v>
      </c>
      <c r="N255" s="86">
        <v>14.382913</v>
      </c>
      <c r="O255" s="134">
        <v>14.161052</v>
      </c>
      <c r="P255" s="86">
        <v>13.950500999999999</v>
      </c>
      <c r="Q255" s="134">
        <v>13.559747</v>
      </c>
      <c r="R255" s="86">
        <v>13.363218</v>
      </c>
      <c r="S255" s="134">
        <v>13.151560999999999</v>
      </c>
      <c r="T255" s="86">
        <v>12.991153000000001</v>
      </c>
      <c r="U255" s="134">
        <v>12.617165</v>
      </c>
      <c r="V255" s="86">
        <v>12.441388</v>
      </c>
      <c r="W255" s="134">
        <v>12.2502</v>
      </c>
      <c r="X255" s="86">
        <v>12.096641999999999</v>
      </c>
      <c r="Y255" s="134">
        <v>11.931444000000001</v>
      </c>
      <c r="Z255" s="86">
        <v>11.628679</v>
      </c>
      <c r="AA255" s="134">
        <v>11.466063</v>
      </c>
      <c r="AB255" s="86">
        <v>11.320105999999999</v>
      </c>
      <c r="AC255" s="134">
        <v>11.168395</v>
      </c>
      <c r="AD255" s="86">
        <v>11.020892999999999</v>
      </c>
      <c r="AE255" s="134">
        <v>10.751692</v>
      </c>
      <c r="AF255" s="86">
        <v>10.625923</v>
      </c>
      <c r="AG255" s="134">
        <v>10.490622999999999</v>
      </c>
      <c r="AH255" s="86">
        <v>10.359227000000001</v>
      </c>
      <c r="AI255" s="134">
        <v>10.235561000000001</v>
      </c>
      <c r="AJ255" s="86">
        <v>10.118411</v>
      </c>
      <c r="AK255" s="134">
        <v>10.003515999999999</v>
      </c>
      <c r="AL255" s="86">
        <v>9.8857870000000005</v>
      </c>
      <c r="AM255" s="134">
        <v>9.7835070000000002</v>
      </c>
      <c r="AN255" s="86">
        <v>9.6737210000000005</v>
      </c>
      <c r="AO255" s="134">
        <v>9.5807839999999995</v>
      </c>
      <c r="AP255" s="86">
        <v>9.4773499999999995</v>
      </c>
      <c r="AQ255" s="134">
        <v>9.57315</v>
      </c>
    </row>
    <row r="256" spans="2:43" x14ac:dyDescent="0.25">
      <c r="B256" s="1">
        <v>3</v>
      </c>
      <c r="C256" s="87">
        <v>16.479745000000001</v>
      </c>
      <c r="D256" s="87">
        <v>16.475619999999999</v>
      </c>
      <c r="E256" s="87">
        <v>16.485624000000001</v>
      </c>
      <c r="F256" s="87">
        <v>16.472283000000001</v>
      </c>
      <c r="G256" s="134">
        <v>16.472811</v>
      </c>
      <c r="H256" s="87">
        <v>14.660197</v>
      </c>
      <c r="I256" s="134">
        <v>14.268530999999999</v>
      </c>
      <c r="J256" s="87">
        <v>14.058441</v>
      </c>
      <c r="K256" s="134">
        <v>13.672052000000001</v>
      </c>
      <c r="L256" s="87">
        <v>13.455155</v>
      </c>
      <c r="M256" s="134">
        <v>13.607436</v>
      </c>
      <c r="N256" s="87">
        <v>13.207908</v>
      </c>
      <c r="O256" s="134">
        <v>12.706009999999999</v>
      </c>
      <c r="P256" s="87">
        <v>12.647118000000001</v>
      </c>
      <c r="Q256" s="134">
        <v>12.450488</v>
      </c>
      <c r="R256" s="87">
        <v>12.266157</v>
      </c>
      <c r="S256" s="134">
        <v>12.093499</v>
      </c>
      <c r="T256" s="87">
        <v>11.755649999999999</v>
      </c>
      <c r="U256" s="134">
        <v>11.589012</v>
      </c>
      <c r="V256" s="87">
        <v>11.413919</v>
      </c>
      <c r="W256" s="134">
        <v>11.265641</v>
      </c>
      <c r="X256" s="87">
        <v>11.104338</v>
      </c>
      <c r="Y256" s="134">
        <v>10.813143</v>
      </c>
      <c r="Z256" s="87">
        <v>10.671469999999999</v>
      </c>
      <c r="AA256" s="134">
        <v>10.531356000000001</v>
      </c>
      <c r="AB256" s="87">
        <v>10.396603000000001</v>
      </c>
      <c r="AC256" s="134">
        <v>10.261324</v>
      </c>
      <c r="AD256" s="87">
        <v>10.139585</v>
      </c>
      <c r="AE256" s="134">
        <v>9.8871570000000002</v>
      </c>
      <c r="AF256" s="87">
        <v>9.7571480000000008</v>
      </c>
      <c r="AG256" s="134">
        <v>9.6371029999999998</v>
      </c>
      <c r="AH256" s="87">
        <v>9.522824</v>
      </c>
      <c r="AI256" s="134">
        <v>9.4066580000000002</v>
      </c>
      <c r="AJ256" s="87">
        <v>9.3042990000000003</v>
      </c>
      <c r="AK256" s="134">
        <v>9.1926860000000001</v>
      </c>
      <c r="AL256" s="87">
        <v>9.0933820000000001</v>
      </c>
      <c r="AM256" s="134">
        <v>8.9934320000000003</v>
      </c>
      <c r="AN256" s="87">
        <v>8.904712</v>
      </c>
      <c r="AO256" s="134">
        <v>8.8136620000000008</v>
      </c>
      <c r="AP256" s="87">
        <v>8.7153080000000003</v>
      </c>
      <c r="AQ256" s="134">
        <v>8.6390089999999997</v>
      </c>
    </row>
    <row r="257" spans="2:43" x14ac:dyDescent="0.25">
      <c r="B257" s="32">
        <v>4</v>
      </c>
      <c r="C257" s="88">
        <v>18.115417999999998</v>
      </c>
      <c r="D257" s="88">
        <v>18.104576000000002</v>
      </c>
      <c r="E257" s="88">
        <v>18.076709999999999</v>
      </c>
      <c r="F257" s="88">
        <v>18.093958000000001</v>
      </c>
      <c r="G257" s="134">
        <v>18.094086999999998</v>
      </c>
      <c r="H257" s="88">
        <v>16.115143</v>
      </c>
      <c r="I257" s="134">
        <v>15.698221</v>
      </c>
      <c r="J257" s="88">
        <v>15.445524000000001</v>
      </c>
      <c r="K257" s="134">
        <v>15.055991000000001</v>
      </c>
      <c r="L257" s="88">
        <v>14.815156</v>
      </c>
      <c r="M257" s="134">
        <v>14.402405</v>
      </c>
      <c r="N257" s="88">
        <v>14.174731</v>
      </c>
      <c r="O257" s="134">
        <v>13.962077000000001</v>
      </c>
      <c r="P257" s="88">
        <v>13.583223</v>
      </c>
      <c r="Q257" s="134">
        <v>13.729666</v>
      </c>
      <c r="R257" s="88">
        <v>13.520546</v>
      </c>
      <c r="S257" s="134">
        <v>13.317454</v>
      </c>
      <c r="T257" s="88">
        <v>12.939734</v>
      </c>
      <c r="U257" s="134">
        <v>12.745062000000001</v>
      </c>
      <c r="V257" s="88">
        <v>12.570871</v>
      </c>
      <c r="W257" s="134">
        <v>12.399585999999999</v>
      </c>
      <c r="X257" s="88">
        <v>12.229324999999999</v>
      </c>
      <c r="Y257" s="134">
        <v>11.918328000000001</v>
      </c>
      <c r="Z257" s="88">
        <v>11.753525</v>
      </c>
      <c r="AA257" s="134">
        <v>11.593127000000001</v>
      </c>
      <c r="AB257" s="88">
        <v>11.465045999999999</v>
      </c>
      <c r="AC257" s="134">
        <v>11.294941</v>
      </c>
      <c r="AD257" s="88">
        <v>11.160491</v>
      </c>
      <c r="AE257" s="134">
        <v>10.89316</v>
      </c>
      <c r="AF257" s="88">
        <v>10.752374</v>
      </c>
      <c r="AG257" s="134">
        <v>10.610989</v>
      </c>
      <c r="AH257" s="88">
        <v>10.491925999999999</v>
      </c>
      <c r="AI257" s="134">
        <v>10.364826000000001</v>
      </c>
      <c r="AJ257" s="88">
        <v>10.246993</v>
      </c>
      <c r="AK257" s="134">
        <v>10.122387</v>
      </c>
      <c r="AL257" s="88">
        <v>10.018428</v>
      </c>
      <c r="AM257" s="134">
        <v>9.9133370000000003</v>
      </c>
      <c r="AN257" s="88">
        <v>9.8030620000000006</v>
      </c>
      <c r="AO257" s="134">
        <v>9.7103389999999994</v>
      </c>
      <c r="AP257" s="88">
        <v>9.5958469999999991</v>
      </c>
      <c r="AQ257" s="134">
        <v>9.5215040000000002</v>
      </c>
    </row>
    <row r="258" spans="2:43" x14ac:dyDescent="0.25">
      <c r="B258" s="32">
        <v>5</v>
      </c>
      <c r="C258" s="89">
        <v>17.845946000000001</v>
      </c>
      <c r="D258" s="89">
        <v>17.835498000000001</v>
      </c>
      <c r="E258" s="89">
        <v>17.833888000000002</v>
      </c>
      <c r="F258" s="89">
        <v>17.816032</v>
      </c>
      <c r="G258" s="134">
        <v>17.814768999999998</v>
      </c>
      <c r="H258" s="89">
        <v>15.903207999999999</v>
      </c>
      <c r="I258" s="134">
        <v>15.485587000000001</v>
      </c>
      <c r="J258" s="89">
        <v>15.268737</v>
      </c>
      <c r="K258" s="134">
        <v>14.863543</v>
      </c>
      <c r="L258" s="89">
        <v>14.602152999999999</v>
      </c>
      <c r="M258" s="134">
        <v>14.403263000000001</v>
      </c>
      <c r="N258" s="89">
        <v>13.993385</v>
      </c>
      <c r="O258" s="134">
        <v>13.787749</v>
      </c>
      <c r="P258" s="89">
        <v>13.391071</v>
      </c>
      <c r="Q258" s="134">
        <v>13.203123</v>
      </c>
      <c r="R258" s="89">
        <v>13.00469</v>
      </c>
      <c r="S258" s="134">
        <v>12.810264999999999</v>
      </c>
      <c r="T258" s="89">
        <v>12.44651</v>
      </c>
      <c r="U258" s="134">
        <v>12.267588</v>
      </c>
      <c r="V258" s="89">
        <v>12.105103</v>
      </c>
      <c r="W258" s="134">
        <v>11.927244</v>
      </c>
      <c r="X258" s="89">
        <v>11.750292</v>
      </c>
      <c r="Y258" s="134">
        <v>11.445188999999999</v>
      </c>
      <c r="Z258" s="89">
        <v>11.293334</v>
      </c>
      <c r="AA258" s="134">
        <v>11.146841</v>
      </c>
      <c r="AB258" s="89">
        <v>11.004825</v>
      </c>
      <c r="AC258" s="134">
        <v>10.863714999999999</v>
      </c>
      <c r="AD258" s="89">
        <v>10.724556</v>
      </c>
      <c r="AE258" s="134">
        <v>10.442886</v>
      </c>
      <c r="AF258" s="89">
        <v>10.32837</v>
      </c>
      <c r="AG258" s="134">
        <v>10.205341000000001</v>
      </c>
      <c r="AH258" s="89">
        <v>10.069058</v>
      </c>
      <c r="AI258" s="134">
        <v>10.224584</v>
      </c>
      <c r="AJ258" s="89">
        <v>9.8407370000000007</v>
      </c>
      <c r="AK258" s="134">
        <v>9.9930800000000009</v>
      </c>
      <c r="AL258" s="89">
        <v>9.867991</v>
      </c>
      <c r="AM258" s="134">
        <v>9.7682300000000009</v>
      </c>
      <c r="AN258" s="89">
        <v>9.6752540000000007</v>
      </c>
      <c r="AO258" s="134">
        <v>9.5802650000000007</v>
      </c>
      <c r="AP258" s="89">
        <v>9.4668390000000002</v>
      </c>
      <c r="AQ258" s="134">
        <v>9.3759589999999999</v>
      </c>
    </row>
    <row r="259" spans="2:43" x14ac:dyDescent="0.25">
      <c r="B259" s="32">
        <v>6</v>
      </c>
      <c r="C259" s="90">
        <v>18.010301999999999</v>
      </c>
      <c r="D259" s="90">
        <v>18.007370999999999</v>
      </c>
      <c r="E259" s="90">
        <v>18.008678</v>
      </c>
      <c r="F259" s="90">
        <v>17.988123999999999</v>
      </c>
      <c r="G259" s="134">
        <v>18.01595</v>
      </c>
      <c r="H259" s="90">
        <v>16.044118999999998</v>
      </c>
      <c r="I259" s="134">
        <v>15.670883</v>
      </c>
      <c r="J259" s="90">
        <v>15.402364</v>
      </c>
      <c r="K259" s="134">
        <v>14.978329</v>
      </c>
      <c r="L259" s="90">
        <v>14.758053</v>
      </c>
      <c r="M259" s="134">
        <v>14.539846000000001</v>
      </c>
      <c r="N259" s="90">
        <v>14.492666</v>
      </c>
      <c r="O259" s="134">
        <v>14.281893</v>
      </c>
      <c r="P259" s="90">
        <v>14.066606</v>
      </c>
      <c r="Q259" s="134">
        <v>13.672601</v>
      </c>
      <c r="R259" s="90">
        <v>13.472566</v>
      </c>
      <c r="S259" s="134">
        <v>13.277922999999999</v>
      </c>
      <c r="T259" s="90">
        <v>13.090723000000001</v>
      </c>
      <c r="U259" s="134">
        <v>12.715354</v>
      </c>
      <c r="V259" s="90">
        <v>12.543768999999999</v>
      </c>
      <c r="W259" s="134">
        <v>12.363375</v>
      </c>
      <c r="X259" s="90">
        <v>12.183526000000001</v>
      </c>
      <c r="Y259" s="134">
        <v>12.033726</v>
      </c>
      <c r="Z259" s="90">
        <v>11.722008000000001</v>
      </c>
      <c r="AA259" s="134">
        <v>11.557029999999999</v>
      </c>
      <c r="AB259" s="90">
        <v>11.416717999999999</v>
      </c>
      <c r="AC259" s="134">
        <v>11.255671</v>
      </c>
      <c r="AD259" s="90">
        <v>11.119033999999999</v>
      </c>
      <c r="AE259" s="134">
        <v>10.985568000000001</v>
      </c>
      <c r="AF259" s="90">
        <v>10.711232000000001</v>
      </c>
      <c r="AG259" s="134">
        <v>10.571621</v>
      </c>
      <c r="AH259" s="90">
        <v>10.462669999999999</v>
      </c>
      <c r="AI259" s="134">
        <v>10.334237</v>
      </c>
      <c r="AJ259" s="90">
        <v>10.202794000000001</v>
      </c>
      <c r="AK259" s="134">
        <v>10.085804</v>
      </c>
      <c r="AL259" s="90">
        <v>9.9780259999999998</v>
      </c>
      <c r="AM259" s="134">
        <v>9.8656199999999998</v>
      </c>
      <c r="AN259" s="90">
        <v>9.7562069999999999</v>
      </c>
      <c r="AO259" s="134">
        <v>9.650404</v>
      </c>
      <c r="AP259" s="90">
        <v>9.5594699999999992</v>
      </c>
      <c r="AQ259" s="134">
        <v>9.4637180000000001</v>
      </c>
    </row>
    <row r="279" spans="2:43" x14ac:dyDescent="0.25">
      <c r="B279" s="47" t="s">
        <v>4</v>
      </c>
      <c r="C279" s="47">
        <v>3</v>
      </c>
      <c r="D279" s="47"/>
      <c r="E279" s="47"/>
      <c r="F279" s="47"/>
      <c r="G279" s="21"/>
      <c r="H279" s="47"/>
      <c r="I279" s="21"/>
      <c r="J279" s="47"/>
      <c r="K279" s="21"/>
      <c r="L279" s="47"/>
      <c r="M279" s="21"/>
      <c r="N279" s="47"/>
      <c r="O279" s="21"/>
      <c r="P279" s="47"/>
      <c r="Q279" s="21"/>
      <c r="R279" s="47"/>
      <c r="S279" s="21"/>
      <c r="T279" s="47"/>
      <c r="U279" s="21"/>
      <c r="V279" s="47"/>
      <c r="W279" s="21"/>
      <c r="X279" s="47"/>
      <c r="Y279" s="21"/>
      <c r="Z279" s="47"/>
      <c r="AA279" s="21"/>
      <c r="AB279" s="47"/>
      <c r="AC279" s="21"/>
      <c r="AD279" s="47"/>
      <c r="AE279" s="21"/>
      <c r="AF279" s="47"/>
      <c r="AG279" s="21"/>
      <c r="AH279" s="47"/>
      <c r="AI279" s="21"/>
      <c r="AJ279" s="47"/>
      <c r="AK279" s="21"/>
      <c r="AL279" s="47"/>
      <c r="AM279" s="21"/>
      <c r="AN279" s="47"/>
      <c r="AO279" s="21"/>
      <c r="AP279" s="47"/>
      <c r="AQ279" s="21"/>
    </row>
    <row r="280" spans="2:43" x14ac:dyDescent="0.25">
      <c r="B280" s="1" t="s">
        <v>1</v>
      </c>
      <c r="C280" s="1">
        <v>1.8</v>
      </c>
      <c r="D280" s="2">
        <v>1.85</v>
      </c>
      <c r="E280" s="2">
        <v>1.9</v>
      </c>
      <c r="F280" s="2">
        <v>1.95</v>
      </c>
      <c r="G280" s="22">
        <v>2</v>
      </c>
      <c r="H280" s="2">
        <v>2.0499999999999998</v>
      </c>
      <c r="I280" s="22">
        <v>2.1</v>
      </c>
      <c r="J280" s="2">
        <v>2.15</v>
      </c>
      <c r="K280" s="22">
        <v>2.2000000000000002</v>
      </c>
      <c r="L280" s="2">
        <v>2.25</v>
      </c>
      <c r="M280" s="22">
        <v>2.2999999999999998</v>
      </c>
      <c r="N280" s="2">
        <v>2.35</v>
      </c>
      <c r="O280" s="22">
        <v>2.4</v>
      </c>
      <c r="P280" s="2">
        <v>2.4500000000000002</v>
      </c>
      <c r="Q280" s="22">
        <v>2.5</v>
      </c>
      <c r="R280" s="2">
        <v>2.5499999999999998</v>
      </c>
      <c r="S280" s="22">
        <v>2.6</v>
      </c>
      <c r="T280" s="2">
        <v>2.65</v>
      </c>
      <c r="U280" s="22">
        <v>2.7</v>
      </c>
      <c r="V280" s="2">
        <v>2.75</v>
      </c>
      <c r="W280" s="22">
        <v>2.8</v>
      </c>
      <c r="X280" s="2">
        <v>2.85</v>
      </c>
      <c r="Y280" s="22">
        <v>2.9</v>
      </c>
      <c r="Z280" s="2">
        <v>2.95</v>
      </c>
      <c r="AA280" s="22">
        <v>3</v>
      </c>
      <c r="AB280" s="2">
        <v>3.05</v>
      </c>
      <c r="AC280" s="22">
        <v>3.1</v>
      </c>
      <c r="AD280" s="2">
        <v>3.15</v>
      </c>
      <c r="AE280" s="22">
        <v>3.2</v>
      </c>
      <c r="AF280" s="2">
        <v>3.25</v>
      </c>
      <c r="AG280" s="22">
        <v>3.3</v>
      </c>
      <c r="AH280" s="2">
        <v>3.35</v>
      </c>
      <c r="AI280" s="22">
        <v>3.4</v>
      </c>
      <c r="AJ280" s="2">
        <v>3.45</v>
      </c>
      <c r="AK280" s="22">
        <v>3.5</v>
      </c>
      <c r="AL280" s="2">
        <v>3.55</v>
      </c>
      <c r="AM280" s="22">
        <v>3.6</v>
      </c>
      <c r="AN280" s="2">
        <v>3.65</v>
      </c>
      <c r="AO280" s="22">
        <v>3.7</v>
      </c>
      <c r="AP280" s="2">
        <v>3.75</v>
      </c>
      <c r="AQ280" s="22">
        <v>3.8</v>
      </c>
    </row>
    <row r="281" spans="2:43" x14ac:dyDescent="0.25">
      <c r="B281" s="1" t="s">
        <v>3</v>
      </c>
      <c r="C281" s="3">
        <f>AVERAGE(C282,C283,C284,C285,C286,C287)</f>
        <v>16.851665333333333</v>
      </c>
      <c r="D281" s="3">
        <f t="shared" ref="D281" si="361">AVERAGE(D282,D283,D284)</f>
        <v>16.992386333333332</v>
      </c>
      <c r="E281" s="3">
        <f t="shared" ref="E281" si="362">AVERAGE(E282,E283,E284)</f>
        <v>16.98554</v>
      </c>
      <c r="F281" s="3">
        <f t="shared" ref="F281" si="363">AVERAGE(F282,F283,F284)</f>
        <v>16.991611000000002</v>
      </c>
      <c r="G281" s="34">
        <f t="shared" ref="G281" si="364">AVERAGE(G282,G283,G284)</f>
        <v>16.987753000000001</v>
      </c>
      <c r="H281" s="3">
        <f t="shared" ref="H281" si="365">AVERAGE(H282,H283,H284)</f>
        <v>15.143141666666667</v>
      </c>
      <c r="I281" s="34">
        <f t="shared" ref="I281" si="366">AVERAGE(I282,I283,I284)</f>
        <v>14.748039333333333</v>
      </c>
      <c r="J281" s="3">
        <f t="shared" ref="J281" si="367">AVERAGE(J282,J283,J284)</f>
        <v>14.528558666666667</v>
      </c>
      <c r="K281" s="34">
        <f t="shared" ref="K281" si="368">AVERAGE(K282,K283,K284)</f>
        <v>14.133281666666667</v>
      </c>
      <c r="L281" s="3">
        <f t="shared" ref="L281" si="369">AVERAGE(L282,L283,L284)</f>
        <v>13.919176333333334</v>
      </c>
      <c r="M281" s="34">
        <f t="shared" ref="M281" si="370">AVERAGE(M282,M283,M284)</f>
        <v>13.651731</v>
      </c>
      <c r="N281" s="3">
        <f t="shared" ref="N281" si="371">AVERAGE(N282,N283,N284)</f>
        <v>13.439868333333335</v>
      </c>
      <c r="O281" s="34">
        <f t="shared" ref="O281" si="372">AVERAGE(O282,O283,O284)</f>
        <v>13.250980333333333</v>
      </c>
      <c r="P281" s="3">
        <f t="shared" ref="P281" si="373">AVERAGE(P282,P283,P284)</f>
        <v>12.943077666666667</v>
      </c>
      <c r="Q281" s="34">
        <f t="shared" ref="Q281" si="374">AVERAGE(Q282,Q283,Q284)</f>
        <v>12.810606999999999</v>
      </c>
      <c r="R281" s="3">
        <f t="shared" ref="R281" si="375">AVERAGE(R282,R283,R284)</f>
        <v>12.628183</v>
      </c>
      <c r="S281" s="34">
        <f t="shared" ref="S281" si="376">AVERAGE(S282,S283,S284)</f>
        <v>12.446601333333334</v>
      </c>
      <c r="T281" s="3">
        <f t="shared" ref="T281" si="377">AVERAGE(T282,T283,T284)</f>
        <v>12.145983333333334</v>
      </c>
      <c r="U281" s="34">
        <f t="shared" ref="U281" si="378">AVERAGE(U282,U283,U284)</f>
        <v>11.917362666666667</v>
      </c>
      <c r="V281" s="3">
        <f t="shared" ref="V281" si="379">AVERAGE(V282,V283,V284)</f>
        <v>11.753347333333332</v>
      </c>
      <c r="W281" s="34">
        <f t="shared" ref="W281" si="380">AVERAGE(W282,W283,W284)</f>
        <v>11.579838000000001</v>
      </c>
      <c r="X281" s="3">
        <f t="shared" ref="X281" si="381">AVERAGE(X282,X283,X284)</f>
        <v>11.416974000000002</v>
      </c>
      <c r="Y281" s="34">
        <f t="shared" ref="Y281" si="382">AVERAGE(Y282,Y283,Y284)</f>
        <v>11.171232666666667</v>
      </c>
      <c r="Z281" s="3">
        <f t="shared" ref="Z281" si="383">AVERAGE(Z282,Z283,Z284)</f>
        <v>10.978495333333333</v>
      </c>
      <c r="AA281" s="34">
        <f t="shared" ref="AA281" si="384">AVERAGE(AA282,AA283,AA284)</f>
        <v>10.821008666666666</v>
      </c>
      <c r="AB281" s="3">
        <f t="shared" ref="AB281" si="385">AVERAGE(AB282,AB283,AB284)</f>
        <v>10.692150333333332</v>
      </c>
      <c r="AC281" s="34">
        <f t="shared" ref="AC281" si="386">AVERAGE(AC282,AC283,AC284)</f>
        <v>10.554120333333332</v>
      </c>
      <c r="AD281" s="3">
        <f t="shared" ref="AD281" si="387">AVERAGE(AD282,AD283,AD284)</f>
        <v>10.421131000000001</v>
      </c>
      <c r="AE281" s="34">
        <f t="shared" ref="AE281" si="388">AVERAGE(AE282,AE283,AE284)</f>
        <v>10.199759999999999</v>
      </c>
      <c r="AF281" s="3">
        <f t="shared" ref="AF281" si="389">AVERAGE(AF282,AF283,AF284)</f>
        <v>10.037619333333334</v>
      </c>
      <c r="AG281" s="34">
        <f t="shared" ref="AG281" si="390">AVERAGE(AG282,AG283,AG284)</f>
        <v>9.9120976666666678</v>
      </c>
      <c r="AH281" s="3">
        <f t="shared" ref="AH281" si="391">AVERAGE(AH282,AH283,AH284)</f>
        <v>9.7925343333333341</v>
      </c>
      <c r="AI281" s="34">
        <f t="shared" ref="AI281" si="392">AVERAGE(AI282,AI283,AI284)</f>
        <v>9.6751013333333322</v>
      </c>
      <c r="AJ281" s="3">
        <f t="shared" ref="AJ281" si="393">AVERAGE(AJ282,AJ283,AJ284)</f>
        <v>9.5655450000000002</v>
      </c>
      <c r="AK281" s="34">
        <f t="shared" ref="AK281" si="394">AVERAGE(AK282,AK283,AK284)</f>
        <v>9.5395196666666653</v>
      </c>
      <c r="AL281" s="3">
        <f t="shared" ref="AL281" si="395">AVERAGE(AL282,AL283,AL284)</f>
        <v>9.4302333333333319</v>
      </c>
      <c r="AM281" s="34">
        <f t="shared" ref="AM281" si="396">AVERAGE(AM282,AM283,AM284)</f>
        <v>9.3326946666666668</v>
      </c>
      <c r="AN281" s="3">
        <f t="shared" ref="AN281" si="397">AVERAGE(AN282,AN283,AN284)</f>
        <v>9.2326739999999994</v>
      </c>
      <c r="AO281" s="34">
        <f t="shared" ref="AO281" si="398">AVERAGE(AO282,AO283,AO284)</f>
        <v>9.1498673333333329</v>
      </c>
      <c r="AP281" s="3">
        <f t="shared" ref="AP281" si="399">AVERAGE(AP282,AP283,AP284)</f>
        <v>9.0445356666666665</v>
      </c>
      <c r="AQ281" s="34">
        <f t="shared" ref="AQ281" si="400">AVERAGE(AQ282,AQ283,AQ284)</f>
        <v>8.9625846666666664</v>
      </c>
    </row>
    <row r="282" spans="2:43" x14ac:dyDescent="0.25">
      <c r="B282" s="1">
        <v>1</v>
      </c>
      <c r="C282" s="91">
        <v>17.043844</v>
      </c>
      <c r="D282" s="91">
        <v>17.042915000000001</v>
      </c>
      <c r="E282" s="91">
        <v>17.04166</v>
      </c>
      <c r="F282" s="91">
        <v>17.038271000000002</v>
      </c>
      <c r="G282" s="134">
        <v>17.038471999999999</v>
      </c>
      <c r="H282" s="91">
        <v>15.180164</v>
      </c>
      <c r="I282" s="134">
        <v>14.778833000000001</v>
      </c>
      <c r="J282" s="91">
        <v>14.567837000000001</v>
      </c>
      <c r="K282" s="134">
        <v>14.154944</v>
      </c>
      <c r="L282" s="91">
        <v>13.944393</v>
      </c>
      <c r="M282" s="134">
        <v>13.742486</v>
      </c>
      <c r="N282" s="91">
        <v>13.722338000000001</v>
      </c>
      <c r="O282" s="134">
        <v>13.533166</v>
      </c>
      <c r="P282" s="91">
        <v>13.336624</v>
      </c>
      <c r="Q282" s="134">
        <v>12.953063</v>
      </c>
      <c r="R282" s="91">
        <v>12.763201</v>
      </c>
      <c r="S282" s="134">
        <v>12.592186</v>
      </c>
      <c r="T282" s="91">
        <v>12.39645</v>
      </c>
      <c r="U282" s="134">
        <v>12.05087</v>
      </c>
      <c r="V282" s="91">
        <v>11.891978</v>
      </c>
      <c r="W282" s="134">
        <v>11.710402999999999</v>
      </c>
      <c r="X282" s="91">
        <v>11.549766999999999</v>
      </c>
      <c r="Y282" s="134">
        <v>11.396025</v>
      </c>
      <c r="Z282" s="91">
        <v>11.106579</v>
      </c>
      <c r="AA282" s="134">
        <v>10.934101</v>
      </c>
      <c r="AB282" s="91">
        <v>10.811775000000001</v>
      </c>
      <c r="AC282" s="134">
        <v>10.681343999999999</v>
      </c>
      <c r="AD282" s="91">
        <v>10.539701000000001</v>
      </c>
      <c r="AE282" s="134">
        <v>10.411019</v>
      </c>
      <c r="AF282" s="91">
        <v>10.156145</v>
      </c>
      <c r="AG282" s="134">
        <v>10.027342000000001</v>
      </c>
      <c r="AH282" s="91">
        <v>9.9100730000000006</v>
      </c>
      <c r="AI282" s="134">
        <v>9.7983200000000004</v>
      </c>
      <c r="AJ282" s="91">
        <v>9.6718489999999999</v>
      </c>
      <c r="AK282" s="134">
        <v>9.5531869999999994</v>
      </c>
      <c r="AL282" s="91">
        <v>9.4425100000000004</v>
      </c>
      <c r="AM282" s="134">
        <v>9.3615180000000002</v>
      </c>
      <c r="AN282" s="91">
        <v>9.2549969999999995</v>
      </c>
      <c r="AO282" s="134">
        <v>9.1703089999999996</v>
      </c>
      <c r="AP282" s="91">
        <v>9.0633029999999994</v>
      </c>
      <c r="AQ282" s="134">
        <v>8.9778900000000004</v>
      </c>
    </row>
    <row r="283" spans="2:43" x14ac:dyDescent="0.25">
      <c r="B283" s="1">
        <v>2</v>
      </c>
      <c r="C283" s="92">
        <v>16.901437000000001</v>
      </c>
      <c r="D283" s="92">
        <v>16.842092999999998</v>
      </c>
      <c r="E283" s="92">
        <v>16.830152999999999</v>
      </c>
      <c r="F283" s="92">
        <v>16.850923000000002</v>
      </c>
      <c r="G283" s="134">
        <v>16.830065000000001</v>
      </c>
      <c r="H283" s="92">
        <v>15.027063</v>
      </c>
      <c r="I283" s="134">
        <v>14.637619000000001</v>
      </c>
      <c r="J283" s="92">
        <v>14.41118</v>
      </c>
      <c r="K283" s="134">
        <v>14.030919000000001</v>
      </c>
      <c r="L283" s="92">
        <v>13.821693</v>
      </c>
      <c r="M283" s="134">
        <v>13.604972999999999</v>
      </c>
      <c r="N283" s="92">
        <v>13.213092</v>
      </c>
      <c r="O283" s="134">
        <v>13.017963</v>
      </c>
      <c r="P283" s="92">
        <v>12.656513</v>
      </c>
      <c r="Q283" s="134">
        <v>12.469165</v>
      </c>
      <c r="R283" s="92">
        <v>12.287186999999999</v>
      </c>
      <c r="S283" s="134">
        <v>12.107784000000001</v>
      </c>
      <c r="T283" s="92">
        <v>11.758457999999999</v>
      </c>
      <c r="U283" s="134">
        <v>11.604547999999999</v>
      </c>
      <c r="V283" s="92">
        <v>11.434355</v>
      </c>
      <c r="W283" s="134">
        <v>11.269334000000001</v>
      </c>
      <c r="X283" s="92">
        <v>11.103046000000001</v>
      </c>
      <c r="Y283" s="134">
        <v>10.810599</v>
      </c>
      <c r="Z283" s="92">
        <v>10.676033</v>
      </c>
      <c r="AA283" s="134">
        <v>10.530293</v>
      </c>
      <c r="AB283" s="92">
        <v>10.39551</v>
      </c>
      <c r="AC283" s="134">
        <v>10.263211999999999</v>
      </c>
      <c r="AD283" s="92">
        <v>10.127224</v>
      </c>
      <c r="AE283" s="134">
        <v>9.8567540000000005</v>
      </c>
      <c r="AF283" s="92">
        <v>9.7563999999999993</v>
      </c>
      <c r="AG283" s="134">
        <v>9.6385120000000004</v>
      </c>
      <c r="AH283" s="92">
        <v>9.5160280000000004</v>
      </c>
      <c r="AI283" s="134">
        <v>9.4026519999999998</v>
      </c>
      <c r="AJ283" s="92">
        <v>9.3054819999999996</v>
      </c>
      <c r="AK283" s="134">
        <v>9.4641660000000005</v>
      </c>
      <c r="AL283" s="92">
        <v>9.3402239999999992</v>
      </c>
      <c r="AM283" s="134">
        <v>9.2330070000000006</v>
      </c>
      <c r="AN283" s="92">
        <v>9.1359309999999994</v>
      </c>
      <c r="AO283" s="134">
        <v>9.0664859999999994</v>
      </c>
      <c r="AP283" s="92">
        <v>8.9590379999999996</v>
      </c>
      <c r="AQ283" s="134">
        <v>8.8817520000000005</v>
      </c>
    </row>
    <row r="284" spans="2:43" x14ac:dyDescent="0.25">
      <c r="B284" s="1">
        <v>3</v>
      </c>
      <c r="C284" s="93">
        <v>17.114138000000001</v>
      </c>
      <c r="D284" s="93">
        <v>17.092151000000001</v>
      </c>
      <c r="E284" s="93">
        <v>17.084807000000001</v>
      </c>
      <c r="F284" s="93">
        <v>17.085639</v>
      </c>
      <c r="G284" s="134">
        <v>17.094722000000001</v>
      </c>
      <c r="H284" s="93">
        <v>15.222198000000001</v>
      </c>
      <c r="I284" s="134">
        <v>14.827666000000001</v>
      </c>
      <c r="J284" s="93">
        <v>14.606659000000001</v>
      </c>
      <c r="K284" s="134">
        <v>14.213982</v>
      </c>
      <c r="L284" s="93">
        <v>13.991443</v>
      </c>
      <c r="M284" s="134">
        <v>13.607734000000001</v>
      </c>
      <c r="N284" s="93">
        <v>13.384175000000001</v>
      </c>
      <c r="O284" s="134">
        <v>13.201812</v>
      </c>
      <c r="P284" s="93">
        <v>12.836096</v>
      </c>
      <c r="Q284" s="134">
        <v>13.009593000000001</v>
      </c>
      <c r="R284" s="93">
        <v>12.834161</v>
      </c>
      <c r="S284" s="134">
        <v>12.639834</v>
      </c>
      <c r="T284" s="93">
        <v>12.283042</v>
      </c>
      <c r="U284" s="134">
        <v>12.09667</v>
      </c>
      <c r="V284" s="93">
        <v>11.933709</v>
      </c>
      <c r="W284" s="134">
        <v>11.759777</v>
      </c>
      <c r="X284" s="93">
        <v>11.598108999999999</v>
      </c>
      <c r="Y284" s="134">
        <v>11.307074</v>
      </c>
      <c r="Z284" s="93">
        <v>11.152874000000001</v>
      </c>
      <c r="AA284" s="134">
        <v>10.998632000000001</v>
      </c>
      <c r="AB284" s="93">
        <v>10.869166</v>
      </c>
      <c r="AC284" s="134">
        <v>10.717805</v>
      </c>
      <c r="AD284" s="93">
        <v>10.596468</v>
      </c>
      <c r="AE284" s="134">
        <v>10.331507</v>
      </c>
      <c r="AF284" s="93">
        <v>10.200313</v>
      </c>
      <c r="AG284" s="134">
        <v>10.070439</v>
      </c>
      <c r="AH284" s="93">
        <v>9.9515019999999996</v>
      </c>
      <c r="AI284" s="134">
        <v>9.8243320000000001</v>
      </c>
      <c r="AJ284" s="93">
        <v>9.7193039999999993</v>
      </c>
      <c r="AK284" s="134">
        <v>9.6012059999999995</v>
      </c>
      <c r="AL284" s="93">
        <v>9.5079659999999997</v>
      </c>
      <c r="AM284" s="134">
        <v>9.4035589999999996</v>
      </c>
      <c r="AN284" s="93">
        <v>9.3070939999999993</v>
      </c>
      <c r="AO284" s="134">
        <v>9.2128069999999997</v>
      </c>
      <c r="AP284" s="93">
        <v>9.1112660000000005</v>
      </c>
      <c r="AQ284" s="134">
        <v>9.0281120000000001</v>
      </c>
    </row>
    <row r="285" spans="2:43" x14ac:dyDescent="0.25">
      <c r="B285" s="32">
        <v>4</v>
      </c>
      <c r="C285" s="94">
        <v>15.596924</v>
      </c>
      <c r="D285" s="94">
        <v>15.583435</v>
      </c>
      <c r="E285" s="94">
        <v>15.583227000000001</v>
      </c>
      <c r="F285" s="94">
        <v>15.57945</v>
      </c>
      <c r="G285" s="134">
        <v>15.578827</v>
      </c>
      <c r="H285" s="94">
        <v>13.862781</v>
      </c>
      <c r="I285" s="134">
        <v>13.491735</v>
      </c>
      <c r="J285" s="94">
        <v>13.288819</v>
      </c>
      <c r="K285" s="134">
        <v>12.930038</v>
      </c>
      <c r="L285" s="94">
        <v>12.721641999999999</v>
      </c>
      <c r="M285" s="134">
        <v>12.380641000000001</v>
      </c>
      <c r="N285" s="94">
        <v>12.554732</v>
      </c>
      <c r="O285" s="134">
        <v>12.364592999999999</v>
      </c>
      <c r="P285" s="94">
        <v>12.019942</v>
      </c>
      <c r="Q285" s="134">
        <v>11.829044</v>
      </c>
      <c r="R285" s="94">
        <v>11.655476</v>
      </c>
      <c r="S285" s="134">
        <v>11.492851999999999</v>
      </c>
      <c r="T285" s="94">
        <v>11.173099000000001</v>
      </c>
      <c r="U285" s="134">
        <v>11.003515999999999</v>
      </c>
      <c r="V285" s="94">
        <v>10.852974</v>
      </c>
      <c r="W285" s="134">
        <v>10.704890000000001</v>
      </c>
      <c r="X285" s="94">
        <v>10.558021999999999</v>
      </c>
      <c r="Y285" s="134">
        <v>10.278155</v>
      </c>
      <c r="Z285" s="94">
        <v>10.147819999999999</v>
      </c>
      <c r="AA285" s="134">
        <v>10.014302000000001</v>
      </c>
      <c r="AB285" s="94">
        <v>9.8870269999999998</v>
      </c>
      <c r="AC285" s="134">
        <v>9.7565639999999991</v>
      </c>
      <c r="AD285" s="94">
        <v>9.6275670000000009</v>
      </c>
      <c r="AE285" s="134">
        <v>9.3985950000000003</v>
      </c>
      <c r="AF285" s="94">
        <v>9.2755430000000008</v>
      </c>
      <c r="AG285" s="134">
        <v>9.1580659999999998</v>
      </c>
      <c r="AH285" s="94">
        <v>9.0524749999999994</v>
      </c>
      <c r="AI285" s="134">
        <v>8.9371310000000008</v>
      </c>
      <c r="AJ285" s="94">
        <v>8.8520719999999997</v>
      </c>
      <c r="AK285" s="134">
        <v>8.7430009999999996</v>
      </c>
      <c r="AL285" s="94">
        <v>8.6466279999999998</v>
      </c>
      <c r="AM285" s="134">
        <v>8.5522849999999995</v>
      </c>
      <c r="AN285" s="94">
        <v>8.4628610000000002</v>
      </c>
      <c r="AO285" s="134">
        <v>8.3793310000000005</v>
      </c>
      <c r="AP285" s="94">
        <v>8.2831689999999991</v>
      </c>
      <c r="AQ285" s="134">
        <v>8.2105580000000007</v>
      </c>
    </row>
    <row r="286" spans="2:43" x14ac:dyDescent="0.25">
      <c r="B286" s="32">
        <v>5</v>
      </c>
      <c r="C286" s="95">
        <v>17.314439</v>
      </c>
      <c r="D286" s="95">
        <v>17.288254999999999</v>
      </c>
      <c r="E286" s="95">
        <v>17.296918000000002</v>
      </c>
      <c r="F286" s="95">
        <v>17.287616</v>
      </c>
      <c r="G286" s="134">
        <v>17.292465</v>
      </c>
      <c r="H286" s="95">
        <v>15.442327000000001</v>
      </c>
      <c r="I286" s="134">
        <v>15.036165</v>
      </c>
      <c r="J286" s="95">
        <v>14.800568999999999</v>
      </c>
      <c r="K286" s="134">
        <v>14.414408999999999</v>
      </c>
      <c r="L286" s="95">
        <v>14.186907</v>
      </c>
      <c r="M286" s="134">
        <v>13.979523</v>
      </c>
      <c r="N286" s="95">
        <v>13.575970999999999</v>
      </c>
      <c r="O286" s="134">
        <v>13.380169</v>
      </c>
      <c r="P286" s="95">
        <v>13.173406999999999</v>
      </c>
      <c r="Q286" s="134">
        <v>12.819034</v>
      </c>
      <c r="R286" s="95">
        <v>12.618542</v>
      </c>
      <c r="S286" s="134">
        <v>12.426482999999999</v>
      </c>
      <c r="T286" s="95">
        <v>12.264616</v>
      </c>
      <c r="U286" s="134">
        <v>11.920144000000001</v>
      </c>
      <c r="V286" s="95">
        <v>11.746480999999999</v>
      </c>
      <c r="W286" s="134">
        <v>11.565723</v>
      </c>
      <c r="X286" s="95">
        <v>11.423169</v>
      </c>
      <c r="Y286" s="134">
        <v>11.268273000000001</v>
      </c>
      <c r="Z286" s="95">
        <v>10.980487999999999</v>
      </c>
      <c r="AA286" s="134">
        <v>10.830886</v>
      </c>
      <c r="AB286" s="95">
        <v>10.687601000000001</v>
      </c>
      <c r="AC286" s="134">
        <v>10.547779</v>
      </c>
      <c r="AD286" s="95">
        <v>10.414027000000001</v>
      </c>
      <c r="AE286" s="134">
        <v>10.155476</v>
      </c>
      <c r="AF286" s="95">
        <v>10.041192000000001</v>
      </c>
      <c r="AG286" s="134">
        <v>9.900779</v>
      </c>
      <c r="AH286" s="95">
        <v>9.7830870000000001</v>
      </c>
      <c r="AI286" s="134">
        <v>9.6667539999999992</v>
      </c>
      <c r="AJ286" s="95">
        <v>9.5484849999999994</v>
      </c>
      <c r="AK286" s="134">
        <v>9.4390470000000004</v>
      </c>
      <c r="AL286" s="95">
        <v>9.3324999999999996</v>
      </c>
      <c r="AM286" s="134">
        <v>9.2474860000000003</v>
      </c>
      <c r="AN286" s="95">
        <v>9.1392299999999995</v>
      </c>
      <c r="AO286" s="134">
        <v>9.0452100000000009</v>
      </c>
      <c r="AP286" s="95">
        <v>9.2219339999999992</v>
      </c>
      <c r="AQ286" s="134">
        <v>9.1218769999999996</v>
      </c>
    </row>
    <row r="287" spans="2:43" x14ac:dyDescent="0.25">
      <c r="B287" s="32">
        <v>6</v>
      </c>
      <c r="C287" s="96">
        <v>17.139209999999999</v>
      </c>
      <c r="D287" s="96">
        <v>17.657105999999999</v>
      </c>
      <c r="E287" s="96">
        <v>17.656486000000001</v>
      </c>
      <c r="F287" s="96">
        <v>17.645102000000001</v>
      </c>
      <c r="G287" s="134">
        <v>17.649280000000001</v>
      </c>
      <c r="H287" s="96">
        <v>15.756474000000001</v>
      </c>
      <c r="I287" s="134">
        <v>15.351753</v>
      </c>
      <c r="J287" s="96">
        <v>15.111409</v>
      </c>
      <c r="K287" s="134">
        <v>14.712009</v>
      </c>
      <c r="L287" s="96">
        <v>14.496223000000001</v>
      </c>
      <c r="M287" s="134">
        <v>14.286989999999999</v>
      </c>
      <c r="N287" s="96">
        <v>13.85216</v>
      </c>
      <c r="O287" s="134">
        <v>13.650938</v>
      </c>
      <c r="P287" s="96">
        <v>13.462516000000001</v>
      </c>
      <c r="Q287" s="134">
        <v>13.090344</v>
      </c>
      <c r="R287" s="96">
        <v>12.894022</v>
      </c>
      <c r="S287" s="134">
        <v>12.715873999999999</v>
      </c>
      <c r="T287" s="96">
        <v>12.542296</v>
      </c>
      <c r="U287" s="134">
        <v>12.176882000000001</v>
      </c>
      <c r="V287" s="96">
        <v>12.009245999999999</v>
      </c>
      <c r="W287" s="134">
        <v>11.836748</v>
      </c>
      <c r="X287" s="96">
        <v>11.682644</v>
      </c>
      <c r="Y287" s="134">
        <v>11.539269000000001</v>
      </c>
      <c r="Z287" s="96">
        <v>11.225201999999999</v>
      </c>
      <c r="AA287" s="134">
        <v>11.072310999999999</v>
      </c>
      <c r="AB287" s="96">
        <v>10.928654</v>
      </c>
      <c r="AC287" s="134">
        <v>10.802300000000001</v>
      </c>
      <c r="AD287" s="96">
        <v>10.661714</v>
      </c>
      <c r="AE287" s="134">
        <v>10.503663</v>
      </c>
      <c r="AF287" s="96">
        <v>10.250465</v>
      </c>
      <c r="AG287" s="134">
        <v>10.124347999999999</v>
      </c>
      <c r="AH287" s="96">
        <v>10.010046000000001</v>
      </c>
      <c r="AI287" s="134">
        <v>9.8845829999999992</v>
      </c>
      <c r="AJ287" s="96">
        <v>9.7791599999999992</v>
      </c>
      <c r="AK287" s="134">
        <v>9.6545079999999999</v>
      </c>
      <c r="AL287" s="96">
        <v>9.5548719999999996</v>
      </c>
      <c r="AM287" s="134">
        <v>9.4574999999999996</v>
      </c>
      <c r="AN287" s="96">
        <v>9.3490970000000004</v>
      </c>
      <c r="AO287" s="134">
        <v>9.2735909999999997</v>
      </c>
      <c r="AP287" s="96">
        <v>9.1753210000000003</v>
      </c>
      <c r="AQ287" s="134">
        <v>9.0834320000000002</v>
      </c>
    </row>
    <row r="306" spans="2:43" x14ac:dyDescent="0.25">
      <c r="B306" s="47" t="s">
        <v>4</v>
      </c>
      <c r="C306" s="47">
        <v>2</v>
      </c>
      <c r="D306" s="47"/>
      <c r="E306" s="47"/>
      <c r="F306" s="47"/>
      <c r="G306" s="21"/>
      <c r="H306" s="47"/>
      <c r="I306" s="21"/>
      <c r="J306" s="47"/>
      <c r="K306" s="21"/>
      <c r="L306" s="47"/>
      <c r="M306" s="21"/>
      <c r="N306" s="47"/>
      <c r="O306" s="21"/>
      <c r="P306" s="47"/>
      <c r="Q306" s="21"/>
      <c r="R306" s="47"/>
      <c r="S306" s="21"/>
      <c r="T306" s="47"/>
      <c r="U306" s="21"/>
      <c r="V306" s="47"/>
      <c r="W306" s="21"/>
      <c r="X306" s="47"/>
      <c r="Y306" s="21"/>
      <c r="Z306" s="47"/>
      <c r="AA306" s="21"/>
      <c r="AB306" s="47"/>
      <c r="AC306" s="21"/>
      <c r="AD306" s="47"/>
      <c r="AE306" s="21"/>
      <c r="AF306" s="47"/>
      <c r="AG306" s="21"/>
      <c r="AH306" s="47"/>
      <c r="AI306" s="21"/>
      <c r="AJ306" s="47"/>
      <c r="AK306" s="21"/>
      <c r="AL306" s="47"/>
      <c r="AM306" s="21"/>
      <c r="AN306" s="47"/>
      <c r="AO306" s="21"/>
      <c r="AP306" s="47"/>
      <c r="AQ306" s="21"/>
    </row>
    <row r="307" spans="2:43" x14ac:dyDescent="0.25">
      <c r="B307" s="1" t="s">
        <v>1</v>
      </c>
      <c r="C307" s="1">
        <v>1.8</v>
      </c>
      <c r="D307" s="2">
        <v>1.85</v>
      </c>
      <c r="E307" s="2">
        <v>1.9</v>
      </c>
      <c r="F307" s="2">
        <v>1.95</v>
      </c>
      <c r="G307" s="22">
        <v>2</v>
      </c>
      <c r="H307" s="2">
        <v>2.0499999999999998</v>
      </c>
      <c r="I307" s="22">
        <v>2.1</v>
      </c>
      <c r="J307" s="2">
        <v>2.15</v>
      </c>
      <c r="K307" s="22">
        <v>2.2000000000000002</v>
      </c>
      <c r="L307" s="2">
        <v>2.25</v>
      </c>
      <c r="M307" s="22">
        <v>2.2999999999999998</v>
      </c>
      <c r="N307" s="2">
        <v>2.35</v>
      </c>
      <c r="O307" s="22">
        <v>2.4</v>
      </c>
      <c r="P307" s="2">
        <v>2.4500000000000002</v>
      </c>
      <c r="Q307" s="22">
        <v>2.5</v>
      </c>
      <c r="R307" s="2">
        <v>2.5499999999999998</v>
      </c>
      <c r="S307" s="22">
        <v>2.6</v>
      </c>
      <c r="T307" s="2">
        <v>2.65</v>
      </c>
      <c r="U307" s="22">
        <v>2.7</v>
      </c>
      <c r="V307" s="2">
        <v>2.75</v>
      </c>
      <c r="W307" s="22">
        <v>2.8</v>
      </c>
      <c r="X307" s="2">
        <v>2.85</v>
      </c>
      <c r="Y307" s="22">
        <v>2.9</v>
      </c>
      <c r="Z307" s="2">
        <v>2.95</v>
      </c>
      <c r="AA307" s="22">
        <v>3</v>
      </c>
      <c r="AB307" s="2">
        <v>3.05</v>
      </c>
      <c r="AC307" s="22">
        <v>3.1</v>
      </c>
      <c r="AD307" s="2">
        <v>3.15</v>
      </c>
      <c r="AE307" s="22">
        <v>3.2</v>
      </c>
      <c r="AF307" s="2">
        <v>3.25</v>
      </c>
      <c r="AG307" s="22">
        <v>3.3</v>
      </c>
      <c r="AH307" s="2">
        <v>3.35</v>
      </c>
      <c r="AI307" s="22">
        <v>3.4</v>
      </c>
      <c r="AJ307" s="2">
        <v>3.45</v>
      </c>
      <c r="AK307" s="22">
        <v>3.5</v>
      </c>
      <c r="AL307" s="2">
        <v>3.55</v>
      </c>
      <c r="AM307" s="22">
        <v>3.6</v>
      </c>
      <c r="AN307" s="2">
        <v>3.65</v>
      </c>
      <c r="AO307" s="22">
        <v>3.7</v>
      </c>
      <c r="AP307" s="2">
        <v>3.75</v>
      </c>
      <c r="AQ307" s="22">
        <v>3.8</v>
      </c>
    </row>
    <row r="308" spans="2:43" x14ac:dyDescent="0.25">
      <c r="B308" s="1" t="s">
        <v>3</v>
      </c>
      <c r="C308" s="3">
        <f>AVERAGE(C309,C310,C311,C312,C313,C314)</f>
        <v>15.777763833333333</v>
      </c>
      <c r="D308" s="3">
        <f t="shared" ref="D308" si="401">AVERAGE(D309,D310,D311)</f>
        <v>15.618905333333331</v>
      </c>
      <c r="E308" s="3">
        <f t="shared" ref="E308" si="402">AVERAGE(E309,E310,E311)</f>
        <v>15.793193666666667</v>
      </c>
      <c r="F308" s="3">
        <f t="shared" ref="F308" si="403">AVERAGE(F309,F310,F311)</f>
        <v>15.792244999999999</v>
      </c>
      <c r="G308" s="34">
        <f t="shared" ref="G308" si="404">AVERAGE(G309,G310,G311)</f>
        <v>15.799976000000001</v>
      </c>
      <c r="H308" s="3">
        <f t="shared" ref="H308" si="405">AVERAGE(H309,H310,H311)</f>
        <v>14.085693000000001</v>
      </c>
      <c r="I308" s="34">
        <f t="shared" ref="I308" si="406">AVERAGE(I309,I310,I311)</f>
        <v>13.713785666666666</v>
      </c>
      <c r="J308" s="3">
        <f t="shared" ref="J308" si="407">AVERAGE(J309,J310,J311)</f>
        <v>13.500557000000001</v>
      </c>
      <c r="K308" s="34">
        <f t="shared" ref="K308" si="408">AVERAGE(K309,K310,K311)</f>
        <v>13.149096</v>
      </c>
      <c r="L308" s="3">
        <f t="shared" ref="L308" si="409">AVERAGE(L309,L310,L311)</f>
        <v>12.949227</v>
      </c>
      <c r="M308" s="34">
        <f t="shared" ref="M308" si="410">AVERAGE(M309,M310,M311)</f>
        <v>12.705560333333333</v>
      </c>
      <c r="N308" s="3">
        <f t="shared" ref="N308" si="411">AVERAGE(N309,N310,N311)</f>
        <v>12.523604333333333</v>
      </c>
      <c r="O308" s="34">
        <f t="shared" ref="O308" si="412">AVERAGE(O309,O310,O311)</f>
        <v>12.203321333333335</v>
      </c>
      <c r="P308" s="3">
        <f t="shared" ref="P308" si="413">AVERAGE(P309,P310,P311)</f>
        <v>12.101616999999999</v>
      </c>
      <c r="Q308" s="34">
        <f t="shared" ref="Q308" si="414">AVERAGE(Q309,Q310,Q311)</f>
        <v>11.814261333333334</v>
      </c>
      <c r="R308" s="3">
        <f t="shared" ref="R308" si="415">AVERAGE(R309,R310,R311)</f>
        <v>11.644654333333333</v>
      </c>
      <c r="S308" s="34">
        <f t="shared" ref="S308" si="416">AVERAGE(S309,S310,S311)</f>
        <v>11.473889333333332</v>
      </c>
      <c r="T308" s="3">
        <f t="shared" ref="T308" si="417">AVERAGE(T309,T310,T311)</f>
        <v>11.272117666666666</v>
      </c>
      <c r="U308" s="34">
        <f t="shared" ref="U308" si="418">AVERAGE(U309,U310,U311)</f>
        <v>10.992691333333333</v>
      </c>
      <c r="V308" s="3">
        <f t="shared" ref="V308" si="419">AVERAGE(V309,V310,V311)</f>
        <v>10.837005999999997</v>
      </c>
      <c r="W308" s="34">
        <f t="shared" ref="W308" si="420">AVERAGE(W309,W310,W311)</f>
        <v>10.680661333333333</v>
      </c>
      <c r="X308" s="3">
        <f t="shared" ref="X308" si="421">AVERAGE(X309,X310,X311)</f>
        <v>10.541508666666665</v>
      </c>
      <c r="Y308" s="34">
        <f t="shared" ref="Y308" si="422">AVERAGE(Y309,Y310,Y311)</f>
        <v>10.364286999999999</v>
      </c>
      <c r="Z308" s="3">
        <f t="shared" ref="Z308" si="423">AVERAGE(Z309,Z310,Z311)</f>
        <v>10.123678333333332</v>
      </c>
      <c r="AA308" s="34">
        <f t="shared" ref="AA308" si="424">AVERAGE(AA309,AA310,AA311)</f>
        <v>9.9965530000000005</v>
      </c>
      <c r="AB308" s="3">
        <f t="shared" ref="AB308" si="425">AVERAGE(AB309,AB310,AB311)</f>
        <v>9.8618636666666664</v>
      </c>
      <c r="AC308" s="34">
        <f t="shared" ref="AC308" si="426">AVERAGE(AC309,AC310,AC311)</f>
        <v>9.7427210000000013</v>
      </c>
      <c r="AD308" s="3">
        <f t="shared" ref="AD308" si="427">AVERAGE(AD309,AD310,AD311)</f>
        <v>9.6153353333333325</v>
      </c>
      <c r="AE308" s="34">
        <f t="shared" ref="AE308" si="428">AVERAGE(AE309,AE310,AE311)</f>
        <v>9.4204310000000007</v>
      </c>
      <c r="AF308" s="3">
        <f t="shared" ref="AF308" si="429">AVERAGE(AF309,AF310,AF311)</f>
        <v>9.264106</v>
      </c>
      <c r="AG308" s="34">
        <f t="shared" ref="AG308" si="430">AVERAGE(AG309,AG310,AG311)</f>
        <v>9.1428773333333329</v>
      </c>
      <c r="AH308" s="3">
        <f t="shared" ref="AH308" si="431">AVERAGE(AH309,AH310,AH311)</f>
        <v>9.035893333333334</v>
      </c>
      <c r="AI308" s="34">
        <f t="shared" ref="AI308" si="432">AVERAGE(AI309,AI310,AI311)</f>
        <v>8.9320703333333338</v>
      </c>
      <c r="AJ308" s="3">
        <f t="shared" ref="AJ308" si="433">AVERAGE(AJ309,AJ310,AJ311)</f>
        <v>8.8262959999999993</v>
      </c>
      <c r="AK308" s="34">
        <f t="shared" ref="AK308" si="434">AVERAGE(AK309,AK310,AK311)</f>
        <v>8.7200653333333324</v>
      </c>
      <c r="AL308" s="3">
        <f t="shared" ref="AL308" si="435">AVERAGE(AL309,AL310,AL311)</f>
        <v>8.6282013333333332</v>
      </c>
      <c r="AM308" s="34">
        <f t="shared" ref="AM308" si="436">AVERAGE(AM309,AM310,AM311)</f>
        <v>8.5359800000000003</v>
      </c>
      <c r="AN308" s="3">
        <f t="shared" ref="AN308" si="437">AVERAGE(AN309,AN310,AN311)</f>
        <v>8.4456723333333326</v>
      </c>
      <c r="AO308" s="34">
        <f t="shared" ref="AO308" si="438">AVERAGE(AO309,AO310,AO311)</f>
        <v>8.3616656666666671</v>
      </c>
      <c r="AP308" s="3">
        <f t="shared" ref="AP308" si="439">AVERAGE(AP309,AP310,AP311)</f>
        <v>8.2769983333333332</v>
      </c>
      <c r="AQ308" s="34">
        <f t="shared" ref="AQ308" si="440">AVERAGE(AQ309,AQ310,AQ311)</f>
        <v>8.2889266666666668</v>
      </c>
    </row>
    <row r="309" spans="2:43" x14ac:dyDescent="0.25">
      <c r="B309" s="1">
        <v>1</v>
      </c>
      <c r="C309" s="97">
        <v>16.055123999999999</v>
      </c>
      <c r="D309" s="97">
        <v>16.032830000000001</v>
      </c>
      <c r="E309" s="97">
        <v>16.576924999999999</v>
      </c>
      <c r="F309" s="97">
        <v>16.575465999999999</v>
      </c>
      <c r="G309" s="134">
        <v>16.57985</v>
      </c>
      <c r="H309" s="97">
        <v>14.790569</v>
      </c>
      <c r="I309" s="134">
        <v>14.411314000000001</v>
      </c>
      <c r="J309" s="97">
        <v>14.189738</v>
      </c>
      <c r="K309" s="134">
        <v>13.816257999999999</v>
      </c>
      <c r="L309" s="97">
        <v>13.610678</v>
      </c>
      <c r="M309" s="134">
        <v>13.423876</v>
      </c>
      <c r="N309" s="97">
        <v>13.016905</v>
      </c>
      <c r="O309" s="134">
        <v>12.823973000000001</v>
      </c>
      <c r="P309" s="97">
        <v>12.634942000000001</v>
      </c>
      <c r="Q309" s="134">
        <v>12.279586</v>
      </c>
      <c r="R309" s="97">
        <v>12.118941</v>
      </c>
      <c r="S309" s="134">
        <v>11.949221</v>
      </c>
      <c r="T309" s="97">
        <v>11.784216000000001</v>
      </c>
      <c r="U309" s="134">
        <v>11.44707</v>
      </c>
      <c r="V309" s="97">
        <v>11.277013999999999</v>
      </c>
      <c r="W309" s="134">
        <v>11.112311</v>
      </c>
      <c r="X309" s="97">
        <v>10.981481</v>
      </c>
      <c r="Y309" s="134">
        <v>10.838258</v>
      </c>
      <c r="Z309" s="97">
        <v>10.51867</v>
      </c>
      <c r="AA309" s="134">
        <v>10.405385000000001</v>
      </c>
      <c r="AB309" s="97">
        <v>10.253697000000001</v>
      </c>
      <c r="AC309" s="134">
        <v>10.141111</v>
      </c>
      <c r="AD309" s="97">
        <v>10.001146</v>
      </c>
      <c r="AE309" s="134">
        <v>9.8908290000000001</v>
      </c>
      <c r="AF309" s="97">
        <v>9.6397659999999998</v>
      </c>
      <c r="AG309" s="134">
        <v>9.5170779999999997</v>
      </c>
      <c r="AH309" s="97">
        <v>9.4061920000000008</v>
      </c>
      <c r="AI309" s="134">
        <v>9.2961069999999992</v>
      </c>
      <c r="AJ309" s="97">
        <v>9.1871220000000005</v>
      </c>
      <c r="AK309" s="134">
        <v>9.0770579999999992</v>
      </c>
      <c r="AL309" s="97">
        <v>8.9795160000000003</v>
      </c>
      <c r="AM309" s="134">
        <v>8.8875060000000001</v>
      </c>
      <c r="AN309" s="97">
        <v>8.7894430000000003</v>
      </c>
      <c r="AO309" s="134">
        <v>8.7136049999999994</v>
      </c>
      <c r="AP309" s="97">
        <v>8.6182879999999997</v>
      </c>
      <c r="AQ309" s="134">
        <v>8.5349269999999997</v>
      </c>
    </row>
    <row r="310" spans="2:43" x14ac:dyDescent="0.25">
      <c r="B310" s="1">
        <v>2</v>
      </c>
      <c r="C310" s="98">
        <v>16.212586999999999</v>
      </c>
      <c r="D310" s="98">
        <v>16.212499999999999</v>
      </c>
      <c r="E310" s="98">
        <v>16.208235999999999</v>
      </c>
      <c r="F310" s="98">
        <v>16.186821999999999</v>
      </c>
      <c r="G310" s="134">
        <v>16.21866</v>
      </c>
      <c r="H310" s="98">
        <v>14.471700999999999</v>
      </c>
      <c r="I310" s="134">
        <v>14.079573</v>
      </c>
      <c r="J310" s="98">
        <v>13.860699</v>
      </c>
      <c r="K310" s="134">
        <v>13.50619</v>
      </c>
      <c r="L310" s="98">
        <v>13.299531</v>
      </c>
      <c r="M310" s="134">
        <v>13.087845</v>
      </c>
      <c r="N310" s="98">
        <v>12.723739</v>
      </c>
      <c r="O310" s="134">
        <v>12.538967</v>
      </c>
      <c r="P310" s="98">
        <v>12.338663</v>
      </c>
      <c r="Q310" s="134">
        <v>12.008509999999999</v>
      </c>
      <c r="R310" s="98">
        <v>11.829827</v>
      </c>
      <c r="S310" s="134">
        <v>11.644413999999999</v>
      </c>
      <c r="T310" s="98">
        <v>11.493281</v>
      </c>
      <c r="U310" s="134">
        <v>11.156750000000001</v>
      </c>
      <c r="V310" s="98">
        <v>11.007695999999999</v>
      </c>
      <c r="W310" s="134">
        <v>10.847619999999999</v>
      </c>
      <c r="X310" s="98">
        <v>10.697619</v>
      </c>
      <c r="Y310" s="134">
        <v>10.563243999999999</v>
      </c>
      <c r="Z310" s="98">
        <v>10.283132999999999</v>
      </c>
      <c r="AA310" s="134">
        <v>10.148982</v>
      </c>
      <c r="AB310" s="98">
        <v>10.011914000000001</v>
      </c>
      <c r="AC310" s="134">
        <v>9.8866259999999997</v>
      </c>
      <c r="AD310" s="98">
        <v>9.7651629999999994</v>
      </c>
      <c r="AE310" s="134">
        <v>9.5156709999999993</v>
      </c>
      <c r="AF310" s="98">
        <v>9.4110019999999999</v>
      </c>
      <c r="AG310" s="134">
        <v>9.2811810000000001</v>
      </c>
      <c r="AH310" s="98">
        <v>9.1697150000000001</v>
      </c>
      <c r="AI310" s="134">
        <v>9.071021</v>
      </c>
      <c r="AJ310" s="98">
        <v>8.950844</v>
      </c>
      <c r="AK310" s="134">
        <v>8.8454580000000007</v>
      </c>
      <c r="AL310" s="98">
        <v>8.7584140000000001</v>
      </c>
      <c r="AM310" s="134">
        <v>8.6629419999999993</v>
      </c>
      <c r="AN310" s="98">
        <v>8.5735849999999996</v>
      </c>
      <c r="AO310" s="134">
        <v>8.4781390000000005</v>
      </c>
      <c r="AP310" s="98">
        <v>8.3968779999999992</v>
      </c>
      <c r="AQ310" s="134">
        <v>8.5896729999999994</v>
      </c>
    </row>
    <row r="311" spans="2:43" x14ac:dyDescent="0.25">
      <c r="B311" s="1">
        <v>3</v>
      </c>
      <c r="C311" s="99">
        <v>14.623699999999999</v>
      </c>
      <c r="D311" s="99">
        <v>14.611386</v>
      </c>
      <c r="E311" s="99">
        <v>14.59442</v>
      </c>
      <c r="F311" s="99">
        <v>14.614447</v>
      </c>
      <c r="G311" s="134">
        <v>14.601418000000001</v>
      </c>
      <c r="H311" s="99">
        <v>12.994809</v>
      </c>
      <c r="I311" s="134">
        <v>12.65047</v>
      </c>
      <c r="J311" s="99">
        <v>12.451233999999999</v>
      </c>
      <c r="K311" s="134">
        <v>12.124840000000001</v>
      </c>
      <c r="L311" s="99">
        <v>11.937472</v>
      </c>
      <c r="M311" s="134">
        <v>11.60496</v>
      </c>
      <c r="N311" s="99">
        <v>11.830169</v>
      </c>
      <c r="O311" s="134">
        <v>11.247024</v>
      </c>
      <c r="P311" s="99">
        <v>11.331246</v>
      </c>
      <c r="Q311" s="134">
        <v>11.154688</v>
      </c>
      <c r="R311" s="99">
        <v>10.985194999999999</v>
      </c>
      <c r="S311" s="134">
        <v>10.828033</v>
      </c>
      <c r="T311" s="99">
        <v>10.538855999999999</v>
      </c>
      <c r="U311" s="134">
        <v>10.374254000000001</v>
      </c>
      <c r="V311" s="99">
        <v>10.226308</v>
      </c>
      <c r="W311" s="134">
        <v>10.082053</v>
      </c>
      <c r="X311" s="99">
        <v>9.9454259999999994</v>
      </c>
      <c r="Y311" s="134">
        <v>9.6913590000000003</v>
      </c>
      <c r="Z311" s="99">
        <v>9.5692319999999995</v>
      </c>
      <c r="AA311" s="134">
        <v>9.4352920000000005</v>
      </c>
      <c r="AB311" s="99">
        <v>9.3199799999999993</v>
      </c>
      <c r="AC311" s="134">
        <v>9.2004260000000002</v>
      </c>
      <c r="AD311" s="99">
        <v>9.0796969999999995</v>
      </c>
      <c r="AE311" s="134">
        <v>8.8547930000000008</v>
      </c>
      <c r="AF311" s="99">
        <v>8.7415500000000002</v>
      </c>
      <c r="AG311" s="134">
        <v>8.6303730000000005</v>
      </c>
      <c r="AH311" s="99">
        <v>8.5317729999999994</v>
      </c>
      <c r="AI311" s="134">
        <v>8.4290830000000003</v>
      </c>
      <c r="AJ311" s="99">
        <v>8.3409220000000008</v>
      </c>
      <c r="AK311" s="134">
        <v>8.2376799999999992</v>
      </c>
      <c r="AL311" s="99">
        <v>8.1466740000000009</v>
      </c>
      <c r="AM311" s="134">
        <v>8.0574919999999999</v>
      </c>
      <c r="AN311" s="99">
        <v>7.9739890000000004</v>
      </c>
      <c r="AO311" s="134">
        <v>7.8932529999999996</v>
      </c>
      <c r="AP311" s="99">
        <v>7.8158289999999999</v>
      </c>
      <c r="AQ311" s="134">
        <v>7.7421800000000003</v>
      </c>
    </row>
    <row r="312" spans="2:43" x14ac:dyDescent="0.25">
      <c r="B312" s="32">
        <v>4</v>
      </c>
      <c r="C312" s="100">
        <v>15.998931000000001</v>
      </c>
      <c r="D312" s="100">
        <v>15.981712</v>
      </c>
      <c r="E312" s="100">
        <v>15.987232000000001</v>
      </c>
      <c r="F312" s="100">
        <v>15.973039</v>
      </c>
      <c r="G312" s="134">
        <v>15.991255000000001</v>
      </c>
      <c r="H312" s="100">
        <v>14.235783</v>
      </c>
      <c r="I312" s="134">
        <v>13.873416000000001</v>
      </c>
      <c r="J312" s="100">
        <v>13.641121999999999</v>
      </c>
      <c r="K312" s="134">
        <v>13.295355000000001</v>
      </c>
      <c r="L312" s="100">
        <v>13.077757999999999</v>
      </c>
      <c r="M312" s="134">
        <v>12.720105</v>
      </c>
      <c r="N312" s="100">
        <v>12.510173999999999</v>
      </c>
      <c r="O312" s="134">
        <v>12.335037</v>
      </c>
      <c r="P312" s="100">
        <v>11.993297999999999</v>
      </c>
      <c r="Q312" s="134">
        <v>12.244152</v>
      </c>
      <c r="R312" s="100">
        <v>12.060438</v>
      </c>
      <c r="S312" s="134">
        <v>11.898937999999999</v>
      </c>
      <c r="T312" s="100">
        <v>11.566388999999999</v>
      </c>
      <c r="U312" s="134">
        <v>11.385719</v>
      </c>
      <c r="V312" s="100">
        <v>11.236867999999999</v>
      </c>
      <c r="W312" s="134">
        <v>11.071991000000001</v>
      </c>
      <c r="X312" s="100">
        <v>10.916905</v>
      </c>
      <c r="Y312" s="134">
        <v>10.637179</v>
      </c>
      <c r="Z312" s="100">
        <v>10.492308</v>
      </c>
      <c r="AA312" s="134">
        <v>10.354151999999999</v>
      </c>
      <c r="AB312" s="100">
        <v>10.235562</v>
      </c>
      <c r="AC312" s="134">
        <v>10.08567</v>
      </c>
      <c r="AD312" s="100">
        <v>9.9667270000000006</v>
      </c>
      <c r="AE312" s="134">
        <v>9.7190359999999991</v>
      </c>
      <c r="AF312" s="100">
        <v>9.6067750000000007</v>
      </c>
      <c r="AG312" s="134">
        <v>9.4771020000000004</v>
      </c>
      <c r="AH312" s="100">
        <v>9.3759879999999995</v>
      </c>
      <c r="AI312" s="134">
        <v>9.2543609999999994</v>
      </c>
      <c r="AJ312" s="100">
        <v>9.1493680000000008</v>
      </c>
      <c r="AK312" s="134">
        <v>9.0400550000000006</v>
      </c>
      <c r="AL312" s="100">
        <v>8.9491940000000003</v>
      </c>
      <c r="AM312" s="134">
        <v>8.8550380000000004</v>
      </c>
      <c r="AN312" s="100">
        <v>8.7628109999999992</v>
      </c>
      <c r="AO312" s="134">
        <v>8.6808560000000003</v>
      </c>
      <c r="AP312" s="100">
        <v>8.5711270000000006</v>
      </c>
      <c r="AQ312" s="134">
        <v>8.5080399999999994</v>
      </c>
    </row>
    <row r="313" spans="2:43" x14ac:dyDescent="0.25">
      <c r="B313" s="32">
        <v>5</v>
      </c>
      <c r="C313" s="101">
        <v>15.785710999999999</v>
      </c>
      <c r="D313" s="101">
        <v>15.75709</v>
      </c>
      <c r="E313" s="101">
        <v>15.742663</v>
      </c>
      <c r="F313" s="101">
        <v>15.755029</v>
      </c>
      <c r="G313" s="134">
        <v>15.748211</v>
      </c>
      <c r="H313" s="101">
        <v>14.055308999999999</v>
      </c>
      <c r="I313" s="134">
        <v>13.671638</v>
      </c>
      <c r="J313" s="101">
        <v>13.482032</v>
      </c>
      <c r="K313" s="134">
        <v>13.104257</v>
      </c>
      <c r="L313" s="101">
        <v>12.916512000000001</v>
      </c>
      <c r="M313" s="134">
        <v>12.724498000000001</v>
      </c>
      <c r="N313" s="101">
        <v>12.370554</v>
      </c>
      <c r="O313" s="134">
        <v>12.180097</v>
      </c>
      <c r="P313" s="101">
        <v>11.842134</v>
      </c>
      <c r="Q313" s="134">
        <v>11.671621</v>
      </c>
      <c r="R313" s="101">
        <v>11.491505</v>
      </c>
      <c r="S313" s="134">
        <v>11.310022</v>
      </c>
      <c r="T313" s="101">
        <v>10.992043000000001</v>
      </c>
      <c r="U313" s="134">
        <v>10.846557000000001</v>
      </c>
      <c r="V313" s="101">
        <v>10.716139999999999</v>
      </c>
      <c r="W313" s="134">
        <v>10.531784</v>
      </c>
      <c r="X313" s="101">
        <v>10.382868</v>
      </c>
      <c r="Y313" s="134">
        <v>10.120113999999999</v>
      </c>
      <c r="Z313" s="101">
        <v>9.9922489999999993</v>
      </c>
      <c r="AA313" s="134">
        <v>9.8488050000000005</v>
      </c>
      <c r="AB313" s="101">
        <v>9.7301909999999996</v>
      </c>
      <c r="AC313" s="134">
        <v>9.6015809999999995</v>
      </c>
      <c r="AD313" s="101">
        <v>9.4700839999999999</v>
      </c>
      <c r="AE313" s="134">
        <v>9.2395340000000008</v>
      </c>
      <c r="AF313" s="101">
        <v>9.1213960000000007</v>
      </c>
      <c r="AG313" s="134">
        <v>9.0085490000000004</v>
      </c>
      <c r="AH313" s="101">
        <v>8.8972239999999996</v>
      </c>
      <c r="AI313" s="134">
        <v>9.1011699999999998</v>
      </c>
      <c r="AJ313" s="101">
        <v>9.0053739999999998</v>
      </c>
      <c r="AK313" s="134">
        <v>8.9083190000000005</v>
      </c>
      <c r="AL313" s="101">
        <v>8.7884039999999999</v>
      </c>
      <c r="AM313" s="134">
        <v>8.7117210000000007</v>
      </c>
      <c r="AN313" s="101">
        <v>8.6085580000000004</v>
      </c>
      <c r="AO313" s="134">
        <v>8.5308390000000003</v>
      </c>
      <c r="AP313" s="101">
        <v>8.446218</v>
      </c>
      <c r="AQ313" s="134">
        <v>8.3589260000000003</v>
      </c>
    </row>
    <row r="314" spans="2:43" x14ac:dyDescent="0.25">
      <c r="B314" s="32">
        <v>6</v>
      </c>
      <c r="C314" s="102">
        <v>15.99053</v>
      </c>
      <c r="D314" s="102">
        <v>15.977667</v>
      </c>
      <c r="E314" s="102">
        <v>15.985227999999999</v>
      </c>
      <c r="F314" s="102">
        <v>15.995070999999999</v>
      </c>
      <c r="G314" s="134">
        <v>15.983067999999999</v>
      </c>
      <c r="H314" s="102">
        <v>14.234064999999999</v>
      </c>
      <c r="I314" s="134">
        <v>13.857386</v>
      </c>
      <c r="J314" s="102">
        <v>13.652963</v>
      </c>
      <c r="K314" s="134">
        <v>13.269104</v>
      </c>
      <c r="L314" s="102">
        <v>13.076848</v>
      </c>
      <c r="M314" s="134">
        <v>13.314155</v>
      </c>
      <c r="N314" s="102">
        <v>12.937182999999999</v>
      </c>
      <c r="O314" s="134">
        <v>12.74724</v>
      </c>
      <c r="P314" s="102">
        <v>12.539213</v>
      </c>
      <c r="Q314" s="134">
        <v>12.209982</v>
      </c>
      <c r="R314" s="102">
        <v>12.015207999999999</v>
      </c>
      <c r="S314" s="134">
        <v>11.84581</v>
      </c>
      <c r="T314" s="102">
        <v>11.679472000000001</v>
      </c>
      <c r="U314" s="134">
        <v>11.346527999999999</v>
      </c>
      <c r="V314" s="102">
        <v>11.19692</v>
      </c>
      <c r="W314" s="134">
        <v>11.015127</v>
      </c>
      <c r="X314" s="102">
        <v>10.889452</v>
      </c>
      <c r="Y314" s="134">
        <v>10.736895000000001</v>
      </c>
      <c r="Z314" s="102">
        <v>10.46256</v>
      </c>
      <c r="AA314" s="134">
        <v>10.30463</v>
      </c>
      <c r="AB314" s="102">
        <v>10.176539999999999</v>
      </c>
      <c r="AC314" s="134">
        <v>10.054815</v>
      </c>
      <c r="AD314" s="102">
        <v>9.9349959999999999</v>
      </c>
      <c r="AE314" s="134">
        <v>9.8084819999999997</v>
      </c>
      <c r="AF314" s="102">
        <v>9.5745129999999996</v>
      </c>
      <c r="AG314" s="134">
        <v>9.4404599999999999</v>
      </c>
      <c r="AH314" s="102">
        <v>9.3257399999999997</v>
      </c>
      <c r="AI314" s="134">
        <v>9.2153120000000008</v>
      </c>
      <c r="AJ314" s="102">
        <v>9.1129160000000002</v>
      </c>
      <c r="AK314" s="134">
        <v>9.0068830000000002</v>
      </c>
      <c r="AL314" s="102">
        <v>8.916188</v>
      </c>
      <c r="AM314" s="134">
        <v>8.8118379999999998</v>
      </c>
      <c r="AN314" s="102">
        <v>8.7138729999999995</v>
      </c>
      <c r="AO314" s="134">
        <v>8.6125419999999995</v>
      </c>
      <c r="AP314" s="102">
        <v>8.5331010000000003</v>
      </c>
      <c r="AQ314" s="134">
        <v>8.4598019999999998</v>
      </c>
    </row>
    <row r="335" spans="2:43" x14ac:dyDescent="0.25">
      <c r="B335" s="47" t="s">
        <v>4</v>
      </c>
      <c r="C335" s="47">
        <v>1</v>
      </c>
      <c r="D335" s="47"/>
      <c r="E335" s="47"/>
      <c r="F335" s="47"/>
      <c r="G335" s="21"/>
      <c r="H335" s="47"/>
      <c r="I335" s="21"/>
      <c r="J335" s="47"/>
      <c r="K335" s="21"/>
      <c r="L335" s="47"/>
      <c r="M335" s="21"/>
      <c r="N335" s="47"/>
      <c r="O335" s="21"/>
      <c r="P335" s="47"/>
      <c r="Q335" s="21"/>
      <c r="R335" s="47"/>
      <c r="S335" s="21"/>
      <c r="T335" s="47"/>
      <c r="U335" s="21"/>
      <c r="V335" s="47"/>
      <c r="W335" s="21"/>
      <c r="X335" s="47"/>
      <c r="Y335" s="21"/>
      <c r="Z335" s="47"/>
      <c r="AA335" s="21"/>
      <c r="AB335" s="47"/>
      <c r="AC335" s="21"/>
      <c r="AD335" s="47"/>
      <c r="AE335" s="21"/>
      <c r="AF335" s="47"/>
      <c r="AG335" s="21"/>
      <c r="AH335" s="47"/>
      <c r="AI335" s="21"/>
      <c r="AJ335" s="47"/>
      <c r="AK335" s="21"/>
      <c r="AL335" s="47"/>
      <c r="AM335" s="21"/>
      <c r="AN335" s="47"/>
      <c r="AO335" s="21"/>
      <c r="AP335" s="47"/>
      <c r="AQ335" s="21"/>
    </row>
    <row r="336" spans="2:43" x14ac:dyDescent="0.25">
      <c r="B336" s="1" t="s">
        <v>1</v>
      </c>
      <c r="C336" s="1">
        <v>1.8</v>
      </c>
      <c r="D336" s="2">
        <v>1.85</v>
      </c>
      <c r="E336" s="2">
        <v>1.9</v>
      </c>
      <c r="F336" s="2">
        <v>1.95</v>
      </c>
      <c r="G336" s="22">
        <v>2</v>
      </c>
      <c r="H336" s="2">
        <v>2.0499999999999998</v>
      </c>
      <c r="I336" s="22">
        <v>2.1</v>
      </c>
      <c r="J336" s="2">
        <v>2.15</v>
      </c>
      <c r="K336" s="22">
        <v>2.2000000000000002</v>
      </c>
      <c r="L336" s="2">
        <v>2.25</v>
      </c>
      <c r="M336" s="22">
        <v>2.2999999999999998</v>
      </c>
      <c r="N336" s="2">
        <v>2.35</v>
      </c>
      <c r="O336" s="22">
        <v>2.4</v>
      </c>
      <c r="P336" s="2">
        <v>2.4500000000000002</v>
      </c>
      <c r="Q336" s="22">
        <v>2.5</v>
      </c>
      <c r="R336" s="2">
        <v>2.5499999999999998</v>
      </c>
      <c r="S336" s="22">
        <v>2.6</v>
      </c>
      <c r="T336" s="2">
        <v>2.65</v>
      </c>
      <c r="U336" s="22">
        <v>2.7</v>
      </c>
      <c r="V336" s="2">
        <v>2.75</v>
      </c>
      <c r="W336" s="22">
        <v>2.8</v>
      </c>
      <c r="X336" s="2">
        <v>2.85</v>
      </c>
      <c r="Y336" s="22">
        <v>2.9</v>
      </c>
      <c r="Z336" s="2">
        <v>2.95</v>
      </c>
      <c r="AA336" s="22">
        <v>3</v>
      </c>
      <c r="AB336" s="2">
        <v>3.05</v>
      </c>
      <c r="AC336" s="22">
        <v>3.1</v>
      </c>
      <c r="AD336" s="2">
        <v>3.15</v>
      </c>
      <c r="AE336" s="22">
        <v>3.2</v>
      </c>
      <c r="AF336" s="2">
        <v>3.25</v>
      </c>
      <c r="AG336" s="22">
        <v>3.3</v>
      </c>
      <c r="AH336" s="2">
        <v>3.35</v>
      </c>
      <c r="AI336" s="22">
        <v>3.4</v>
      </c>
      <c r="AJ336" s="2">
        <v>3.45</v>
      </c>
      <c r="AK336" s="22">
        <v>3.5</v>
      </c>
      <c r="AL336" s="2">
        <v>3.55</v>
      </c>
      <c r="AM336" s="22">
        <v>3.6</v>
      </c>
      <c r="AN336" s="2">
        <v>3.65</v>
      </c>
      <c r="AO336" s="22">
        <v>3.7</v>
      </c>
      <c r="AP336" s="2">
        <v>3.75</v>
      </c>
      <c r="AQ336" s="22">
        <v>3.8</v>
      </c>
    </row>
    <row r="337" spans="2:43" x14ac:dyDescent="0.25">
      <c r="B337" s="1" t="s">
        <v>3</v>
      </c>
      <c r="C337" s="3">
        <f>AVERAGE(C338,C339,C340,C341,C342,C343)</f>
        <v>14.636209666666666</v>
      </c>
      <c r="D337" s="3">
        <f t="shared" ref="D337" si="441">AVERAGE(D338,D339,D340)</f>
        <v>14.762272666666666</v>
      </c>
      <c r="E337" s="3">
        <f t="shared" ref="E337" si="442">AVERAGE(E338,E339,E340)</f>
        <v>14.761077</v>
      </c>
      <c r="F337" s="3">
        <f t="shared" ref="F337" si="443">AVERAGE(F338,F339,F340)</f>
        <v>14.756007333333335</v>
      </c>
      <c r="G337" s="34">
        <f t="shared" ref="G337" si="444">AVERAGE(G338,G339,G340)</f>
        <v>14.760547666666668</v>
      </c>
      <c r="H337" s="3">
        <f t="shared" ref="H337" si="445">AVERAGE(H338,H339,H340)</f>
        <v>13.157992</v>
      </c>
      <c r="I337" s="34">
        <f t="shared" ref="I337" si="446">AVERAGE(I338,I339,I340)</f>
        <v>12.804637999999999</v>
      </c>
      <c r="J337" s="3">
        <f t="shared" ref="J337" si="447">AVERAGE(J338,J339,J340)</f>
        <v>12.621779333333334</v>
      </c>
      <c r="K337" s="34">
        <f t="shared" ref="K337" si="448">AVERAGE(K338,K339,K340)</f>
        <v>12.272991666666664</v>
      </c>
      <c r="L337" s="3">
        <f t="shared" ref="L337" si="449">AVERAGE(L338,L339,L340)</f>
        <v>12.079589</v>
      </c>
      <c r="M337" s="34">
        <f t="shared" ref="M337" si="450">AVERAGE(M338,M339,M340)</f>
        <v>11.851197333333332</v>
      </c>
      <c r="N337" s="3">
        <f t="shared" ref="N337" si="451">AVERAGE(N338,N339,N340)</f>
        <v>11.710813666666667</v>
      </c>
      <c r="O337" s="34">
        <f t="shared" ref="O337" si="452">AVERAGE(O338,O339,O340)</f>
        <v>11.542136666666666</v>
      </c>
      <c r="P337" s="3">
        <f t="shared" ref="P337" si="453">AVERAGE(P338,P339,P340)</f>
        <v>11.273197333333334</v>
      </c>
      <c r="Q337" s="34">
        <f t="shared" ref="Q337" si="454">AVERAGE(Q338,Q339,Q340)</f>
        <v>11.196893333333334</v>
      </c>
      <c r="R337" s="3">
        <f t="shared" ref="R337" si="455">AVERAGE(R338,R339,R340)</f>
        <v>11.034376</v>
      </c>
      <c r="S337" s="34">
        <f t="shared" ref="S337" si="456">AVERAGE(S338,S339,S340)</f>
        <v>10.878762</v>
      </c>
      <c r="T337" s="3">
        <f t="shared" ref="T337" si="457">AVERAGE(T338,T339,T340)</f>
        <v>10.626052</v>
      </c>
      <c r="U337" s="34">
        <f t="shared" ref="U337" si="458">AVERAGE(U338,U339,U340)</f>
        <v>10.419736666666667</v>
      </c>
      <c r="V337" s="3">
        <f t="shared" ref="V337" si="459">AVERAGE(V338,V339,V340)</f>
        <v>10.278354666666665</v>
      </c>
      <c r="W337" s="34">
        <f t="shared" ref="W337" si="460">AVERAGE(W338,W339,W340)</f>
        <v>10.120608333333333</v>
      </c>
      <c r="X337" s="3">
        <f t="shared" ref="X337" si="461">AVERAGE(X338,X339,X340)</f>
        <v>9.9893416666666663</v>
      </c>
      <c r="Y337" s="34">
        <f t="shared" ref="Y337" si="462">AVERAGE(Y338,Y339,Y340)</f>
        <v>9.7657799999999995</v>
      </c>
      <c r="Z337" s="3">
        <f t="shared" ref="Z337" si="463">AVERAGE(Z338,Z339,Z340)</f>
        <v>9.6041196666666675</v>
      </c>
      <c r="AA337" s="34">
        <f t="shared" ref="AA337" si="464">AVERAGE(AA338,AA339,AA340)</f>
        <v>9.4686653333333339</v>
      </c>
      <c r="AB337" s="3">
        <f t="shared" ref="AB337" si="465">AVERAGE(AB338,AB339,AB340)</f>
        <v>9.3583973333333343</v>
      </c>
      <c r="AC337" s="34">
        <f t="shared" ref="AC337" si="466">AVERAGE(AC338,AC339,AC340)</f>
        <v>9.2274770000000004</v>
      </c>
      <c r="AD337" s="3">
        <f t="shared" ref="AD337" si="467">AVERAGE(AD338,AD339,AD340)</f>
        <v>9.1199376666666669</v>
      </c>
      <c r="AE337" s="34">
        <f t="shared" ref="AE337" si="468">AVERAGE(AE338,AE339,AE340)</f>
        <v>8.924964666666666</v>
      </c>
      <c r="AF337" s="3">
        <f t="shared" ref="AF337" si="469">AVERAGE(AF338,AF339,AF340)</f>
        <v>8.782020666666666</v>
      </c>
      <c r="AG337" s="34">
        <f t="shared" ref="AG337" si="470">AVERAGE(AG338,AG339,AG340)</f>
        <v>8.6625696666666681</v>
      </c>
      <c r="AH337" s="3">
        <f t="shared" ref="AH337" si="471">AVERAGE(AH338,AH339,AH340)</f>
        <v>8.5632739999999998</v>
      </c>
      <c r="AI337" s="34">
        <f t="shared" ref="AI337" si="472">AVERAGE(AI338,AI339,AI340)</f>
        <v>8.460998</v>
      </c>
      <c r="AJ337" s="3">
        <f t="shared" ref="AJ337" si="473">AVERAGE(AJ338,AJ339,AJ340)</f>
        <v>8.4720136666666672</v>
      </c>
      <c r="AK337" s="34">
        <f t="shared" ref="AK337" si="474">AVERAGE(AK338,AK339,AK340)</f>
        <v>8.3727403333333346</v>
      </c>
      <c r="AL337" s="3">
        <f t="shared" ref="AL337" si="475">AVERAGE(AL338,AL339,AL340)</f>
        <v>8.2767426666666655</v>
      </c>
      <c r="AM337" s="34">
        <f t="shared" ref="AM337" si="476">AVERAGE(AM338,AM339,AM340)</f>
        <v>8.1877680000000002</v>
      </c>
      <c r="AN337" s="3">
        <f t="shared" ref="AN337" si="477">AVERAGE(AN338,AN339,AN340)</f>
        <v>8.1052079999999993</v>
      </c>
      <c r="AO337" s="34">
        <f t="shared" ref="AO337" si="478">AVERAGE(AO338,AO339,AO340)</f>
        <v>8.0238976666666684</v>
      </c>
      <c r="AP337" s="3">
        <f t="shared" ref="AP337" si="479">AVERAGE(AP338,AP339,AP340)</f>
        <v>7.9433426666666662</v>
      </c>
      <c r="AQ337" s="34">
        <f t="shared" ref="AQ337" si="480">AVERAGE(AQ338,AQ339,AQ340)</f>
        <v>7.8590163333333338</v>
      </c>
    </row>
    <row r="338" spans="2:43" x14ac:dyDescent="0.25">
      <c r="B338" s="1">
        <v>1</v>
      </c>
      <c r="C338" s="103">
        <v>14.850246</v>
      </c>
      <c r="D338" s="103">
        <v>14.838563000000001</v>
      </c>
      <c r="E338" s="103">
        <v>14.836417000000001</v>
      </c>
      <c r="F338" s="103">
        <v>14.847462999999999</v>
      </c>
      <c r="G338" s="134">
        <v>14.831833</v>
      </c>
      <c r="H338" s="103">
        <v>13.214817</v>
      </c>
      <c r="I338" s="134">
        <v>12.871136</v>
      </c>
      <c r="J338" s="103">
        <v>12.693253</v>
      </c>
      <c r="K338" s="134">
        <v>12.329867</v>
      </c>
      <c r="L338" s="103">
        <v>12.135569</v>
      </c>
      <c r="M338" s="134">
        <v>11.970027</v>
      </c>
      <c r="N338" s="103">
        <v>12.066106</v>
      </c>
      <c r="O338" s="134">
        <v>11.884365000000001</v>
      </c>
      <c r="P338" s="103">
        <v>11.706765000000001</v>
      </c>
      <c r="Q338" s="134">
        <v>11.384613</v>
      </c>
      <c r="R338" s="103">
        <v>11.219448999999999</v>
      </c>
      <c r="S338" s="134">
        <v>11.057458</v>
      </c>
      <c r="T338" s="103">
        <v>10.908932999999999</v>
      </c>
      <c r="U338" s="134">
        <v>10.600847</v>
      </c>
      <c r="V338" s="103">
        <v>10.458486000000001</v>
      </c>
      <c r="W338" s="134">
        <v>10.290523</v>
      </c>
      <c r="X338" s="103">
        <v>10.155256</v>
      </c>
      <c r="Y338" s="134">
        <v>10.025321</v>
      </c>
      <c r="Z338" s="103">
        <v>9.7695329999999991</v>
      </c>
      <c r="AA338" s="134">
        <v>9.6297540000000001</v>
      </c>
      <c r="AB338" s="103">
        <v>9.5103229999999996</v>
      </c>
      <c r="AC338" s="134">
        <v>9.3831220000000002</v>
      </c>
      <c r="AD338" s="103">
        <v>9.2802240000000005</v>
      </c>
      <c r="AE338" s="134">
        <v>9.1486190000000001</v>
      </c>
      <c r="AF338" s="103">
        <v>8.9357170000000004</v>
      </c>
      <c r="AG338" s="134">
        <v>8.808446</v>
      </c>
      <c r="AH338" s="103">
        <v>8.7194520000000004</v>
      </c>
      <c r="AI338" s="134">
        <v>8.6082929999999998</v>
      </c>
      <c r="AJ338" s="103">
        <v>8.5113000000000003</v>
      </c>
      <c r="AK338" s="134">
        <v>8.4077809999999999</v>
      </c>
      <c r="AL338" s="103">
        <v>8.3193180000000009</v>
      </c>
      <c r="AM338" s="134">
        <v>8.2230170000000005</v>
      </c>
      <c r="AN338" s="103">
        <v>8.1399969999999993</v>
      </c>
      <c r="AO338" s="134">
        <v>8.0547970000000007</v>
      </c>
      <c r="AP338" s="103">
        <v>7.9817400000000003</v>
      </c>
      <c r="AQ338" s="134">
        <v>7.8949790000000002</v>
      </c>
    </row>
    <row r="339" spans="2:43" x14ac:dyDescent="0.25">
      <c r="B339" s="1">
        <v>2</v>
      </c>
      <c r="C339" s="104">
        <v>14.639932</v>
      </c>
      <c r="D339" s="104">
        <v>14.621513999999999</v>
      </c>
      <c r="E339" s="104">
        <v>14.61228</v>
      </c>
      <c r="F339" s="104">
        <v>14.599656</v>
      </c>
      <c r="G339" s="134">
        <v>14.612247</v>
      </c>
      <c r="H339" s="104">
        <v>13.046599000000001</v>
      </c>
      <c r="I339" s="134">
        <v>12.684433</v>
      </c>
      <c r="J339" s="104">
        <v>12.515967</v>
      </c>
      <c r="K339" s="134">
        <v>12.165070999999999</v>
      </c>
      <c r="L339" s="104">
        <v>11.976585999999999</v>
      </c>
      <c r="M339" s="134">
        <v>11.793087999999999</v>
      </c>
      <c r="N339" s="104">
        <v>11.462559000000001</v>
      </c>
      <c r="O339" s="134">
        <v>11.301587</v>
      </c>
      <c r="P339" s="104">
        <v>10.988414000000001</v>
      </c>
      <c r="Q339" s="134">
        <v>10.819559999999999</v>
      </c>
      <c r="R339" s="104">
        <v>10.661282999999999</v>
      </c>
      <c r="S339" s="134">
        <v>10.513317000000001</v>
      </c>
      <c r="T339" s="104">
        <v>10.209695999999999</v>
      </c>
      <c r="U339" s="134">
        <v>10.064434</v>
      </c>
      <c r="V339" s="104">
        <v>9.9326659999999993</v>
      </c>
      <c r="W339" s="134">
        <v>9.7712749999999993</v>
      </c>
      <c r="X339" s="104">
        <v>9.6538640000000004</v>
      </c>
      <c r="Y339" s="134">
        <v>9.3713250000000006</v>
      </c>
      <c r="Z339" s="104">
        <v>9.2691490000000005</v>
      </c>
      <c r="AA339" s="134">
        <v>9.1372009999999992</v>
      </c>
      <c r="AB339" s="104">
        <v>9.0430919999999997</v>
      </c>
      <c r="AC339" s="134">
        <v>8.9084979999999998</v>
      </c>
      <c r="AD339" s="104">
        <v>8.7954570000000007</v>
      </c>
      <c r="AE339" s="134">
        <v>8.5839920000000003</v>
      </c>
      <c r="AF339" s="104">
        <v>8.4620149999999992</v>
      </c>
      <c r="AG339" s="134">
        <v>8.3563679999999998</v>
      </c>
      <c r="AH339" s="104">
        <v>8.2502779999999998</v>
      </c>
      <c r="AI339" s="134">
        <v>8.1597480000000004</v>
      </c>
      <c r="AJ339" s="104">
        <v>8.3888649999999991</v>
      </c>
      <c r="AK339" s="134">
        <v>8.2920169999999995</v>
      </c>
      <c r="AL339" s="104">
        <v>8.1786049999999992</v>
      </c>
      <c r="AM339" s="134">
        <v>8.1007169999999995</v>
      </c>
      <c r="AN339" s="104">
        <v>8.0184630000000006</v>
      </c>
      <c r="AO339" s="134">
        <v>7.9453940000000003</v>
      </c>
      <c r="AP339" s="104">
        <v>7.8655039999999996</v>
      </c>
      <c r="AQ339" s="134">
        <v>7.7710330000000001</v>
      </c>
    </row>
    <row r="340" spans="2:43" x14ac:dyDescent="0.25">
      <c r="B340" s="1">
        <v>3</v>
      </c>
      <c r="C340" s="105">
        <v>14.842627999999999</v>
      </c>
      <c r="D340" s="105">
        <v>14.826741</v>
      </c>
      <c r="E340" s="105">
        <v>14.834534</v>
      </c>
      <c r="F340" s="105">
        <v>14.820902999999999</v>
      </c>
      <c r="G340" s="134">
        <v>14.837562999999999</v>
      </c>
      <c r="H340" s="105">
        <v>13.21256</v>
      </c>
      <c r="I340" s="134">
        <v>12.858345</v>
      </c>
      <c r="J340" s="105">
        <v>12.656117999999999</v>
      </c>
      <c r="K340" s="134">
        <v>12.324037000000001</v>
      </c>
      <c r="L340" s="105">
        <v>12.126612</v>
      </c>
      <c r="M340" s="134">
        <v>11.790476999999999</v>
      </c>
      <c r="N340" s="105">
        <v>11.603776</v>
      </c>
      <c r="O340" s="134">
        <v>11.440458</v>
      </c>
      <c r="P340" s="105">
        <v>11.124413000000001</v>
      </c>
      <c r="Q340" s="134">
        <v>11.386507</v>
      </c>
      <c r="R340" s="105">
        <v>11.222396</v>
      </c>
      <c r="S340" s="134">
        <v>11.065511000000001</v>
      </c>
      <c r="T340" s="105">
        <v>10.759527</v>
      </c>
      <c r="U340" s="134">
        <v>10.593928999999999</v>
      </c>
      <c r="V340" s="105">
        <v>10.443911999999999</v>
      </c>
      <c r="W340" s="134">
        <v>10.300027</v>
      </c>
      <c r="X340" s="105">
        <v>10.158905000000001</v>
      </c>
      <c r="Y340" s="134">
        <v>9.9006939999999997</v>
      </c>
      <c r="Z340" s="105">
        <v>9.7736769999999993</v>
      </c>
      <c r="AA340" s="134">
        <v>9.6390410000000006</v>
      </c>
      <c r="AB340" s="105">
        <v>9.5217770000000002</v>
      </c>
      <c r="AC340" s="134">
        <v>9.3908109999999994</v>
      </c>
      <c r="AD340" s="105">
        <v>9.2841319999999996</v>
      </c>
      <c r="AE340" s="134">
        <v>9.0422829999999994</v>
      </c>
      <c r="AF340" s="105">
        <v>8.9483300000000003</v>
      </c>
      <c r="AG340" s="134">
        <v>8.8228950000000008</v>
      </c>
      <c r="AH340" s="105">
        <v>8.7200919999999993</v>
      </c>
      <c r="AI340" s="134">
        <v>8.6149529999999999</v>
      </c>
      <c r="AJ340" s="105">
        <v>8.5158760000000004</v>
      </c>
      <c r="AK340" s="134">
        <v>8.4184230000000007</v>
      </c>
      <c r="AL340" s="105">
        <v>8.3323049999999999</v>
      </c>
      <c r="AM340" s="134">
        <v>8.2395700000000005</v>
      </c>
      <c r="AN340" s="105">
        <v>8.1571639999999999</v>
      </c>
      <c r="AO340" s="134">
        <v>8.0715020000000006</v>
      </c>
      <c r="AP340" s="105">
        <v>7.9827839999999997</v>
      </c>
      <c r="AQ340" s="134">
        <v>7.9110370000000003</v>
      </c>
    </row>
    <row r="341" spans="2:43" x14ac:dyDescent="0.25">
      <c r="B341" s="32">
        <v>4</v>
      </c>
      <c r="C341" s="106">
        <v>13.608787</v>
      </c>
      <c r="D341" s="106">
        <v>13.578794</v>
      </c>
      <c r="E341" s="106">
        <v>13.574916</v>
      </c>
      <c r="F341" s="106">
        <v>13.596359</v>
      </c>
      <c r="G341" s="134">
        <v>13.599869</v>
      </c>
      <c r="H341" s="106">
        <v>12.083219</v>
      </c>
      <c r="I341" s="134">
        <v>11.772900999999999</v>
      </c>
      <c r="J341" s="106">
        <v>11.583527</v>
      </c>
      <c r="K341" s="134">
        <v>11.279540000000001</v>
      </c>
      <c r="L341" s="106">
        <v>11.104333</v>
      </c>
      <c r="M341" s="134">
        <v>10.804971</v>
      </c>
      <c r="N341" s="106">
        <v>11.044465000000001</v>
      </c>
      <c r="O341" s="134">
        <v>10.86224</v>
      </c>
      <c r="P341" s="106">
        <v>10.581113999999999</v>
      </c>
      <c r="Q341" s="134">
        <v>10.412324</v>
      </c>
      <c r="R341" s="106">
        <v>10.257425</v>
      </c>
      <c r="S341" s="134">
        <v>10.116396999999999</v>
      </c>
      <c r="T341" s="106">
        <v>9.8360059999999994</v>
      </c>
      <c r="U341" s="134">
        <v>9.6856120000000008</v>
      </c>
      <c r="V341" s="106">
        <v>9.5543980000000008</v>
      </c>
      <c r="W341" s="134">
        <v>9.4194510000000005</v>
      </c>
      <c r="X341" s="106">
        <v>9.3033110000000008</v>
      </c>
      <c r="Y341" s="134">
        <v>9.0492559999999997</v>
      </c>
      <c r="Z341" s="106">
        <v>8.9394209999999994</v>
      </c>
      <c r="AA341" s="134">
        <v>8.8162990000000008</v>
      </c>
      <c r="AB341" s="106">
        <v>8.7089829999999999</v>
      </c>
      <c r="AC341" s="134">
        <v>8.5891559999999991</v>
      </c>
      <c r="AD341" s="106">
        <v>8.4795300000000005</v>
      </c>
      <c r="AE341" s="134">
        <v>8.2651869999999992</v>
      </c>
      <c r="AF341" s="106">
        <v>8.1701619999999995</v>
      </c>
      <c r="AG341" s="134">
        <v>8.0638229999999993</v>
      </c>
      <c r="AH341" s="106">
        <v>7.9722080000000002</v>
      </c>
      <c r="AI341" s="134">
        <v>7.8775719999999998</v>
      </c>
      <c r="AJ341" s="106">
        <v>7.7877660000000004</v>
      </c>
      <c r="AK341" s="134">
        <v>7.6890549999999998</v>
      </c>
      <c r="AL341" s="106">
        <v>7.6166650000000002</v>
      </c>
      <c r="AM341" s="134">
        <v>7.5252569999999999</v>
      </c>
      <c r="AN341" s="106">
        <v>7.4467879999999997</v>
      </c>
      <c r="AO341" s="134">
        <v>7.3811020000000003</v>
      </c>
      <c r="AP341" s="106">
        <v>7.3023870000000004</v>
      </c>
      <c r="AQ341" s="134">
        <v>7.2340400000000002</v>
      </c>
    </row>
    <row r="342" spans="2:43" x14ac:dyDescent="0.25">
      <c r="B342" s="32">
        <v>5</v>
      </c>
      <c r="C342" s="107">
        <v>15.050765999999999</v>
      </c>
      <c r="D342" s="107">
        <v>15.031904000000001</v>
      </c>
      <c r="E342" s="107">
        <v>15.022631000000001</v>
      </c>
      <c r="F342" s="107">
        <v>15.019275</v>
      </c>
      <c r="G342" s="134">
        <v>15.011302000000001</v>
      </c>
      <c r="H342" s="107">
        <v>13.403686</v>
      </c>
      <c r="I342" s="134">
        <v>13.041904000000001</v>
      </c>
      <c r="J342" s="107">
        <v>12.851864000000001</v>
      </c>
      <c r="K342" s="134">
        <v>12.516063000000001</v>
      </c>
      <c r="L342" s="107">
        <v>12.312312</v>
      </c>
      <c r="M342" s="134">
        <v>12.132147</v>
      </c>
      <c r="N342" s="107">
        <v>11.799720000000001</v>
      </c>
      <c r="O342" s="134">
        <v>11.624148999999999</v>
      </c>
      <c r="P342" s="107">
        <v>11.438017</v>
      </c>
      <c r="Q342" s="134">
        <v>11.137373</v>
      </c>
      <c r="R342" s="107">
        <v>10.953484</v>
      </c>
      <c r="S342" s="134">
        <v>10.783939</v>
      </c>
      <c r="T342" s="107">
        <v>10.647214999999999</v>
      </c>
      <c r="U342" s="134">
        <v>10.349151000000001</v>
      </c>
      <c r="V342" s="107">
        <v>10.218818000000001</v>
      </c>
      <c r="W342" s="134">
        <v>10.047939</v>
      </c>
      <c r="X342" s="107">
        <v>9.9180930000000007</v>
      </c>
      <c r="Y342" s="134">
        <v>9.7925400000000007</v>
      </c>
      <c r="Z342" s="107">
        <v>9.5406329999999997</v>
      </c>
      <c r="AA342" s="134">
        <v>9.4206810000000001</v>
      </c>
      <c r="AB342" s="107">
        <v>9.283353</v>
      </c>
      <c r="AC342" s="134">
        <v>9.1644869999999994</v>
      </c>
      <c r="AD342" s="107">
        <v>9.0389879999999998</v>
      </c>
      <c r="AE342" s="134">
        <v>8.8228770000000001</v>
      </c>
      <c r="AF342" s="107">
        <v>8.7244840000000003</v>
      </c>
      <c r="AG342" s="134">
        <v>8.6213789999999992</v>
      </c>
      <c r="AH342" s="107">
        <v>8.5122219999999995</v>
      </c>
      <c r="AI342" s="134">
        <v>8.4132470000000001</v>
      </c>
      <c r="AJ342" s="107">
        <v>8.3016009999999998</v>
      </c>
      <c r="AK342" s="134">
        <v>8.2089379999999998</v>
      </c>
      <c r="AL342" s="107">
        <v>8.1197820000000007</v>
      </c>
      <c r="AM342" s="134">
        <v>8.0256319999999999</v>
      </c>
      <c r="AN342" s="107">
        <v>7.9557079999999996</v>
      </c>
      <c r="AO342" s="134">
        <v>7.875667</v>
      </c>
      <c r="AP342" s="107">
        <v>8.0949109999999997</v>
      </c>
      <c r="AQ342" s="134">
        <v>8.0203539999999993</v>
      </c>
    </row>
    <row r="343" spans="2:43" x14ac:dyDescent="0.25">
      <c r="B343" s="32">
        <v>6</v>
      </c>
      <c r="C343" s="108">
        <v>14.824899</v>
      </c>
      <c r="D343" s="108">
        <v>14.808579</v>
      </c>
      <c r="E343" s="108">
        <v>15.453904</v>
      </c>
      <c r="F343" s="108">
        <v>15.431067000000001</v>
      </c>
      <c r="G343" s="134">
        <v>15.444884</v>
      </c>
      <c r="H343" s="108">
        <v>13.786878</v>
      </c>
      <c r="I343" s="134">
        <v>13.423373</v>
      </c>
      <c r="J343" s="108">
        <v>13.214563</v>
      </c>
      <c r="K343" s="134">
        <v>12.876554</v>
      </c>
      <c r="L343" s="108">
        <v>12.691382000000001</v>
      </c>
      <c r="M343" s="134">
        <v>12.512108</v>
      </c>
      <c r="N343" s="108">
        <v>12.127992000000001</v>
      </c>
      <c r="O343" s="134">
        <v>11.953075999999999</v>
      </c>
      <c r="P343" s="108">
        <v>11.777233000000001</v>
      </c>
      <c r="Q343" s="134">
        <v>11.4382</v>
      </c>
      <c r="R343" s="108">
        <v>11.283965999999999</v>
      </c>
      <c r="S343" s="134">
        <v>11.128757999999999</v>
      </c>
      <c r="T343" s="108">
        <v>10.986805</v>
      </c>
      <c r="U343" s="134">
        <v>10.661106999999999</v>
      </c>
      <c r="V343" s="108">
        <v>10.498913999999999</v>
      </c>
      <c r="W343" s="134">
        <v>10.362793</v>
      </c>
      <c r="X343" s="108">
        <v>10.199453</v>
      </c>
      <c r="Y343" s="134">
        <v>10.097389</v>
      </c>
      <c r="Z343" s="108">
        <v>9.8264130000000005</v>
      </c>
      <c r="AA343" s="134">
        <v>9.6924860000000006</v>
      </c>
      <c r="AB343" s="108">
        <v>9.5618639999999999</v>
      </c>
      <c r="AC343" s="134">
        <v>9.4537980000000008</v>
      </c>
      <c r="AD343" s="108">
        <v>9.3121609999999997</v>
      </c>
      <c r="AE343" s="134">
        <v>9.218591</v>
      </c>
      <c r="AF343" s="108">
        <v>8.9566370000000006</v>
      </c>
      <c r="AG343" s="134">
        <v>8.8629689999999997</v>
      </c>
      <c r="AH343" s="108">
        <v>8.7666140000000006</v>
      </c>
      <c r="AI343" s="134">
        <v>8.6644629999999996</v>
      </c>
      <c r="AJ343" s="108">
        <v>8.564292</v>
      </c>
      <c r="AK343" s="134">
        <v>8.4556109999999993</v>
      </c>
      <c r="AL343" s="108">
        <v>8.3688710000000004</v>
      </c>
      <c r="AM343" s="134">
        <v>8.284186</v>
      </c>
      <c r="AN343" s="108">
        <v>8.1845909999999993</v>
      </c>
      <c r="AO343" s="134">
        <v>8.1259200000000007</v>
      </c>
      <c r="AP343" s="108">
        <v>8.033747</v>
      </c>
      <c r="AQ343" s="134">
        <v>7.9548649999999999</v>
      </c>
    </row>
    <row r="364" spans="2:43" x14ac:dyDescent="0.25">
      <c r="B364" s="47" t="s">
        <v>4</v>
      </c>
      <c r="C364" s="47">
        <v>0</v>
      </c>
      <c r="D364" s="47"/>
      <c r="E364" s="47"/>
      <c r="F364" s="47"/>
      <c r="G364" s="21"/>
      <c r="H364" s="47"/>
      <c r="I364" s="21"/>
      <c r="J364" s="47"/>
      <c r="K364" s="21"/>
      <c r="L364" s="47"/>
      <c r="M364" s="21"/>
      <c r="N364" s="47"/>
      <c r="O364" s="21"/>
      <c r="P364" s="47"/>
      <c r="Q364" s="21"/>
      <c r="R364" s="47"/>
      <c r="S364" s="21"/>
      <c r="T364" s="47"/>
      <c r="U364" s="21"/>
      <c r="V364" s="47"/>
      <c r="W364" s="21"/>
      <c r="X364" s="47"/>
      <c r="Y364" s="21"/>
      <c r="Z364" s="47"/>
      <c r="AA364" s="21"/>
      <c r="AB364" s="47"/>
      <c r="AC364" s="21"/>
      <c r="AD364" s="47"/>
      <c r="AE364" s="21"/>
      <c r="AF364" s="47"/>
      <c r="AG364" s="21"/>
      <c r="AH364" s="47"/>
      <c r="AI364" s="21"/>
      <c r="AJ364" s="47"/>
      <c r="AK364" s="21"/>
      <c r="AL364" s="47"/>
      <c r="AM364" s="21"/>
      <c r="AN364" s="47"/>
      <c r="AO364" s="21"/>
      <c r="AP364" s="47"/>
      <c r="AQ364" s="21"/>
    </row>
    <row r="365" spans="2:43" x14ac:dyDescent="0.25">
      <c r="B365" s="1" t="s">
        <v>1</v>
      </c>
      <c r="C365" s="1">
        <v>1.8</v>
      </c>
      <c r="D365" s="2">
        <v>1.85</v>
      </c>
      <c r="E365" s="2">
        <v>1.9</v>
      </c>
      <c r="F365" s="2">
        <v>1.95</v>
      </c>
      <c r="G365" s="22">
        <v>2</v>
      </c>
      <c r="H365" s="2">
        <v>2.0499999999999998</v>
      </c>
      <c r="I365" s="22">
        <v>2.1</v>
      </c>
      <c r="J365" s="2">
        <v>2.15</v>
      </c>
      <c r="K365" s="22">
        <v>2.2000000000000002</v>
      </c>
      <c r="L365" s="2">
        <v>2.25</v>
      </c>
      <c r="M365" s="22">
        <v>2.2999999999999998</v>
      </c>
      <c r="N365" s="2">
        <v>2.35</v>
      </c>
      <c r="O365" s="22">
        <v>2.4</v>
      </c>
      <c r="P365" s="2">
        <v>2.4500000000000002</v>
      </c>
      <c r="Q365" s="22">
        <v>2.5</v>
      </c>
      <c r="R365" s="2">
        <v>2.5499999999999998</v>
      </c>
      <c r="S365" s="22">
        <v>2.6</v>
      </c>
      <c r="T365" s="2">
        <v>2.65</v>
      </c>
      <c r="U365" s="22">
        <v>2.7</v>
      </c>
      <c r="V365" s="2">
        <v>2.75</v>
      </c>
      <c r="W365" s="22">
        <v>2.8</v>
      </c>
      <c r="X365" s="2">
        <v>2.85</v>
      </c>
      <c r="Y365" s="22">
        <v>2.9</v>
      </c>
      <c r="Z365" s="2">
        <v>2.95</v>
      </c>
      <c r="AA365" s="22">
        <v>3</v>
      </c>
      <c r="AB365" s="2">
        <v>3.05</v>
      </c>
      <c r="AC365" s="22">
        <v>3.1</v>
      </c>
      <c r="AD365" s="2">
        <v>3.15</v>
      </c>
      <c r="AE365" s="22">
        <v>3.2</v>
      </c>
      <c r="AF365" s="2">
        <v>3.25</v>
      </c>
      <c r="AG365" s="22">
        <v>3.3</v>
      </c>
      <c r="AH365" s="2">
        <v>3.35</v>
      </c>
      <c r="AI365" s="22">
        <v>3.4</v>
      </c>
      <c r="AJ365" s="2">
        <v>3.45</v>
      </c>
      <c r="AK365" s="22">
        <v>3.5</v>
      </c>
      <c r="AL365" s="2">
        <v>3.55</v>
      </c>
      <c r="AM365" s="22">
        <v>3.6</v>
      </c>
      <c r="AN365" s="2">
        <v>3.65</v>
      </c>
      <c r="AO365" s="22">
        <v>3.7</v>
      </c>
      <c r="AP365" s="2">
        <v>3.75</v>
      </c>
      <c r="AQ365" s="22">
        <v>3.8</v>
      </c>
    </row>
    <row r="366" spans="2:43" x14ac:dyDescent="0.25">
      <c r="B366" s="1" t="s">
        <v>3</v>
      </c>
      <c r="C366" s="3">
        <f>AVERAGE(C367,C368,C369,C370,C371,C372)</f>
        <v>14.020962666666668</v>
      </c>
      <c r="D366" s="3">
        <f t="shared" ref="D366" si="481">AVERAGE(D367,D368,D369)</f>
        <v>13.883778</v>
      </c>
      <c r="E366" s="3">
        <f t="shared" ref="E366" si="482">AVERAGE(E367,E368,E369)</f>
        <v>14.096695666666667</v>
      </c>
      <c r="F366" s="3">
        <f t="shared" ref="F366" si="483">AVERAGE(F367,F368,F369)</f>
        <v>14.088490999999999</v>
      </c>
      <c r="G366" s="34">
        <f t="shared" ref="G366" si="484">AVERAGE(G367,G368,G369)</f>
        <v>14.101599999999999</v>
      </c>
      <c r="H366" s="3">
        <f t="shared" ref="H366" si="485">AVERAGE(H367,H368,H369)</f>
        <v>12.550852000000001</v>
      </c>
      <c r="I366" s="34">
        <f t="shared" ref="I366" si="486">AVERAGE(I367,I368,I369)</f>
        <v>12.226160999999999</v>
      </c>
      <c r="J366" s="3">
        <f t="shared" ref="J366" si="487">AVERAGE(J367,J368,J369)</f>
        <v>12.045259999999999</v>
      </c>
      <c r="K366" s="34">
        <f t="shared" ref="K366" si="488">AVERAGE(K367,K368,K369)</f>
        <v>11.733275999999998</v>
      </c>
      <c r="L366" s="3">
        <f t="shared" ref="L366" si="489">AVERAGE(L367,L368,L369)</f>
        <v>11.546453666666666</v>
      </c>
      <c r="M366" s="34">
        <f t="shared" ref="M366" si="490">AVERAGE(M367,M368,M369)</f>
        <v>11.335000333333333</v>
      </c>
      <c r="N366" s="3">
        <f t="shared" ref="N366" si="491">AVERAGE(N367,N368,N369)</f>
        <v>11.183448333333333</v>
      </c>
      <c r="O366" s="34">
        <f t="shared" ref="O366" si="492">AVERAGE(O367,O368,O369)</f>
        <v>11.021677666666667</v>
      </c>
      <c r="P366" s="3">
        <f t="shared" ref="P366" si="493">AVERAGE(P367,P368,P369)</f>
        <v>10.811304666666667</v>
      </c>
      <c r="Q366" s="34">
        <f t="shared" ref="Q366" si="494">AVERAGE(Q367,Q368,Q369)</f>
        <v>10.561398333333333</v>
      </c>
      <c r="R366" s="3">
        <f t="shared" ref="R366" si="495">AVERAGE(R367,R368,R369)</f>
        <v>10.399127666666667</v>
      </c>
      <c r="S366" s="34">
        <f t="shared" ref="S366" si="496">AVERAGE(S367,S368,S369)</f>
        <v>10.254626666666667</v>
      </c>
      <c r="T366" s="3">
        <f t="shared" ref="T366" si="497">AVERAGE(T367,T368,T369)</f>
        <v>10.068132</v>
      </c>
      <c r="U366" s="34">
        <f t="shared" ref="U366" si="498">AVERAGE(U367,U368,U369)</f>
        <v>9.8250333333333337</v>
      </c>
      <c r="V366" s="3">
        <f t="shared" ref="V366" si="499">AVERAGE(V367,V368,V369)</f>
        <v>9.6899040000000003</v>
      </c>
      <c r="W366" s="34">
        <f t="shared" ref="W366" si="500">AVERAGE(W367,W368,W369)</f>
        <v>9.5506203333333328</v>
      </c>
      <c r="X366" s="3">
        <f t="shared" ref="X366" si="501">AVERAGE(X367,X368,X369)</f>
        <v>9.424259666666666</v>
      </c>
      <c r="Y366" s="34">
        <f t="shared" ref="Y366" si="502">AVERAGE(Y367,Y368,Y369)</f>
        <v>9.2635360000000002</v>
      </c>
      <c r="Z366" s="3">
        <f t="shared" ref="Z366" si="503">AVERAGE(Z367,Z368,Z369)</f>
        <v>9.0620840000000005</v>
      </c>
      <c r="AA366" s="34">
        <f t="shared" ref="AA366" si="504">AVERAGE(AA367,AA368,AA369)</f>
        <v>8.9410769999999999</v>
      </c>
      <c r="AB366" s="3">
        <f t="shared" ref="AB366" si="505">AVERAGE(AB367,AB368,AB369)</f>
        <v>8.8269940000000009</v>
      </c>
      <c r="AC366" s="34">
        <f t="shared" ref="AC366" si="506">AVERAGE(AC367,AC368,AC369)</f>
        <v>8.7111110000000007</v>
      </c>
      <c r="AD366" s="3">
        <f t="shared" ref="AD366" si="507">AVERAGE(AD367,AD368,AD369)</f>
        <v>8.6039756666666687</v>
      </c>
      <c r="AE366" s="34">
        <f t="shared" ref="AE366" si="508">AVERAGE(AE367,AE368,AE369)</f>
        <v>8.4233556666666676</v>
      </c>
      <c r="AF366" s="3">
        <f t="shared" ref="AF366" si="509">AVERAGE(AF367,AF368,AF369)</f>
        <v>8.2844169999999995</v>
      </c>
      <c r="AG366" s="34">
        <f t="shared" ref="AG366" si="510">AVERAGE(AG367,AG368,AG369)</f>
        <v>8.1722693333333343</v>
      </c>
      <c r="AH366" s="3">
        <f t="shared" ref="AH366" si="511">AVERAGE(AH367,AH368,AH369)</f>
        <v>8.0797543333333337</v>
      </c>
      <c r="AI366" s="34">
        <f t="shared" ref="AI366" si="512">AVERAGE(AI367,AI368,AI369)</f>
        <v>7.9891539999999992</v>
      </c>
      <c r="AJ366" s="3">
        <f t="shared" ref="AJ366" si="513">AVERAGE(AJ367,AJ368,AJ369)</f>
        <v>7.8926073333333342</v>
      </c>
      <c r="AK366" s="34">
        <f t="shared" ref="AK366" si="514">AVERAGE(AK367,AK368,AK369)</f>
        <v>7.8002810000000009</v>
      </c>
      <c r="AL366" s="3">
        <f t="shared" ref="AL366" si="515">AVERAGE(AL367,AL368,AL369)</f>
        <v>7.7199756666666666</v>
      </c>
      <c r="AM366" s="34">
        <f t="shared" ref="AM366" si="516">AVERAGE(AM367,AM368,AM369)</f>
        <v>7.6343586666666665</v>
      </c>
      <c r="AN366" s="3">
        <f t="shared" ref="AN366" si="517">AVERAGE(AN367,AN368,AN369)</f>
        <v>7.5551280000000007</v>
      </c>
      <c r="AO366" s="34">
        <f t="shared" ref="AO366" si="518">AVERAGE(AO367,AO368,AO369)</f>
        <v>7.4842966666666664</v>
      </c>
      <c r="AP366" s="3">
        <f t="shared" ref="AP366" si="519">AVERAGE(AP367,AP368,AP369)</f>
        <v>7.5069460000000001</v>
      </c>
      <c r="AQ366" s="34">
        <f t="shared" ref="AQ366" si="520">AVERAGE(AQ367,AQ368,AQ369)</f>
        <v>7.4382820000000001</v>
      </c>
    </row>
    <row r="367" spans="2:43" x14ac:dyDescent="0.25">
      <c r="B367" s="1">
        <v>1</v>
      </c>
      <c r="C367" s="109">
        <v>14.199068</v>
      </c>
      <c r="D367" s="109">
        <v>14.194699999999999</v>
      </c>
      <c r="E367" s="109">
        <v>14.839708999999999</v>
      </c>
      <c r="F367" s="109">
        <v>14.811491</v>
      </c>
      <c r="G367" s="134">
        <v>14.825336999999999</v>
      </c>
      <c r="H367" s="109">
        <v>13.209372</v>
      </c>
      <c r="I367" s="134">
        <v>12.879173</v>
      </c>
      <c r="J367" s="109">
        <v>12.693972</v>
      </c>
      <c r="K367" s="134">
        <v>12.370134999999999</v>
      </c>
      <c r="L367" s="109">
        <v>12.168653000000001</v>
      </c>
      <c r="M367" s="134">
        <v>12.004379999999999</v>
      </c>
      <c r="N367" s="109">
        <v>11.626205000000001</v>
      </c>
      <c r="O367" s="134">
        <v>11.473328</v>
      </c>
      <c r="P367" s="109">
        <v>11.289021999999999</v>
      </c>
      <c r="Q367" s="134">
        <v>10.983048999999999</v>
      </c>
      <c r="R367" s="109">
        <v>10.835108</v>
      </c>
      <c r="S367" s="134">
        <v>10.682169</v>
      </c>
      <c r="T367" s="109">
        <v>10.529531</v>
      </c>
      <c r="U367" s="134">
        <v>10.228869</v>
      </c>
      <c r="V367" s="109">
        <v>10.091264000000001</v>
      </c>
      <c r="W367" s="134">
        <v>9.9501399999999993</v>
      </c>
      <c r="X367" s="109">
        <v>9.8118060000000007</v>
      </c>
      <c r="Y367" s="134">
        <v>9.6851029999999998</v>
      </c>
      <c r="Z367" s="109">
        <v>9.435435</v>
      </c>
      <c r="AA367" s="134">
        <v>9.3088829999999998</v>
      </c>
      <c r="AB367" s="109">
        <v>9.1830569999999998</v>
      </c>
      <c r="AC367" s="134">
        <v>9.0754479999999997</v>
      </c>
      <c r="AD367" s="109">
        <v>8.9623240000000006</v>
      </c>
      <c r="AE367" s="134">
        <v>8.8492840000000008</v>
      </c>
      <c r="AF367" s="109">
        <v>8.6146630000000002</v>
      </c>
      <c r="AG367" s="134">
        <v>8.4889829999999993</v>
      </c>
      <c r="AH367" s="109">
        <v>8.4141759999999994</v>
      </c>
      <c r="AI367" s="134">
        <v>8.3166869999999999</v>
      </c>
      <c r="AJ367" s="109">
        <v>8.2156400000000005</v>
      </c>
      <c r="AK367" s="134">
        <v>8.1191510000000005</v>
      </c>
      <c r="AL367" s="109">
        <v>8.0401729999999993</v>
      </c>
      <c r="AM367" s="134">
        <v>7.9534219999999998</v>
      </c>
      <c r="AN367" s="109">
        <v>7.8657490000000001</v>
      </c>
      <c r="AO367" s="134">
        <v>7.7919</v>
      </c>
      <c r="AP367" s="109">
        <v>7.7149900000000002</v>
      </c>
      <c r="AQ367" s="134">
        <v>7.6421590000000004</v>
      </c>
    </row>
    <row r="368" spans="2:43" x14ac:dyDescent="0.25">
      <c r="B368" s="1">
        <v>2</v>
      </c>
      <c r="C368" s="110">
        <v>14.409052000000001</v>
      </c>
      <c r="D368" s="110">
        <v>14.396986999999999</v>
      </c>
      <c r="E368" s="110">
        <v>14.393096999999999</v>
      </c>
      <c r="F368" s="110">
        <v>14.393516</v>
      </c>
      <c r="G368" s="134">
        <v>14.398057</v>
      </c>
      <c r="H368" s="110">
        <v>12.837477</v>
      </c>
      <c r="I368" s="134">
        <v>12.491648</v>
      </c>
      <c r="J368" s="110">
        <v>12.308854999999999</v>
      </c>
      <c r="K368" s="134">
        <v>11.995347000000001</v>
      </c>
      <c r="L368" s="110">
        <v>11.803656</v>
      </c>
      <c r="M368" s="134">
        <v>11.614973000000001</v>
      </c>
      <c r="N368" s="110">
        <v>11.300962</v>
      </c>
      <c r="O368" s="134">
        <v>11.127649</v>
      </c>
      <c r="P368" s="110">
        <v>10.95026</v>
      </c>
      <c r="Q368" s="134">
        <v>10.672283999999999</v>
      </c>
      <c r="R368" s="110">
        <v>10.489209000000001</v>
      </c>
      <c r="S368" s="134">
        <v>10.334878</v>
      </c>
      <c r="T368" s="110">
        <v>10.204200999999999</v>
      </c>
      <c r="U368" s="134">
        <v>9.9178080000000008</v>
      </c>
      <c r="V368" s="110">
        <v>9.7728490000000008</v>
      </c>
      <c r="W368" s="134">
        <v>9.6373169999999995</v>
      </c>
      <c r="X368" s="110">
        <v>9.5018770000000004</v>
      </c>
      <c r="Y368" s="134">
        <v>9.3877799999999993</v>
      </c>
      <c r="Z368" s="110">
        <v>9.137302</v>
      </c>
      <c r="AA368" s="134">
        <v>9.0268750000000004</v>
      </c>
      <c r="AB368" s="110">
        <v>8.9146800000000006</v>
      </c>
      <c r="AC368" s="134">
        <v>8.7905870000000004</v>
      </c>
      <c r="AD368" s="110">
        <v>8.6821809999999999</v>
      </c>
      <c r="AE368" s="134">
        <v>8.4591320000000003</v>
      </c>
      <c r="AF368" s="110">
        <v>8.3683549999999993</v>
      </c>
      <c r="AG368" s="134">
        <v>8.2622719999999994</v>
      </c>
      <c r="AH368" s="110">
        <v>8.1472119999999997</v>
      </c>
      <c r="AI368" s="134">
        <v>8.0613080000000004</v>
      </c>
      <c r="AJ368" s="110">
        <v>7.9629310000000002</v>
      </c>
      <c r="AK368" s="134">
        <v>7.8717329999999999</v>
      </c>
      <c r="AL368" s="110">
        <v>7.7841529999999999</v>
      </c>
      <c r="AM368" s="134">
        <v>7.6996650000000004</v>
      </c>
      <c r="AN368" s="110">
        <v>7.6254910000000002</v>
      </c>
      <c r="AO368" s="134">
        <v>7.5558620000000003</v>
      </c>
      <c r="AP368" s="110">
        <v>7.7776319999999997</v>
      </c>
      <c r="AQ368" s="134">
        <v>7.702998</v>
      </c>
    </row>
    <row r="369" spans="2:43" x14ac:dyDescent="0.25">
      <c r="B369" s="1">
        <v>3</v>
      </c>
      <c r="C369" s="111">
        <v>13.074434</v>
      </c>
      <c r="D369" s="111">
        <v>13.059647</v>
      </c>
      <c r="E369" s="111">
        <v>13.057281</v>
      </c>
      <c r="F369" s="111">
        <v>13.060466</v>
      </c>
      <c r="G369" s="134">
        <v>13.081405999999999</v>
      </c>
      <c r="H369" s="111">
        <v>11.605707000000001</v>
      </c>
      <c r="I369" s="134">
        <v>11.307662000000001</v>
      </c>
      <c r="J369" s="111">
        <v>11.132953000000001</v>
      </c>
      <c r="K369" s="134">
        <v>10.834346</v>
      </c>
      <c r="L369" s="111">
        <v>10.667052</v>
      </c>
      <c r="M369" s="134">
        <v>10.385648</v>
      </c>
      <c r="N369" s="111">
        <v>10.623177999999999</v>
      </c>
      <c r="O369" s="134">
        <v>10.464055999999999</v>
      </c>
      <c r="P369" s="111">
        <v>10.194632</v>
      </c>
      <c r="Q369" s="134">
        <v>10.028862</v>
      </c>
      <c r="R369" s="111">
        <v>9.8730659999999997</v>
      </c>
      <c r="S369" s="134">
        <v>9.7468330000000005</v>
      </c>
      <c r="T369" s="111">
        <v>9.4706639999999993</v>
      </c>
      <c r="U369" s="134">
        <v>9.3284230000000008</v>
      </c>
      <c r="V369" s="111">
        <v>9.2055989999999994</v>
      </c>
      <c r="W369" s="134">
        <v>9.0644039999999997</v>
      </c>
      <c r="X369" s="111">
        <v>8.9590960000000006</v>
      </c>
      <c r="Y369" s="134">
        <v>8.7177249999999997</v>
      </c>
      <c r="Z369" s="111">
        <v>8.6135149999999996</v>
      </c>
      <c r="AA369" s="134">
        <v>8.4874729999999996</v>
      </c>
      <c r="AB369" s="111">
        <v>8.3832450000000005</v>
      </c>
      <c r="AC369" s="134">
        <v>8.2672980000000003</v>
      </c>
      <c r="AD369" s="111">
        <v>8.1674220000000002</v>
      </c>
      <c r="AE369" s="134">
        <v>7.9616509999999998</v>
      </c>
      <c r="AF369" s="111">
        <v>7.8702329999999998</v>
      </c>
      <c r="AG369" s="134">
        <v>7.7655529999999997</v>
      </c>
      <c r="AH369" s="111">
        <v>7.6778750000000002</v>
      </c>
      <c r="AI369" s="134">
        <v>7.589467</v>
      </c>
      <c r="AJ369" s="111">
        <v>7.4992510000000001</v>
      </c>
      <c r="AK369" s="134">
        <v>7.4099589999999997</v>
      </c>
      <c r="AL369" s="111">
        <v>7.3356009999999996</v>
      </c>
      <c r="AM369" s="134">
        <v>7.2499890000000002</v>
      </c>
      <c r="AN369" s="111">
        <v>7.1741440000000001</v>
      </c>
      <c r="AO369" s="134">
        <v>7.1051279999999997</v>
      </c>
      <c r="AP369" s="111">
        <v>7.0282159999999996</v>
      </c>
      <c r="AQ369" s="134">
        <v>6.9696889999999998</v>
      </c>
    </row>
    <row r="370" spans="2:43" x14ac:dyDescent="0.25">
      <c r="B370" s="32">
        <v>4</v>
      </c>
      <c r="C370" s="112">
        <v>14.217200999999999</v>
      </c>
      <c r="D370" s="112">
        <v>14.220705000000001</v>
      </c>
      <c r="E370" s="112">
        <v>14.204644</v>
      </c>
      <c r="F370" s="112">
        <v>14.205373</v>
      </c>
      <c r="G370" s="134">
        <v>14.208280999999999</v>
      </c>
      <c r="H370" s="112">
        <v>12.652824000000001</v>
      </c>
      <c r="I370" s="134">
        <v>12.328773</v>
      </c>
      <c r="J370" s="112">
        <v>12.123998</v>
      </c>
      <c r="K370" s="134">
        <v>11.804122</v>
      </c>
      <c r="L370" s="112">
        <v>11.618581000000001</v>
      </c>
      <c r="M370" s="134">
        <v>11.298411</v>
      </c>
      <c r="N370" s="112">
        <v>11.124017</v>
      </c>
      <c r="O370" s="134">
        <v>11.438416999999999</v>
      </c>
      <c r="P370" s="112">
        <v>11.121592</v>
      </c>
      <c r="Q370" s="134">
        <v>10.95513</v>
      </c>
      <c r="R370" s="112">
        <v>10.792866</v>
      </c>
      <c r="S370" s="134">
        <v>10.648571</v>
      </c>
      <c r="T370" s="112">
        <v>10.34714</v>
      </c>
      <c r="U370" s="134">
        <v>10.191025</v>
      </c>
      <c r="V370" s="112">
        <v>10.049639000000001</v>
      </c>
      <c r="W370" s="134">
        <v>9.9076780000000007</v>
      </c>
      <c r="X370" s="112">
        <v>9.7782470000000004</v>
      </c>
      <c r="Y370" s="134">
        <v>9.5169619999999995</v>
      </c>
      <c r="Z370" s="112">
        <v>9.4008559999999992</v>
      </c>
      <c r="AA370" s="134">
        <v>9.2716220000000007</v>
      </c>
      <c r="AB370" s="112">
        <v>9.1680220000000006</v>
      </c>
      <c r="AC370" s="134">
        <v>9.0461019999999994</v>
      </c>
      <c r="AD370" s="112">
        <v>8.927054</v>
      </c>
      <c r="AE370" s="134">
        <v>8.6997619999999998</v>
      </c>
      <c r="AF370" s="112">
        <v>8.6083409999999994</v>
      </c>
      <c r="AG370" s="134">
        <v>8.4960500000000003</v>
      </c>
      <c r="AH370" s="112">
        <v>8.3915100000000002</v>
      </c>
      <c r="AI370" s="134">
        <v>8.2880769999999995</v>
      </c>
      <c r="AJ370" s="112">
        <v>8.1958409999999997</v>
      </c>
      <c r="AK370" s="134">
        <v>8.0925100000000008</v>
      </c>
      <c r="AL370" s="112">
        <v>8.0100259999999999</v>
      </c>
      <c r="AM370" s="134">
        <v>7.9405359999999998</v>
      </c>
      <c r="AN370" s="112">
        <v>7.8519319999999997</v>
      </c>
      <c r="AO370" s="134">
        <v>7.7682390000000003</v>
      </c>
      <c r="AP370" s="112">
        <v>7.6873019999999999</v>
      </c>
      <c r="AQ370" s="134">
        <v>7.6211469999999997</v>
      </c>
    </row>
    <row r="371" spans="2:43" x14ac:dyDescent="0.25">
      <c r="B371" s="32">
        <v>5</v>
      </c>
      <c r="C371" s="113">
        <v>14.017080999999999</v>
      </c>
      <c r="D371" s="113">
        <v>14.006644</v>
      </c>
      <c r="E371" s="113">
        <v>14.003871999999999</v>
      </c>
      <c r="F371" s="113">
        <v>14.005819000000001</v>
      </c>
      <c r="G371" s="134">
        <v>13.991559000000001</v>
      </c>
      <c r="H371" s="113">
        <v>12.493040000000001</v>
      </c>
      <c r="I371" s="134">
        <v>12.143744999999999</v>
      </c>
      <c r="J371" s="113">
        <v>11.97376</v>
      </c>
      <c r="K371" s="134">
        <v>11.654420999999999</v>
      </c>
      <c r="L371" s="113">
        <v>11.477764000000001</v>
      </c>
      <c r="M371" s="134">
        <v>11.300967</v>
      </c>
      <c r="N371" s="113">
        <v>10.979996999999999</v>
      </c>
      <c r="O371" s="134">
        <v>10.821994</v>
      </c>
      <c r="P371" s="113">
        <v>10.525544999999999</v>
      </c>
      <c r="Q371" s="134">
        <v>10.35567</v>
      </c>
      <c r="R371" s="113">
        <v>10.213202000000001</v>
      </c>
      <c r="S371" s="134">
        <v>10.052446</v>
      </c>
      <c r="T371" s="113">
        <v>9.7827570000000001</v>
      </c>
      <c r="U371" s="134">
        <v>9.6480329999999999</v>
      </c>
      <c r="V371" s="113">
        <v>9.5052470000000007</v>
      </c>
      <c r="W371" s="134">
        <v>9.3678880000000007</v>
      </c>
      <c r="X371" s="113">
        <v>9.2218490000000006</v>
      </c>
      <c r="Y371" s="134">
        <v>8.9921609999999994</v>
      </c>
      <c r="Z371" s="113">
        <v>8.8778039999999994</v>
      </c>
      <c r="AA371" s="134">
        <v>8.7546859999999995</v>
      </c>
      <c r="AB371" s="113">
        <v>8.6530079999999998</v>
      </c>
      <c r="AC371" s="134">
        <v>8.5336510000000008</v>
      </c>
      <c r="AD371" s="113">
        <v>8.4476239999999994</v>
      </c>
      <c r="AE371" s="134">
        <v>8.2219960000000007</v>
      </c>
      <c r="AF371" s="113">
        <v>8.1068359999999995</v>
      </c>
      <c r="AG371" s="134">
        <v>8.0056790000000007</v>
      </c>
      <c r="AH371" s="113">
        <v>7.9071350000000002</v>
      </c>
      <c r="AI371" s="134">
        <v>8.1561819999999994</v>
      </c>
      <c r="AJ371" s="113">
        <v>7.7393070000000002</v>
      </c>
      <c r="AK371" s="134">
        <v>7.9766279999999998</v>
      </c>
      <c r="AL371" s="113">
        <v>7.8804449999999999</v>
      </c>
      <c r="AM371" s="134">
        <v>7.8106330000000002</v>
      </c>
      <c r="AN371" s="113">
        <v>7.7269449999999997</v>
      </c>
      <c r="AO371" s="134">
        <v>7.6406489999999998</v>
      </c>
      <c r="AP371" s="113">
        <v>7.5637359999999996</v>
      </c>
      <c r="AQ371" s="134">
        <v>7.482418</v>
      </c>
    </row>
    <row r="372" spans="2:43" x14ac:dyDescent="0.25">
      <c r="B372" s="32">
        <v>6</v>
      </c>
      <c r="C372" s="114">
        <v>14.20894</v>
      </c>
      <c r="D372" s="114">
        <v>14.220755</v>
      </c>
      <c r="E372" s="114">
        <v>14.20495</v>
      </c>
      <c r="F372" s="114">
        <v>14.21907</v>
      </c>
      <c r="G372" s="134">
        <v>14.194110999999999</v>
      </c>
      <c r="H372" s="114">
        <v>12.658122000000001</v>
      </c>
      <c r="I372" s="134">
        <v>12.320727</v>
      </c>
      <c r="J372" s="114">
        <v>12.148334999999999</v>
      </c>
      <c r="K372" s="134">
        <v>11.793725999999999</v>
      </c>
      <c r="L372" s="114">
        <v>11.630304000000001</v>
      </c>
      <c r="M372" s="134">
        <v>11.466773</v>
      </c>
      <c r="N372" s="114">
        <v>11.626458</v>
      </c>
      <c r="O372" s="134">
        <v>11.456033</v>
      </c>
      <c r="P372" s="114">
        <v>11.286006</v>
      </c>
      <c r="Q372" s="134">
        <v>10.965707999999999</v>
      </c>
      <c r="R372" s="114">
        <v>10.802659999999999</v>
      </c>
      <c r="S372" s="134">
        <v>10.670344999999999</v>
      </c>
      <c r="T372" s="114">
        <v>10.508004</v>
      </c>
      <c r="U372" s="134">
        <v>10.199781</v>
      </c>
      <c r="V372" s="114">
        <v>10.056290000000001</v>
      </c>
      <c r="W372" s="134">
        <v>9.9161900000000003</v>
      </c>
      <c r="X372" s="114">
        <v>9.7928350000000002</v>
      </c>
      <c r="Y372" s="134">
        <v>9.6526340000000008</v>
      </c>
      <c r="Z372" s="114">
        <v>9.4159980000000001</v>
      </c>
      <c r="AA372" s="134">
        <v>9.2789710000000003</v>
      </c>
      <c r="AB372" s="114">
        <v>9.184723</v>
      </c>
      <c r="AC372" s="134">
        <v>9.0545880000000007</v>
      </c>
      <c r="AD372" s="114">
        <v>8.9340089999999996</v>
      </c>
      <c r="AE372" s="134">
        <v>8.8293920000000004</v>
      </c>
      <c r="AF372" s="114">
        <v>8.5971869999999999</v>
      </c>
      <c r="AG372" s="134">
        <v>8.5017630000000004</v>
      </c>
      <c r="AH372" s="114">
        <v>8.4088969999999996</v>
      </c>
      <c r="AI372" s="134">
        <v>8.2927040000000005</v>
      </c>
      <c r="AJ372" s="114">
        <v>8.194426</v>
      </c>
      <c r="AK372" s="134">
        <v>8.0890170000000001</v>
      </c>
      <c r="AL372" s="114">
        <v>8.0043170000000003</v>
      </c>
      <c r="AM372" s="134">
        <v>7.929246</v>
      </c>
      <c r="AN372" s="114">
        <v>7.8353089999999996</v>
      </c>
      <c r="AO372" s="134">
        <v>7.7769680000000001</v>
      </c>
      <c r="AP372" s="114">
        <v>7.6864290000000004</v>
      </c>
      <c r="AQ372" s="134">
        <v>7.5968869999999997</v>
      </c>
    </row>
    <row r="392" spans="2:43" x14ac:dyDescent="0.25">
      <c r="B392" s="47" t="s">
        <v>4</v>
      </c>
      <c r="C392" s="47">
        <v>-6</v>
      </c>
      <c r="D392" s="47"/>
      <c r="E392" s="47"/>
      <c r="F392" s="47"/>
      <c r="G392" s="21"/>
      <c r="H392" s="47"/>
      <c r="I392" s="21"/>
      <c r="J392" s="47"/>
      <c r="K392" s="21"/>
      <c r="L392" s="47"/>
      <c r="M392" s="21"/>
      <c r="N392" s="47"/>
      <c r="O392" s="21"/>
      <c r="P392" s="47"/>
      <c r="Q392" s="21"/>
      <c r="R392" s="47"/>
      <c r="S392" s="21"/>
      <c r="T392" s="47"/>
      <c r="U392" s="21"/>
      <c r="V392" s="47"/>
      <c r="W392" s="21"/>
      <c r="X392" s="47"/>
      <c r="Y392" s="21"/>
      <c r="Z392" s="47"/>
      <c r="AA392" s="21"/>
      <c r="AB392" s="47"/>
      <c r="AC392" s="21"/>
      <c r="AD392" s="47"/>
      <c r="AE392" s="21"/>
      <c r="AF392" s="47"/>
      <c r="AG392" s="21"/>
      <c r="AH392" s="47"/>
      <c r="AI392" s="21"/>
      <c r="AJ392" s="47"/>
      <c r="AK392" s="21"/>
      <c r="AL392" s="47"/>
      <c r="AM392" s="21"/>
      <c r="AN392" s="47"/>
      <c r="AO392" s="21"/>
      <c r="AP392" s="47"/>
      <c r="AQ392" s="21"/>
    </row>
    <row r="393" spans="2:43" x14ac:dyDescent="0.25">
      <c r="B393" s="1" t="s">
        <v>1</v>
      </c>
      <c r="C393" s="1">
        <v>1.8</v>
      </c>
      <c r="D393" s="2">
        <v>1.85</v>
      </c>
      <c r="E393" s="2">
        <v>1.9</v>
      </c>
      <c r="F393" s="2">
        <v>1.95</v>
      </c>
      <c r="G393" s="22">
        <v>2</v>
      </c>
      <c r="H393" s="2">
        <v>2.0499999999999998</v>
      </c>
      <c r="I393" s="22">
        <v>2.1</v>
      </c>
      <c r="J393" s="2">
        <v>2.15</v>
      </c>
      <c r="K393" s="22">
        <v>2.2000000000000002</v>
      </c>
      <c r="L393" s="2">
        <v>2.25</v>
      </c>
      <c r="M393" s="22">
        <v>2.2999999999999998</v>
      </c>
      <c r="N393" s="2">
        <v>2.35</v>
      </c>
      <c r="O393" s="22">
        <v>2.4</v>
      </c>
      <c r="P393" s="2">
        <v>2.4500000000000002</v>
      </c>
      <c r="Q393" s="22">
        <v>2.5</v>
      </c>
      <c r="R393" s="2">
        <v>2.5499999999999998</v>
      </c>
      <c r="S393" s="22">
        <v>2.6</v>
      </c>
      <c r="T393" s="2">
        <v>2.65</v>
      </c>
      <c r="U393" s="22">
        <v>2.7</v>
      </c>
      <c r="V393" s="2">
        <v>2.75</v>
      </c>
      <c r="W393" s="22">
        <v>2.8</v>
      </c>
      <c r="X393" s="2">
        <v>2.85</v>
      </c>
      <c r="Y393" s="22">
        <v>2.9</v>
      </c>
      <c r="Z393" s="2">
        <v>2.95</v>
      </c>
      <c r="AA393" s="22">
        <v>3</v>
      </c>
      <c r="AB393" s="2">
        <v>3.05</v>
      </c>
      <c r="AC393" s="22">
        <v>3.1</v>
      </c>
      <c r="AD393" s="2">
        <v>3.15</v>
      </c>
      <c r="AE393" s="22">
        <v>3.2</v>
      </c>
      <c r="AF393" s="2">
        <v>3.25</v>
      </c>
      <c r="AG393" s="22">
        <v>3.3</v>
      </c>
      <c r="AH393" s="2">
        <v>3.35</v>
      </c>
      <c r="AI393" s="22">
        <v>3.4</v>
      </c>
      <c r="AJ393" s="2">
        <v>3.45</v>
      </c>
      <c r="AK393" s="22">
        <v>3.5</v>
      </c>
      <c r="AL393" s="2">
        <v>3.55</v>
      </c>
      <c r="AM393" s="22">
        <v>3.6</v>
      </c>
      <c r="AN393" s="2">
        <v>3.65</v>
      </c>
      <c r="AO393" s="22">
        <v>3.7</v>
      </c>
      <c r="AP393" s="2">
        <v>3.75</v>
      </c>
      <c r="AQ393" s="22">
        <v>3.8</v>
      </c>
    </row>
    <row r="394" spans="2:43" x14ac:dyDescent="0.25">
      <c r="B394" s="1" t="s">
        <v>3</v>
      </c>
      <c r="C394" s="3">
        <f>AVERAGE(C395,C396,C397,C398,C399,C400)</f>
        <v>10.596776</v>
      </c>
      <c r="D394" s="3">
        <f t="shared" ref="D394" si="521">AVERAGE(D395,D396,D397)</f>
        <v>10.636211000000001</v>
      </c>
      <c r="E394" s="3">
        <f t="shared" ref="E394" si="522">AVERAGE(E395,E396,E397)</f>
        <v>10.643532333333335</v>
      </c>
      <c r="F394" s="3">
        <f t="shared" ref="F394" si="523">AVERAGE(F395,F396,F397)</f>
        <v>10.634780000000001</v>
      </c>
      <c r="G394" s="34">
        <f t="shared" ref="G394" si="524">AVERAGE(G395,G396,G397)</f>
        <v>10.637311333333333</v>
      </c>
      <c r="H394" s="3">
        <f t="shared" ref="H394" si="525">AVERAGE(H395,H396,H397)</f>
        <v>9.4743849999999998</v>
      </c>
      <c r="I394" s="34">
        <f t="shared" ref="I394" si="526">AVERAGE(I395,I396,I397)</f>
        <v>9.2219540000000002</v>
      </c>
      <c r="J394" s="3">
        <f t="shared" ref="J394" si="527">AVERAGE(J395,J396,J397)</f>
        <v>9.0928950000000004</v>
      </c>
      <c r="K394" s="34">
        <f t="shared" ref="K394" si="528">AVERAGE(K395,K396,K397)</f>
        <v>8.8484376666666673</v>
      </c>
      <c r="L394" s="3">
        <f t="shared" ref="L394" si="529">AVERAGE(L395,L396,L397)</f>
        <v>8.7140143333333331</v>
      </c>
      <c r="M394" s="34">
        <f t="shared" ref="M394" si="530">AVERAGE(M395,M396,M397)</f>
        <v>8.7404700000000002</v>
      </c>
      <c r="N394" s="3">
        <f t="shared" ref="N394" si="531">AVERAGE(N395,N396,N397)</f>
        <v>8.5308163333333322</v>
      </c>
      <c r="O394" s="34">
        <f t="shared" ref="O394" si="532">AVERAGE(O395,O396,O397)</f>
        <v>8.4123143333333328</v>
      </c>
      <c r="P394" s="3">
        <f t="shared" ref="P394" si="533">AVERAGE(P395,P396,P397)</f>
        <v>8.2139039999999994</v>
      </c>
      <c r="Q394" s="34">
        <f t="shared" ref="Q394" si="534">AVERAGE(Q395,Q396,Q397)</f>
        <v>8.0482473333333342</v>
      </c>
      <c r="R394" s="3">
        <f t="shared" ref="R394" si="535">AVERAGE(R395,R396,R397)</f>
        <v>8.1320113333333328</v>
      </c>
      <c r="S394" s="34">
        <f t="shared" ref="S394" si="536">AVERAGE(S395,S396,S397)</f>
        <v>8.015865999999999</v>
      </c>
      <c r="T394" s="3">
        <f t="shared" ref="T394" si="537">AVERAGE(T395,T396,T397)</f>
        <v>7.828765999999999</v>
      </c>
      <c r="U394" s="34">
        <f t="shared" ref="U394" si="538">AVERAGE(U395,U396,U397)</f>
        <v>7.6765483333333338</v>
      </c>
      <c r="V394" s="3">
        <f t="shared" ref="V394" si="539">AVERAGE(V395,V396,V397)</f>
        <v>7.5759450000000008</v>
      </c>
      <c r="W394" s="34">
        <f t="shared" ref="W394" si="540">AVERAGE(W395,W396,W397)</f>
        <v>7.4704920000000001</v>
      </c>
      <c r="X394" s="3">
        <f t="shared" ref="X394" si="541">AVERAGE(X395,X396,X397)</f>
        <v>7.3629483333333328</v>
      </c>
      <c r="Y394" s="34">
        <f t="shared" ref="Y394" si="542">AVERAGE(Y395,Y396,Y397)</f>
        <v>7.2075670000000001</v>
      </c>
      <c r="Z394" s="3">
        <f t="shared" ref="Z394" si="543">AVERAGE(Z395,Z396,Z397)</f>
        <v>7.0743703333333343</v>
      </c>
      <c r="AA394" s="34">
        <f t="shared" ref="AA394" si="544">AVERAGE(AA395,AA396,AA397)</f>
        <v>6.9832910000000004</v>
      </c>
      <c r="AB394" s="3">
        <f t="shared" ref="AB394" si="545">AVERAGE(AB395,AB396,AB397)</f>
        <v>6.9083816666666671</v>
      </c>
      <c r="AC394" s="34">
        <f t="shared" ref="AC394" si="546">AVERAGE(AC395,AC396,AC397)</f>
        <v>6.8111430000000004</v>
      </c>
      <c r="AD394" s="3">
        <f t="shared" ref="AD394" si="547">AVERAGE(AD395,AD396,AD397)</f>
        <v>6.7292033333333334</v>
      </c>
      <c r="AE394" s="34">
        <f t="shared" ref="AE394" si="548">AVERAGE(AE395,AE396,AE397)</f>
        <v>6.5898030000000007</v>
      </c>
      <c r="AF394" s="3">
        <f t="shared" ref="AF394" si="549">AVERAGE(AF395,AF396,AF397)</f>
        <v>6.4813993333333331</v>
      </c>
      <c r="AG394" s="34">
        <f t="shared" ref="AG394" si="550">AVERAGE(AG395,AG396,AG397)</f>
        <v>6.4030689999999995</v>
      </c>
      <c r="AH394" s="3">
        <f t="shared" ref="AH394" si="551">AVERAGE(AH395,AH396,AH397)</f>
        <v>6.3303950000000002</v>
      </c>
      <c r="AI394" s="34">
        <f t="shared" ref="AI394" si="552">AVERAGE(AI395,AI396,AI397)</f>
        <v>6.2523653333333336</v>
      </c>
      <c r="AJ394" s="3">
        <f t="shared" ref="AJ394" si="553">AVERAGE(AJ395,AJ396,AJ397)</f>
        <v>6.3152153333333336</v>
      </c>
      <c r="AK394" s="34">
        <f t="shared" ref="AK394" si="554">AVERAGE(AK395,AK396,AK397)</f>
        <v>6.2475106666666669</v>
      </c>
      <c r="AL394" s="3">
        <f t="shared" ref="AL394" si="555">AVERAGE(AL395,AL396,AL397)</f>
        <v>6.1728593333333324</v>
      </c>
      <c r="AM394" s="34">
        <f t="shared" ref="AM394" si="556">AVERAGE(AM395,AM396,AM397)</f>
        <v>6.1113966666666668</v>
      </c>
      <c r="AN394" s="3">
        <f t="shared" ref="AN394" si="557">AVERAGE(AN395,AN396,AN397)</f>
        <v>6.0514043333333332</v>
      </c>
      <c r="AO394" s="34">
        <f t="shared" ref="AO394" si="558">AVERAGE(AO395,AO396,AO397)</f>
        <v>5.9874359999999998</v>
      </c>
      <c r="AP394" s="3">
        <f t="shared" ref="AP394" si="559">AVERAGE(AP395,AP396,AP397)</f>
        <v>5.9293736666666668</v>
      </c>
      <c r="AQ394" s="34">
        <f t="shared" ref="AQ394" si="560">AVERAGE(AQ395,AQ396,AQ397)</f>
        <v>5.8688073333333328</v>
      </c>
    </row>
    <row r="395" spans="2:43" x14ac:dyDescent="0.25">
      <c r="B395" s="1">
        <v>1</v>
      </c>
      <c r="C395" s="115">
        <v>10.679713</v>
      </c>
      <c r="D395" s="115">
        <v>10.647987000000001</v>
      </c>
      <c r="E395" s="115">
        <v>10.631135</v>
      </c>
      <c r="F395" s="115">
        <v>10.654782000000001</v>
      </c>
      <c r="G395" s="134">
        <v>10.6404</v>
      </c>
      <c r="H395" s="115">
        <v>9.4729609999999997</v>
      </c>
      <c r="I395" s="134">
        <v>9.2399850000000008</v>
      </c>
      <c r="J395" s="115">
        <v>9.1015359999999994</v>
      </c>
      <c r="K395" s="134">
        <v>8.8649749999999994</v>
      </c>
      <c r="L395" s="115">
        <v>8.7286420000000007</v>
      </c>
      <c r="M395" s="134">
        <v>9.1830320000000007</v>
      </c>
      <c r="N395" s="115">
        <v>8.9179099999999991</v>
      </c>
      <c r="O395" s="134">
        <v>8.7898890000000005</v>
      </c>
      <c r="P395" s="115">
        <v>8.6545850000000009</v>
      </c>
      <c r="Q395" s="134">
        <v>8.413475</v>
      </c>
      <c r="R395" s="115">
        <v>8.2957160000000005</v>
      </c>
      <c r="S395" s="134">
        <v>8.1813819999999993</v>
      </c>
      <c r="T395" s="115">
        <v>8.0625929999999997</v>
      </c>
      <c r="U395" s="134">
        <v>7.8290170000000003</v>
      </c>
      <c r="V395" s="115">
        <v>7.7308110000000001</v>
      </c>
      <c r="W395" s="134">
        <v>7.6257279999999996</v>
      </c>
      <c r="X395" s="115">
        <v>7.5039899999999999</v>
      </c>
      <c r="Y395" s="134">
        <v>7.4227819999999998</v>
      </c>
      <c r="Z395" s="115">
        <v>7.2190960000000004</v>
      </c>
      <c r="AA395" s="134">
        <v>7.1298199999999996</v>
      </c>
      <c r="AB395" s="115">
        <v>7.0604380000000004</v>
      </c>
      <c r="AC395" s="134">
        <v>6.9587180000000002</v>
      </c>
      <c r="AD395" s="115">
        <v>6.8645389999999997</v>
      </c>
      <c r="AE395" s="134">
        <v>6.7839489999999998</v>
      </c>
      <c r="AF395" s="115">
        <v>6.616663</v>
      </c>
      <c r="AG395" s="134">
        <v>6.5297270000000003</v>
      </c>
      <c r="AH395" s="115">
        <v>6.4591839999999996</v>
      </c>
      <c r="AI395" s="134">
        <v>6.3777670000000004</v>
      </c>
      <c r="AJ395" s="115">
        <v>6.3039579999999997</v>
      </c>
      <c r="AK395" s="134">
        <v>6.2319360000000001</v>
      </c>
      <c r="AL395" s="115">
        <v>6.153327</v>
      </c>
      <c r="AM395" s="134">
        <v>6.0929000000000002</v>
      </c>
      <c r="AN395" s="115">
        <v>6.0358919999999996</v>
      </c>
      <c r="AO395" s="134">
        <v>5.9757629999999997</v>
      </c>
      <c r="AP395" s="115">
        <v>5.9116980000000003</v>
      </c>
      <c r="AQ395" s="134">
        <v>5.8587949999999998</v>
      </c>
    </row>
    <row r="396" spans="2:43" x14ac:dyDescent="0.25">
      <c r="B396" s="1">
        <v>2</v>
      </c>
      <c r="C396" s="116">
        <v>10.614379</v>
      </c>
      <c r="D396" s="116">
        <v>10.596138</v>
      </c>
      <c r="E396" s="116">
        <v>10.62261</v>
      </c>
      <c r="F396" s="116">
        <v>10.581013</v>
      </c>
      <c r="G396" s="134">
        <v>10.605694</v>
      </c>
      <c r="H396" s="116">
        <v>9.4498549999999994</v>
      </c>
      <c r="I396" s="134">
        <v>9.1793019999999999</v>
      </c>
      <c r="J396" s="116">
        <v>9.0681030000000007</v>
      </c>
      <c r="K396" s="134">
        <v>8.8243500000000008</v>
      </c>
      <c r="L396" s="116">
        <v>8.6764779999999995</v>
      </c>
      <c r="M396" s="134">
        <v>8.560181</v>
      </c>
      <c r="N396" s="116">
        <v>8.311401</v>
      </c>
      <c r="O396" s="134">
        <v>8.2079950000000004</v>
      </c>
      <c r="P396" s="116">
        <v>7.9717419999999999</v>
      </c>
      <c r="Q396" s="134">
        <v>7.8379349999999999</v>
      </c>
      <c r="R396" s="116">
        <v>7.7308019999999997</v>
      </c>
      <c r="S396" s="134">
        <v>7.6198249999999996</v>
      </c>
      <c r="T396" s="116">
        <v>7.4093609999999996</v>
      </c>
      <c r="U396" s="134">
        <v>7.307302</v>
      </c>
      <c r="V396" s="116">
        <v>7.2072570000000002</v>
      </c>
      <c r="W396" s="134">
        <v>7.0956289999999997</v>
      </c>
      <c r="X396" s="116">
        <v>7.0130319999999999</v>
      </c>
      <c r="Y396" s="134">
        <v>6.8208690000000001</v>
      </c>
      <c r="Z396" s="116">
        <v>6.7220409999999999</v>
      </c>
      <c r="AA396" s="134">
        <v>6.6342739999999996</v>
      </c>
      <c r="AB396" s="116">
        <v>6.5606309999999999</v>
      </c>
      <c r="AC396" s="134">
        <v>6.459886</v>
      </c>
      <c r="AD396" s="116">
        <v>6.3961410000000001</v>
      </c>
      <c r="AE396" s="134">
        <v>6.2403000000000004</v>
      </c>
      <c r="AF396" s="116">
        <v>6.1600099999999998</v>
      </c>
      <c r="AG396" s="134">
        <v>6.0870240000000004</v>
      </c>
      <c r="AH396" s="116">
        <v>6.020219</v>
      </c>
      <c r="AI396" s="134">
        <v>5.9403139999999999</v>
      </c>
      <c r="AJ396" s="116">
        <v>6.2757389999999997</v>
      </c>
      <c r="AK396" s="134">
        <v>6.2170300000000003</v>
      </c>
      <c r="AL396" s="116">
        <v>6.1518389999999998</v>
      </c>
      <c r="AM396" s="134">
        <v>6.0876219999999996</v>
      </c>
      <c r="AN396" s="116">
        <v>6.0259029999999996</v>
      </c>
      <c r="AO396" s="134">
        <v>5.9570650000000001</v>
      </c>
      <c r="AP396" s="116">
        <v>5.9061459999999997</v>
      </c>
      <c r="AQ396" s="134">
        <v>5.841558</v>
      </c>
    </row>
    <row r="397" spans="2:43" x14ac:dyDescent="0.25">
      <c r="B397" s="1">
        <v>3</v>
      </c>
      <c r="C397" s="117">
        <v>10.676958000000001</v>
      </c>
      <c r="D397" s="117">
        <v>10.664508</v>
      </c>
      <c r="E397" s="117">
        <v>10.676852</v>
      </c>
      <c r="F397" s="117">
        <v>10.668545</v>
      </c>
      <c r="G397" s="134">
        <v>10.665839999999999</v>
      </c>
      <c r="H397" s="117">
        <v>9.5003390000000003</v>
      </c>
      <c r="I397" s="134">
        <v>9.246575</v>
      </c>
      <c r="J397" s="117">
        <v>9.1090459999999993</v>
      </c>
      <c r="K397" s="134">
        <v>8.855988</v>
      </c>
      <c r="L397" s="117">
        <v>8.7369230000000009</v>
      </c>
      <c r="M397" s="134">
        <v>8.4781969999999998</v>
      </c>
      <c r="N397" s="117">
        <v>8.3631379999999993</v>
      </c>
      <c r="O397" s="134">
        <v>8.2390589999999992</v>
      </c>
      <c r="P397" s="117">
        <v>8.0153850000000002</v>
      </c>
      <c r="Q397" s="134">
        <v>7.893332</v>
      </c>
      <c r="R397" s="117">
        <v>8.3695160000000008</v>
      </c>
      <c r="S397" s="134">
        <v>8.2463909999999991</v>
      </c>
      <c r="T397" s="117">
        <v>8.0143439999999995</v>
      </c>
      <c r="U397" s="134">
        <v>7.8933260000000001</v>
      </c>
      <c r="V397" s="117">
        <v>7.7897670000000003</v>
      </c>
      <c r="W397" s="134">
        <v>7.6901190000000001</v>
      </c>
      <c r="X397" s="117">
        <v>7.5718230000000002</v>
      </c>
      <c r="Y397" s="134">
        <v>7.3790500000000003</v>
      </c>
      <c r="Z397" s="117">
        <v>7.2819739999999999</v>
      </c>
      <c r="AA397" s="134">
        <v>7.1857790000000001</v>
      </c>
      <c r="AB397" s="117">
        <v>7.1040760000000001</v>
      </c>
      <c r="AC397" s="134">
        <v>7.0148250000000001</v>
      </c>
      <c r="AD397" s="117">
        <v>6.9269299999999996</v>
      </c>
      <c r="AE397" s="134">
        <v>6.7451600000000003</v>
      </c>
      <c r="AF397" s="117">
        <v>6.6675250000000004</v>
      </c>
      <c r="AG397" s="134">
        <v>6.5924560000000003</v>
      </c>
      <c r="AH397" s="117">
        <v>6.5117820000000002</v>
      </c>
      <c r="AI397" s="134">
        <v>6.4390150000000004</v>
      </c>
      <c r="AJ397" s="117">
        <v>6.3659489999999996</v>
      </c>
      <c r="AK397" s="134">
        <v>6.2935660000000002</v>
      </c>
      <c r="AL397" s="117">
        <v>6.2134119999999999</v>
      </c>
      <c r="AM397" s="134">
        <v>6.1536679999999997</v>
      </c>
      <c r="AN397" s="117">
        <v>6.0924180000000003</v>
      </c>
      <c r="AO397" s="134">
        <v>6.0294800000000004</v>
      </c>
      <c r="AP397" s="117">
        <v>5.9702770000000003</v>
      </c>
      <c r="AQ397" s="134">
        <v>5.9060689999999996</v>
      </c>
    </row>
    <row r="398" spans="2:43" x14ac:dyDescent="0.25">
      <c r="B398" s="32">
        <v>4</v>
      </c>
      <c r="C398" s="118">
        <v>10.081087999999999</v>
      </c>
      <c r="D398" s="118">
        <v>10.070043</v>
      </c>
      <c r="E398" s="118">
        <v>10.065880999999999</v>
      </c>
      <c r="F398" s="118">
        <v>10.072884</v>
      </c>
      <c r="G398" s="134">
        <v>10.064558</v>
      </c>
      <c r="H398" s="118">
        <v>8.9443940000000008</v>
      </c>
      <c r="I398" s="134">
        <v>8.7133789999999998</v>
      </c>
      <c r="J398" s="118">
        <v>8.5821629999999995</v>
      </c>
      <c r="K398" s="134">
        <v>8.3485879999999995</v>
      </c>
      <c r="L398" s="118">
        <v>8.2172450000000001</v>
      </c>
      <c r="M398" s="134">
        <v>8.5407390000000003</v>
      </c>
      <c r="N398" s="118">
        <v>7.880617</v>
      </c>
      <c r="O398" s="134">
        <v>8.2754510000000003</v>
      </c>
      <c r="P398" s="118">
        <v>8.0451540000000001</v>
      </c>
      <c r="Q398" s="134">
        <v>7.9270909999999999</v>
      </c>
      <c r="R398" s="118">
        <v>7.8020319999999996</v>
      </c>
      <c r="S398" s="134">
        <v>7.701854</v>
      </c>
      <c r="T398" s="118">
        <v>7.4800700000000004</v>
      </c>
      <c r="U398" s="134">
        <v>7.3819470000000003</v>
      </c>
      <c r="V398" s="118">
        <v>7.2710910000000002</v>
      </c>
      <c r="W398" s="134">
        <v>7.171564</v>
      </c>
      <c r="X398" s="118">
        <v>7.0802849999999999</v>
      </c>
      <c r="Y398" s="134">
        <v>6.8946860000000001</v>
      </c>
      <c r="Z398" s="118">
        <v>6.8117510000000001</v>
      </c>
      <c r="AA398" s="134">
        <v>6.709778</v>
      </c>
      <c r="AB398" s="118">
        <v>6.631761</v>
      </c>
      <c r="AC398" s="134">
        <v>6.5273219999999998</v>
      </c>
      <c r="AD398" s="118">
        <v>6.4626289999999997</v>
      </c>
      <c r="AE398" s="134">
        <v>6.2991210000000004</v>
      </c>
      <c r="AF398" s="118">
        <v>6.2251599999999998</v>
      </c>
      <c r="AG398" s="134">
        <v>6.1502020000000002</v>
      </c>
      <c r="AH398" s="118">
        <v>6.0840110000000003</v>
      </c>
      <c r="AI398" s="134">
        <v>5.9953909999999997</v>
      </c>
      <c r="AJ398" s="118">
        <v>5.9283489999999999</v>
      </c>
      <c r="AK398" s="134">
        <v>5.8601710000000002</v>
      </c>
      <c r="AL398" s="118">
        <v>5.8010659999999996</v>
      </c>
      <c r="AM398" s="134">
        <v>5.7393280000000004</v>
      </c>
      <c r="AN398" s="118">
        <v>5.6848650000000003</v>
      </c>
      <c r="AO398" s="134">
        <v>5.6257080000000004</v>
      </c>
      <c r="AP398" s="118">
        <v>5.563167</v>
      </c>
      <c r="AQ398" s="134">
        <v>5.5161290000000003</v>
      </c>
    </row>
    <row r="399" spans="2:43" x14ac:dyDescent="0.25">
      <c r="B399" s="32">
        <v>5</v>
      </c>
      <c r="C399" s="119">
        <v>10.882808000000001</v>
      </c>
      <c r="D399" s="119">
        <v>10.871171</v>
      </c>
      <c r="E399" s="119">
        <v>10.878873</v>
      </c>
      <c r="F399" s="119">
        <v>10.867319</v>
      </c>
      <c r="G399" s="134">
        <v>10.866163999999999</v>
      </c>
      <c r="H399" s="119">
        <v>9.6902460000000001</v>
      </c>
      <c r="I399" s="134">
        <v>9.4259280000000008</v>
      </c>
      <c r="J399" s="119">
        <v>9.2980859999999996</v>
      </c>
      <c r="K399" s="134">
        <v>9.0551700000000004</v>
      </c>
      <c r="L399" s="119">
        <v>8.9098430000000004</v>
      </c>
      <c r="M399" s="134">
        <v>8.7847620000000006</v>
      </c>
      <c r="N399" s="119">
        <v>8.5509360000000001</v>
      </c>
      <c r="O399" s="134">
        <v>8.4117239999999995</v>
      </c>
      <c r="P399" s="119">
        <v>8.2916530000000002</v>
      </c>
      <c r="Q399" s="134">
        <v>8.0672259999999998</v>
      </c>
      <c r="R399" s="119">
        <v>7.9444730000000003</v>
      </c>
      <c r="S399" s="134">
        <v>7.8298129999999997</v>
      </c>
      <c r="T399" s="119">
        <v>7.6999639999999996</v>
      </c>
      <c r="U399" s="134">
        <v>7.5092290000000004</v>
      </c>
      <c r="V399" s="119">
        <v>7.4056350000000002</v>
      </c>
      <c r="W399" s="134">
        <v>7.295369</v>
      </c>
      <c r="X399" s="119">
        <v>7.1830360000000004</v>
      </c>
      <c r="Y399" s="134">
        <v>7.1067349999999996</v>
      </c>
      <c r="Z399" s="119">
        <v>6.902971</v>
      </c>
      <c r="AA399" s="134">
        <v>6.8162890000000003</v>
      </c>
      <c r="AB399" s="119">
        <v>6.7378049999999998</v>
      </c>
      <c r="AC399" s="134">
        <v>6.6498929999999996</v>
      </c>
      <c r="AD399" s="119">
        <v>6.5734830000000004</v>
      </c>
      <c r="AE399" s="134">
        <v>6.4025040000000004</v>
      </c>
      <c r="AF399" s="119">
        <v>6.3378949999999996</v>
      </c>
      <c r="AG399" s="134">
        <v>6.2492010000000002</v>
      </c>
      <c r="AH399" s="119">
        <v>6.1753790000000004</v>
      </c>
      <c r="AI399" s="134">
        <v>6.1165240000000001</v>
      </c>
      <c r="AJ399" s="119">
        <v>6.0345149999999999</v>
      </c>
      <c r="AK399" s="134">
        <v>5.9694159999999998</v>
      </c>
      <c r="AL399" s="119">
        <v>5.8854119999999996</v>
      </c>
      <c r="AM399" s="134">
        <v>5.8363829999999997</v>
      </c>
      <c r="AN399" s="119">
        <v>5.7727550000000001</v>
      </c>
      <c r="AO399" s="134">
        <v>5.7187859999999997</v>
      </c>
      <c r="AP399" s="119">
        <v>6.0543829999999996</v>
      </c>
      <c r="AQ399" s="134">
        <v>5.993309</v>
      </c>
    </row>
    <row r="400" spans="2:43" x14ac:dyDescent="0.25">
      <c r="B400" s="32">
        <v>6</v>
      </c>
      <c r="C400" s="120">
        <v>10.645709999999999</v>
      </c>
      <c r="D400" s="120">
        <v>10.630556</v>
      </c>
      <c r="E400" s="120">
        <v>11.373999</v>
      </c>
      <c r="F400" s="120">
        <v>11.367839999999999</v>
      </c>
      <c r="G400" s="134">
        <v>11.366292</v>
      </c>
      <c r="H400" s="120">
        <v>10.142598</v>
      </c>
      <c r="I400" s="134">
        <v>9.8782440000000005</v>
      </c>
      <c r="J400" s="120">
        <v>9.7255800000000008</v>
      </c>
      <c r="K400" s="134">
        <v>9.4747559999999993</v>
      </c>
      <c r="L400" s="120">
        <v>9.3311130000000002</v>
      </c>
      <c r="M400" s="134">
        <v>9.2124039999999994</v>
      </c>
      <c r="N400" s="120">
        <v>8.9330149999999993</v>
      </c>
      <c r="O400" s="134">
        <v>8.7751819999999991</v>
      </c>
      <c r="P400" s="120">
        <v>8.6776499999999999</v>
      </c>
      <c r="Q400" s="134">
        <v>8.4302250000000001</v>
      </c>
      <c r="R400" s="120">
        <v>8.2965739999999997</v>
      </c>
      <c r="S400" s="134">
        <v>8.1801250000000003</v>
      </c>
      <c r="T400" s="120">
        <v>8.0884689999999999</v>
      </c>
      <c r="U400" s="134">
        <v>7.8221400000000001</v>
      </c>
      <c r="V400" s="120">
        <v>7.7449170000000001</v>
      </c>
      <c r="W400" s="134">
        <v>7.6355690000000003</v>
      </c>
      <c r="X400" s="120">
        <v>7.5368110000000001</v>
      </c>
      <c r="Y400" s="134">
        <v>7.4376829999999998</v>
      </c>
      <c r="Z400" s="120">
        <v>7.2377830000000003</v>
      </c>
      <c r="AA400" s="134">
        <v>7.1435060000000004</v>
      </c>
      <c r="AB400" s="120">
        <v>7.0529250000000001</v>
      </c>
      <c r="AC400" s="134">
        <v>6.9702450000000002</v>
      </c>
      <c r="AD400" s="120">
        <v>6.8771589999999998</v>
      </c>
      <c r="AE400" s="134">
        <v>6.7906709999999997</v>
      </c>
      <c r="AF400" s="120">
        <v>6.6169399999999996</v>
      </c>
      <c r="AG400" s="134">
        <v>6.5312109999999999</v>
      </c>
      <c r="AH400" s="120">
        <v>6.4688109999999996</v>
      </c>
      <c r="AI400" s="134">
        <v>6.3796670000000004</v>
      </c>
      <c r="AJ400" s="120">
        <v>6.3050480000000002</v>
      </c>
      <c r="AK400" s="134">
        <v>6.2339520000000004</v>
      </c>
      <c r="AL400" s="120">
        <v>6.1750990000000003</v>
      </c>
      <c r="AM400" s="134">
        <v>6.1137569999999997</v>
      </c>
      <c r="AN400" s="120">
        <v>6.0525440000000001</v>
      </c>
      <c r="AO400" s="134">
        <v>5.9836539999999996</v>
      </c>
      <c r="AP400" s="120">
        <v>5.9264140000000003</v>
      </c>
      <c r="AQ400" s="134">
        <v>5.8728819999999997</v>
      </c>
    </row>
    <row r="422" spans="2:43" x14ac:dyDescent="0.25">
      <c r="B422" s="47" t="s">
        <v>4</v>
      </c>
      <c r="C422" s="47">
        <v>-8</v>
      </c>
      <c r="D422" s="47"/>
      <c r="E422" s="47"/>
      <c r="F422" s="47"/>
      <c r="G422" s="21"/>
      <c r="H422" s="47"/>
      <c r="I422" s="21"/>
      <c r="J422" s="47"/>
      <c r="K422" s="21"/>
      <c r="L422" s="47"/>
      <c r="M422" s="21"/>
      <c r="N422" s="47"/>
      <c r="O422" s="21"/>
      <c r="P422" s="47"/>
      <c r="Q422" s="21"/>
      <c r="R422" s="47"/>
      <c r="S422" s="21"/>
      <c r="T422" s="47"/>
      <c r="U422" s="21"/>
      <c r="V422" s="47"/>
      <c r="W422" s="21"/>
      <c r="X422" s="47"/>
      <c r="Y422" s="21"/>
      <c r="Z422" s="47"/>
      <c r="AA422" s="21"/>
      <c r="AB422" s="47"/>
      <c r="AC422" s="21"/>
      <c r="AD422" s="47"/>
      <c r="AE422" s="21"/>
      <c r="AF422" s="47"/>
      <c r="AG422" s="21"/>
      <c r="AH422" s="47"/>
      <c r="AI422" s="21"/>
      <c r="AJ422" s="47"/>
      <c r="AK422" s="21"/>
      <c r="AL422" s="47"/>
      <c r="AM422" s="21"/>
      <c r="AN422" s="47"/>
      <c r="AO422" s="21"/>
      <c r="AP422" s="47"/>
      <c r="AQ422" s="21"/>
    </row>
    <row r="423" spans="2:43" x14ac:dyDescent="0.25">
      <c r="B423" s="1" t="s">
        <v>1</v>
      </c>
      <c r="C423" s="1">
        <v>1.8</v>
      </c>
      <c r="D423" s="2">
        <v>1.85</v>
      </c>
      <c r="E423" s="2">
        <v>1.9</v>
      </c>
      <c r="F423" s="2">
        <v>1.95</v>
      </c>
      <c r="G423" s="22">
        <v>2</v>
      </c>
      <c r="H423" s="2">
        <v>2.0499999999999998</v>
      </c>
      <c r="I423" s="22">
        <v>2.1</v>
      </c>
      <c r="J423" s="2">
        <v>2.15</v>
      </c>
      <c r="K423" s="22">
        <v>2.2000000000000002</v>
      </c>
      <c r="L423" s="2">
        <v>2.25</v>
      </c>
      <c r="M423" s="22">
        <v>2.2999999999999998</v>
      </c>
      <c r="N423" s="2">
        <v>2.35</v>
      </c>
      <c r="O423" s="22">
        <v>2.4</v>
      </c>
      <c r="P423" s="2">
        <v>2.4500000000000002</v>
      </c>
      <c r="Q423" s="22">
        <v>2.5</v>
      </c>
      <c r="R423" s="2">
        <v>2.5499999999999998</v>
      </c>
      <c r="S423" s="22">
        <v>2.6</v>
      </c>
      <c r="T423" s="2">
        <v>2.65</v>
      </c>
      <c r="U423" s="22">
        <v>2.7</v>
      </c>
      <c r="V423" s="2">
        <v>2.75</v>
      </c>
      <c r="W423" s="22">
        <v>2.8</v>
      </c>
      <c r="X423" s="2">
        <v>2.85</v>
      </c>
      <c r="Y423" s="22">
        <v>2.9</v>
      </c>
      <c r="Z423" s="2">
        <v>2.95</v>
      </c>
      <c r="AA423" s="22">
        <v>3</v>
      </c>
      <c r="AB423" s="2">
        <v>3.05</v>
      </c>
      <c r="AC423" s="22">
        <v>3.1</v>
      </c>
      <c r="AD423" s="2">
        <v>3.15</v>
      </c>
      <c r="AE423" s="22">
        <v>3.2</v>
      </c>
      <c r="AF423" s="2">
        <v>3.25</v>
      </c>
      <c r="AG423" s="22">
        <v>3.3</v>
      </c>
      <c r="AH423" s="2">
        <v>3.35</v>
      </c>
      <c r="AI423" s="22">
        <v>3.4</v>
      </c>
      <c r="AJ423" s="2">
        <v>3.45</v>
      </c>
      <c r="AK423" s="22">
        <v>3.5</v>
      </c>
      <c r="AL423" s="2">
        <v>3.55</v>
      </c>
      <c r="AM423" s="22">
        <v>3.6</v>
      </c>
      <c r="AN423" s="2">
        <v>3.65</v>
      </c>
      <c r="AO423" s="22">
        <v>3.7</v>
      </c>
      <c r="AP423" s="2">
        <v>3.75</v>
      </c>
      <c r="AQ423" s="22">
        <v>3.8</v>
      </c>
    </row>
    <row r="424" spans="2:43" x14ac:dyDescent="0.25">
      <c r="B424" s="1" t="s">
        <v>3</v>
      </c>
      <c r="C424" s="3">
        <f>AVERAGE(C425,C426,C427,C428,C429,C430)</f>
        <v>9.8132996666666656</v>
      </c>
      <c r="D424" s="3">
        <f t="shared" ref="D424" si="561">AVERAGE(D425,D426,D427)</f>
        <v>10.037087999999999</v>
      </c>
      <c r="E424" s="3">
        <f t="shared" ref="E424" si="562">AVERAGE(E425,E426,E427)</f>
        <v>10.028638000000001</v>
      </c>
      <c r="F424" s="3">
        <f t="shared" ref="F424" si="563">AVERAGE(F425,F426,F427)</f>
        <v>10.033006</v>
      </c>
      <c r="G424" s="34">
        <f t="shared" ref="G424" si="564">AVERAGE(G425,G426,G427)</f>
        <v>10.020538333333333</v>
      </c>
      <c r="H424" s="3">
        <f t="shared" ref="H424" si="565">AVERAGE(H425,H426,H427)</f>
        <v>8.9365179999999995</v>
      </c>
      <c r="I424" s="34">
        <f t="shared" ref="I424" si="566">AVERAGE(I425,I426,I427)</f>
        <v>8.7117226666666667</v>
      </c>
      <c r="J424" s="3">
        <f t="shared" ref="J424" si="567">AVERAGE(J425,J426,J427)</f>
        <v>8.5772026666666665</v>
      </c>
      <c r="K424" s="34">
        <f t="shared" ref="K424" si="568">AVERAGE(K425,K426,K427)</f>
        <v>8.3546773333333331</v>
      </c>
      <c r="L424" s="3">
        <f t="shared" ref="L424" si="569">AVERAGE(L425,L426,L427)</f>
        <v>8.2181320000000007</v>
      </c>
      <c r="M424" s="34">
        <f t="shared" ref="M424" si="570">AVERAGE(M425,M426,M427)</f>
        <v>8.0725133333333332</v>
      </c>
      <c r="N424" s="3">
        <f t="shared" ref="N424" si="571">AVERAGE(N425,N426,N427)</f>
        <v>7.8749846666666672</v>
      </c>
      <c r="O424" s="34">
        <f t="shared" ref="O424" si="572">AVERAGE(O425,O426,O427)</f>
        <v>7.9210079999999996</v>
      </c>
      <c r="P424" s="3">
        <f t="shared" ref="P424" si="573">AVERAGE(P425,P426,P427)</f>
        <v>7.7777600000000007</v>
      </c>
      <c r="Q424" s="34">
        <f t="shared" ref="Q424" si="574">AVERAGE(Q425,Q426,Q427)</f>
        <v>7.5946386666666674</v>
      </c>
      <c r="R424" s="3">
        <f t="shared" ref="R424" si="575">AVERAGE(R425,R426,R427)</f>
        <v>7.4755343333333331</v>
      </c>
      <c r="S424" s="34">
        <f t="shared" ref="S424" si="576">AVERAGE(S425,S426,S427)</f>
        <v>7.3707103333333324</v>
      </c>
      <c r="T424" s="3">
        <f t="shared" ref="T424" si="577">AVERAGE(T425,T426,T427)</f>
        <v>7.2366736666666673</v>
      </c>
      <c r="U424" s="34">
        <f t="shared" ref="U424" si="578">AVERAGE(U425,U426,U427)</f>
        <v>7.0659179999999999</v>
      </c>
      <c r="V424" s="3">
        <f t="shared" ref="V424" si="579">AVERAGE(V425,V426,V427)</f>
        <v>6.9697856666666667</v>
      </c>
      <c r="W424" s="34">
        <f t="shared" ref="W424" si="580">AVERAGE(W425,W426,W427)</f>
        <v>6.8765179999999999</v>
      </c>
      <c r="X424" s="3">
        <f t="shared" ref="X424" si="581">AVERAGE(X425,X426,X427)</f>
        <v>6.7823653333333338</v>
      </c>
      <c r="Y424" s="34">
        <f t="shared" ref="Y424" si="582">AVERAGE(Y425,Y426,Y427)</f>
        <v>6.6654646666666659</v>
      </c>
      <c r="Z424" s="3">
        <f t="shared" ref="Z424" si="583">AVERAGE(Z425,Z426,Z427)</f>
        <v>6.519963999999999</v>
      </c>
      <c r="AA424" s="34">
        <f t="shared" ref="AA424" si="584">AVERAGE(AA425,AA426,AA427)</f>
        <v>6.4223039999999996</v>
      </c>
      <c r="AB424" s="3">
        <f t="shared" ref="AB424" si="585">AVERAGE(AB425,AB426,AB427)</f>
        <v>6.3455580000000005</v>
      </c>
      <c r="AC424" s="34">
        <f t="shared" ref="AC424" si="586">AVERAGE(AC425,AC426,AC427)</f>
        <v>6.265664666666666</v>
      </c>
      <c r="AD424" s="3">
        <f t="shared" ref="AD424" si="587">AVERAGE(AD425,AD426,AD427)</f>
        <v>6.1931660000000006</v>
      </c>
      <c r="AE424" s="34">
        <f t="shared" ref="AE424" si="588">AVERAGE(AE425,AE426,AE427)</f>
        <v>6.0659946666666658</v>
      </c>
      <c r="AF424" s="3">
        <f t="shared" ref="AF424" si="589">AVERAGE(AF425,AF426,AF427)</f>
        <v>5.956556</v>
      </c>
      <c r="AG424" s="34">
        <f t="shared" ref="AG424" si="590">AVERAGE(AG425,AG426,AG427)</f>
        <v>5.8950800000000001</v>
      </c>
      <c r="AH424" s="3">
        <f t="shared" ref="AH424" si="591">AVERAGE(AH425,AH426,AH427)</f>
        <v>5.8232353333333329</v>
      </c>
      <c r="AI424" s="34">
        <f t="shared" ref="AI424" si="592">AVERAGE(AI425,AI426,AI427)</f>
        <v>5.7509546666666678</v>
      </c>
      <c r="AJ424" s="3">
        <f t="shared" ref="AJ424" si="593">AVERAGE(AJ425,AJ426,AJ427)</f>
        <v>5.6812560000000003</v>
      </c>
      <c r="AK424" s="34">
        <f t="shared" ref="AK424" si="594">AVERAGE(AK425,AK426,AK427)</f>
        <v>5.6181536666666672</v>
      </c>
      <c r="AL424" s="3">
        <f t="shared" ref="AL424" si="595">AVERAGE(AL425,AL426,AL427)</f>
        <v>5.5609373333333325</v>
      </c>
      <c r="AM424" s="34">
        <f t="shared" ref="AM424" si="596">AVERAGE(AM425,AM426,AM427)</f>
        <v>5.4995756666666678</v>
      </c>
      <c r="AN424" s="3">
        <f t="shared" ref="AN424" si="597">AVERAGE(AN425,AN426,AN427)</f>
        <v>5.4466676666666665</v>
      </c>
      <c r="AO424" s="34">
        <f t="shared" ref="AO424" si="598">AVERAGE(AO425,AO426,AO427)</f>
        <v>5.3893783333333332</v>
      </c>
      <c r="AP424" s="3">
        <f t="shared" ref="AP424" si="599">AVERAGE(AP425,AP426,AP427)</f>
        <v>5.4744869999999999</v>
      </c>
      <c r="AQ424" s="34">
        <f t="shared" ref="AQ424" si="600">AVERAGE(AQ425,AQ426,AQ427)</f>
        <v>5.4180439999999992</v>
      </c>
    </row>
    <row r="425" spans="2:43" x14ac:dyDescent="0.25">
      <c r="B425" s="1">
        <v>1</v>
      </c>
      <c r="C425" s="121">
        <v>9.8024480000000001</v>
      </c>
      <c r="D425" s="121">
        <v>10.633777</v>
      </c>
      <c r="E425" s="121">
        <v>10.597531999999999</v>
      </c>
      <c r="F425" s="121">
        <v>10.621722999999999</v>
      </c>
      <c r="G425" s="134">
        <v>10.593381000000001</v>
      </c>
      <c r="H425" s="121">
        <v>9.4725029999999997</v>
      </c>
      <c r="I425" s="134">
        <v>9.2453120000000002</v>
      </c>
      <c r="J425" s="121">
        <v>9.0846730000000004</v>
      </c>
      <c r="K425" s="134">
        <v>8.8608569999999993</v>
      </c>
      <c r="L425" s="121">
        <v>8.7092039999999997</v>
      </c>
      <c r="M425" s="134">
        <v>8.5938309999999998</v>
      </c>
      <c r="N425" s="121">
        <v>8.3546809999999994</v>
      </c>
      <c r="O425" s="134">
        <v>8.2024849999999994</v>
      </c>
      <c r="P425" s="121">
        <v>8.1121359999999996</v>
      </c>
      <c r="Q425" s="134">
        <v>7.8815920000000004</v>
      </c>
      <c r="R425" s="121">
        <v>7.7594950000000003</v>
      </c>
      <c r="S425" s="134">
        <v>7.6410669999999996</v>
      </c>
      <c r="T425" s="121">
        <v>7.5581050000000003</v>
      </c>
      <c r="U425" s="134">
        <v>7.3327549999999997</v>
      </c>
      <c r="V425" s="121">
        <v>7.2387649999999999</v>
      </c>
      <c r="W425" s="134">
        <v>7.1391960000000001</v>
      </c>
      <c r="X425" s="121">
        <v>7.0401720000000001</v>
      </c>
      <c r="Y425" s="134">
        <v>6.957935</v>
      </c>
      <c r="Z425" s="121">
        <v>6.7552159999999999</v>
      </c>
      <c r="AA425" s="134">
        <v>6.6640459999999999</v>
      </c>
      <c r="AB425" s="121">
        <v>6.569871</v>
      </c>
      <c r="AC425" s="134">
        <v>6.5102599999999997</v>
      </c>
      <c r="AD425" s="121">
        <v>6.4265129999999999</v>
      </c>
      <c r="AE425" s="134">
        <v>6.3411099999999996</v>
      </c>
      <c r="AF425" s="121">
        <v>6.1783109999999999</v>
      </c>
      <c r="AG425" s="134">
        <v>6.1203050000000001</v>
      </c>
      <c r="AH425" s="121">
        <v>6.0445510000000002</v>
      </c>
      <c r="AI425" s="134">
        <v>5.9627090000000003</v>
      </c>
      <c r="AJ425" s="121">
        <v>5.8989450000000003</v>
      </c>
      <c r="AK425" s="134">
        <v>5.8280830000000003</v>
      </c>
      <c r="AL425" s="121">
        <v>5.7746259999999996</v>
      </c>
      <c r="AM425" s="134">
        <v>5.7082870000000003</v>
      </c>
      <c r="AN425" s="121">
        <v>5.656148</v>
      </c>
      <c r="AO425" s="134">
        <v>5.5919179999999997</v>
      </c>
      <c r="AP425" s="121">
        <v>5.5478550000000002</v>
      </c>
      <c r="AQ425" s="134">
        <v>5.4801919999999997</v>
      </c>
    </row>
    <row r="426" spans="2:43" x14ac:dyDescent="0.25">
      <c r="B426" s="1">
        <v>2</v>
      </c>
      <c r="C426" s="122">
        <v>10.077795</v>
      </c>
      <c r="D426" s="122">
        <v>10.056946</v>
      </c>
      <c r="E426" s="122">
        <v>10.076472000000001</v>
      </c>
      <c r="F426" s="122">
        <v>10.056946</v>
      </c>
      <c r="G426" s="134">
        <v>10.053374</v>
      </c>
      <c r="H426" s="122">
        <v>8.9631819999999998</v>
      </c>
      <c r="I426" s="134">
        <v>8.7420659999999994</v>
      </c>
      <c r="J426" s="122">
        <v>8.6197169999999996</v>
      </c>
      <c r="K426" s="134">
        <v>8.3863230000000009</v>
      </c>
      <c r="L426" s="122">
        <v>8.2637529999999995</v>
      </c>
      <c r="M426" s="134">
        <v>8.1412460000000006</v>
      </c>
      <c r="N426" s="122">
        <v>7.901071</v>
      </c>
      <c r="O426" s="134">
        <v>7.8018470000000004</v>
      </c>
      <c r="P426" s="122">
        <v>7.6750210000000001</v>
      </c>
      <c r="Q426" s="134">
        <v>7.4717229999999999</v>
      </c>
      <c r="R426" s="122">
        <v>7.3558950000000003</v>
      </c>
      <c r="S426" s="134">
        <v>7.2495130000000003</v>
      </c>
      <c r="T426" s="122">
        <v>7.1329640000000003</v>
      </c>
      <c r="U426" s="134">
        <v>6.9509939999999997</v>
      </c>
      <c r="V426" s="122">
        <v>6.8538610000000002</v>
      </c>
      <c r="W426" s="134">
        <v>6.7658300000000002</v>
      </c>
      <c r="X426" s="122">
        <v>6.6722729999999997</v>
      </c>
      <c r="Y426" s="134">
        <v>6.5794069999999998</v>
      </c>
      <c r="Z426" s="122">
        <v>6.4080199999999996</v>
      </c>
      <c r="AA426" s="134">
        <v>6.309698</v>
      </c>
      <c r="AB426" s="122">
        <v>6.2539239999999996</v>
      </c>
      <c r="AC426" s="134">
        <v>6.16432</v>
      </c>
      <c r="AD426" s="122">
        <v>6.0927899999999999</v>
      </c>
      <c r="AE426" s="134">
        <v>5.9412219999999998</v>
      </c>
      <c r="AF426" s="122">
        <v>5.8576050000000004</v>
      </c>
      <c r="AG426" s="134">
        <v>5.7963589999999998</v>
      </c>
      <c r="AH426" s="122">
        <v>5.7268309999999998</v>
      </c>
      <c r="AI426" s="134">
        <v>5.661251</v>
      </c>
      <c r="AJ426" s="122">
        <v>5.588508</v>
      </c>
      <c r="AK426" s="134">
        <v>5.5330110000000001</v>
      </c>
      <c r="AL426" s="122">
        <v>5.462154</v>
      </c>
      <c r="AM426" s="134">
        <v>5.4100989999999998</v>
      </c>
      <c r="AN426" s="122">
        <v>5.3517910000000004</v>
      </c>
      <c r="AO426" s="134">
        <v>5.3001469999999999</v>
      </c>
      <c r="AP426" s="122">
        <v>5.6605530000000002</v>
      </c>
      <c r="AQ426" s="134">
        <v>5.6010280000000003</v>
      </c>
    </row>
    <row r="427" spans="2:43" x14ac:dyDescent="0.25">
      <c r="B427" s="1">
        <v>3</v>
      </c>
      <c r="C427" s="123">
        <v>9.4210630000000002</v>
      </c>
      <c r="D427" s="123">
        <v>9.4205410000000001</v>
      </c>
      <c r="E427" s="123">
        <v>9.4119100000000007</v>
      </c>
      <c r="F427" s="123">
        <v>9.4203489999999999</v>
      </c>
      <c r="G427" s="134">
        <v>9.4148599999999991</v>
      </c>
      <c r="H427" s="123">
        <v>8.3738689999999991</v>
      </c>
      <c r="I427" s="134">
        <v>8.1477900000000005</v>
      </c>
      <c r="J427" s="123">
        <v>8.0272179999999995</v>
      </c>
      <c r="K427" s="134">
        <v>7.8168519999999999</v>
      </c>
      <c r="L427" s="123">
        <v>7.6814390000000001</v>
      </c>
      <c r="M427" s="134">
        <v>7.4824630000000001</v>
      </c>
      <c r="N427" s="123">
        <v>7.3692019999999996</v>
      </c>
      <c r="O427" s="134">
        <v>7.7586919999999999</v>
      </c>
      <c r="P427" s="123">
        <v>7.5461229999999997</v>
      </c>
      <c r="Q427" s="134">
        <v>7.4306010000000002</v>
      </c>
      <c r="R427" s="123">
        <v>7.3112130000000004</v>
      </c>
      <c r="S427" s="134">
        <v>7.2215509999999998</v>
      </c>
      <c r="T427" s="123">
        <v>7.0189519999999996</v>
      </c>
      <c r="U427" s="134">
        <v>6.9140050000000004</v>
      </c>
      <c r="V427" s="123">
        <v>6.8167309999999999</v>
      </c>
      <c r="W427" s="134">
        <v>6.7245280000000003</v>
      </c>
      <c r="X427" s="123">
        <v>6.6346509999999999</v>
      </c>
      <c r="Y427" s="134">
        <v>6.4590519999999998</v>
      </c>
      <c r="Z427" s="123">
        <v>6.3966560000000001</v>
      </c>
      <c r="AA427" s="134">
        <v>6.2931679999999997</v>
      </c>
      <c r="AB427" s="123">
        <v>6.212879</v>
      </c>
      <c r="AC427" s="134">
        <v>6.122414</v>
      </c>
      <c r="AD427" s="123">
        <v>6.0601950000000002</v>
      </c>
      <c r="AE427" s="134">
        <v>5.9156519999999997</v>
      </c>
      <c r="AF427" s="123">
        <v>5.8337519999999996</v>
      </c>
      <c r="AG427" s="134">
        <v>5.7685760000000004</v>
      </c>
      <c r="AH427" s="123">
        <v>5.6983240000000004</v>
      </c>
      <c r="AI427" s="134">
        <v>5.6289040000000004</v>
      </c>
      <c r="AJ427" s="123">
        <v>5.5563149999999997</v>
      </c>
      <c r="AK427" s="134">
        <v>5.4933670000000001</v>
      </c>
      <c r="AL427" s="123">
        <v>5.4460319999999998</v>
      </c>
      <c r="AM427" s="134">
        <v>5.3803409999999996</v>
      </c>
      <c r="AN427" s="123">
        <v>5.3320639999999999</v>
      </c>
      <c r="AO427" s="134">
        <v>5.2760699999999998</v>
      </c>
      <c r="AP427" s="123">
        <v>5.2150530000000002</v>
      </c>
      <c r="AQ427" s="134">
        <v>5.1729120000000002</v>
      </c>
    </row>
    <row r="428" spans="2:43" x14ac:dyDescent="0.25">
      <c r="B428" s="32">
        <v>4</v>
      </c>
      <c r="C428" s="124">
        <v>9.8972789999999993</v>
      </c>
      <c r="D428" s="124">
        <v>9.8851580000000006</v>
      </c>
      <c r="E428" s="124">
        <v>9.8723559999999999</v>
      </c>
      <c r="F428" s="124">
        <v>9.8855299999999993</v>
      </c>
      <c r="G428" s="134">
        <v>9.8879619999999999</v>
      </c>
      <c r="H428" s="124">
        <v>8.7967940000000002</v>
      </c>
      <c r="I428" s="134">
        <v>8.5594380000000001</v>
      </c>
      <c r="J428" s="124">
        <v>8.4401630000000001</v>
      </c>
      <c r="K428" s="134">
        <v>8.2116279999999993</v>
      </c>
      <c r="L428" s="124">
        <v>8.0939890000000005</v>
      </c>
      <c r="M428" s="134">
        <v>7.878673</v>
      </c>
      <c r="N428" s="124">
        <v>7.7563890000000004</v>
      </c>
      <c r="O428" s="134">
        <v>7.6231460000000002</v>
      </c>
      <c r="P428" s="124">
        <v>7.4333359999999997</v>
      </c>
      <c r="Q428" s="134">
        <v>7.9021499999999998</v>
      </c>
      <c r="R428" s="124">
        <v>7.784154</v>
      </c>
      <c r="S428" s="134">
        <v>7.6669359999999998</v>
      </c>
      <c r="T428" s="124">
        <v>7.455705</v>
      </c>
      <c r="U428" s="134">
        <v>7.3365580000000001</v>
      </c>
      <c r="V428" s="124">
        <v>7.2394449999999999</v>
      </c>
      <c r="W428" s="134">
        <v>7.1441229999999996</v>
      </c>
      <c r="X428" s="124">
        <v>7.04345</v>
      </c>
      <c r="Y428" s="134">
        <v>6.8634069999999996</v>
      </c>
      <c r="Z428" s="124">
        <v>6.7786340000000003</v>
      </c>
      <c r="AA428" s="134">
        <v>6.682887</v>
      </c>
      <c r="AB428" s="124">
        <v>6.6041550000000004</v>
      </c>
      <c r="AC428" s="134">
        <v>6.5192310000000004</v>
      </c>
      <c r="AD428" s="124">
        <v>6.4463629999999998</v>
      </c>
      <c r="AE428" s="134">
        <v>6.2818569999999996</v>
      </c>
      <c r="AF428" s="124">
        <v>6.2015549999999999</v>
      </c>
      <c r="AG428" s="134">
        <v>6.1252190000000004</v>
      </c>
      <c r="AH428" s="124">
        <v>6.0527939999999996</v>
      </c>
      <c r="AI428" s="134">
        <v>5.9939520000000002</v>
      </c>
      <c r="AJ428" s="124">
        <v>5.9187890000000003</v>
      </c>
      <c r="AK428" s="134">
        <v>5.8482799999999999</v>
      </c>
      <c r="AL428" s="124">
        <v>5.7840530000000001</v>
      </c>
      <c r="AM428" s="134">
        <v>5.7234179999999997</v>
      </c>
      <c r="AN428" s="124">
        <v>5.665076</v>
      </c>
      <c r="AO428" s="134">
        <v>5.6127510000000003</v>
      </c>
      <c r="AP428" s="124">
        <v>5.5532760000000003</v>
      </c>
      <c r="AQ428" s="134">
        <v>5.4944160000000002</v>
      </c>
    </row>
    <row r="429" spans="2:43" x14ac:dyDescent="0.25">
      <c r="B429" s="32">
        <v>5</v>
      </c>
      <c r="C429" s="125">
        <v>9.8475029999999997</v>
      </c>
      <c r="D429" s="125">
        <v>9.8526419999999995</v>
      </c>
      <c r="E429" s="125">
        <v>9.8582590000000003</v>
      </c>
      <c r="F429" s="125">
        <v>9.832084</v>
      </c>
      <c r="G429" s="134">
        <v>9.8565170000000002</v>
      </c>
      <c r="H429" s="125">
        <v>8.7636810000000001</v>
      </c>
      <c r="I429" s="134">
        <v>8.5269670000000009</v>
      </c>
      <c r="J429" s="125">
        <v>8.4159509999999997</v>
      </c>
      <c r="K429" s="134">
        <v>8.1845540000000003</v>
      </c>
      <c r="L429" s="125">
        <v>8.0424500000000005</v>
      </c>
      <c r="M429" s="134">
        <v>7.9482480000000004</v>
      </c>
      <c r="N429" s="125">
        <v>7.7220529999999998</v>
      </c>
      <c r="O429" s="134">
        <v>7.5965360000000004</v>
      </c>
      <c r="P429" s="125">
        <v>7.4107589999999997</v>
      </c>
      <c r="Q429" s="134">
        <v>7.281828</v>
      </c>
      <c r="R429" s="125">
        <v>7.1762180000000004</v>
      </c>
      <c r="S429" s="134">
        <v>7.0883089999999997</v>
      </c>
      <c r="T429" s="125">
        <v>6.8786519999999998</v>
      </c>
      <c r="U429" s="134">
        <v>6.7690149999999996</v>
      </c>
      <c r="V429" s="125">
        <v>6.6902020000000002</v>
      </c>
      <c r="W429" s="134">
        <v>6.5945960000000001</v>
      </c>
      <c r="X429" s="125">
        <v>6.5235430000000001</v>
      </c>
      <c r="Y429" s="134">
        <v>6.3485440000000004</v>
      </c>
      <c r="Z429" s="125">
        <v>6.2491529999999997</v>
      </c>
      <c r="AA429" s="134">
        <v>6.1665039999999998</v>
      </c>
      <c r="AB429" s="125">
        <v>6.0977309999999996</v>
      </c>
      <c r="AC429" s="134">
        <v>6.0024870000000004</v>
      </c>
      <c r="AD429" s="125">
        <v>5.9482470000000003</v>
      </c>
      <c r="AE429" s="134">
        <v>5.8000449999999999</v>
      </c>
      <c r="AF429" s="125">
        <v>5.7247659999999998</v>
      </c>
      <c r="AG429" s="134">
        <v>5.6577669999999998</v>
      </c>
      <c r="AH429" s="125">
        <v>5.5970000000000004</v>
      </c>
      <c r="AI429" s="134">
        <v>5.5245449999999998</v>
      </c>
      <c r="AJ429" s="125">
        <v>5.8612869999999999</v>
      </c>
      <c r="AK429" s="134">
        <v>5.8228179999999998</v>
      </c>
      <c r="AL429" s="125">
        <v>5.7516049999999996</v>
      </c>
      <c r="AM429" s="134">
        <v>5.6838810000000004</v>
      </c>
      <c r="AN429" s="125">
        <v>5.6313719999999998</v>
      </c>
      <c r="AO429" s="134">
        <v>5.5648879999999998</v>
      </c>
      <c r="AP429" s="125">
        <v>5.5130400000000002</v>
      </c>
      <c r="AQ429" s="134">
        <v>5.4539340000000003</v>
      </c>
    </row>
    <row r="430" spans="2:43" x14ac:dyDescent="0.25">
      <c r="B430" s="32">
        <v>6</v>
      </c>
      <c r="C430" s="126">
        <v>9.83371</v>
      </c>
      <c r="D430" s="126">
        <v>9.8561270000000007</v>
      </c>
      <c r="E430" s="126">
        <v>9.8570989999999998</v>
      </c>
      <c r="F430" s="126">
        <v>9.8482629999999993</v>
      </c>
      <c r="G430" s="134">
        <v>9.8228100000000005</v>
      </c>
      <c r="H430" s="126">
        <v>8.7516599999999993</v>
      </c>
      <c r="I430" s="134">
        <v>8.5258210000000005</v>
      </c>
      <c r="J430" s="126">
        <v>8.4331259999999997</v>
      </c>
      <c r="K430" s="134">
        <v>8.194331</v>
      </c>
      <c r="L430" s="126">
        <v>8.0696729999999999</v>
      </c>
      <c r="M430" s="134">
        <v>7.9641159999999998</v>
      </c>
      <c r="N430" s="126">
        <v>8.3450869999999995</v>
      </c>
      <c r="O430" s="134">
        <v>8.2235790000000009</v>
      </c>
      <c r="P430" s="126">
        <v>8.1223399999999994</v>
      </c>
      <c r="Q430" s="134">
        <v>7.8792850000000003</v>
      </c>
      <c r="R430" s="126">
        <v>7.7781640000000003</v>
      </c>
      <c r="S430" s="134">
        <v>7.6603770000000004</v>
      </c>
      <c r="T430" s="126">
        <v>7.5442600000000004</v>
      </c>
      <c r="U430" s="134">
        <v>7.3369020000000003</v>
      </c>
      <c r="V430" s="126">
        <v>7.2454260000000001</v>
      </c>
      <c r="W430" s="134">
        <v>7.1402060000000001</v>
      </c>
      <c r="X430" s="126">
        <v>7.0327590000000004</v>
      </c>
      <c r="Y430" s="134">
        <v>6.9416419999999999</v>
      </c>
      <c r="Z430" s="126">
        <v>6.7660220000000004</v>
      </c>
      <c r="AA430" s="134">
        <v>6.6616249999999999</v>
      </c>
      <c r="AB430" s="126">
        <v>6.5985230000000001</v>
      </c>
      <c r="AC430" s="134">
        <v>6.5164929999999996</v>
      </c>
      <c r="AD430" s="126">
        <v>6.4376730000000002</v>
      </c>
      <c r="AE430" s="134">
        <v>6.3486390000000004</v>
      </c>
      <c r="AF430" s="126">
        <v>6.2075839999999998</v>
      </c>
      <c r="AG430" s="134">
        <v>6.1033220000000004</v>
      </c>
      <c r="AH430" s="126">
        <v>6.0485090000000001</v>
      </c>
      <c r="AI430" s="134">
        <v>5.9747139999999996</v>
      </c>
      <c r="AJ430" s="126">
        <v>5.9121389999999998</v>
      </c>
      <c r="AK430" s="134">
        <v>5.8372250000000001</v>
      </c>
      <c r="AL430" s="126">
        <v>5.7726410000000001</v>
      </c>
      <c r="AM430" s="134">
        <v>5.7118840000000004</v>
      </c>
      <c r="AN430" s="126">
        <v>5.6558299999999999</v>
      </c>
      <c r="AO430" s="134">
        <v>5.5976369999999998</v>
      </c>
      <c r="AP430" s="126">
        <v>5.5461939999999998</v>
      </c>
      <c r="AQ430" s="134">
        <v>5.4890210000000002</v>
      </c>
    </row>
    <row r="450" spans="2:43" x14ac:dyDescent="0.25">
      <c r="B450" s="47" t="s">
        <v>4</v>
      </c>
      <c r="C450" s="47">
        <v>-11</v>
      </c>
      <c r="D450" s="47"/>
      <c r="E450" s="47"/>
      <c r="F450" s="47"/>
      <c r="G450" s="21"/>
      <c r="H450" s="47"/>
      <c r="I450" s="21"/>
      <c r="J450" s="47"/>
      <c r="K450" s="21"/>
      <c r="L450" s="47"/>
      <c r="M450" s="21"/>
      <c r="N450" s="47"/>
      <c r="O450" s="21"/>
      <c r="P450" s="47"/>
      <c r="Q450" s="21"/>
      <c r="R450" s="47"/>
      <c r="S450" s="21"/>
      <c r="T450" s="47"/>
      <c r="U450" s="21"/>
      <c r="V450" s="47"/>
      <c r="W450" s="21"/>
      <c r="X450" s="47"/>
      <c r="Y450" s="21"/>
      <c r="Z450" s="47"/>
      <c r="AA450" s="21"/>
      <c r="AB450" s="47"/>
      <c r="AC450" s="21"/>
      <c r="AD450" s="47"/>
      <c r="AE450" s="21"/>
      <c r="AF450" s="47"/>
      <c r="AG450" s="21"/>
      <c r="AH450" s="47"/>
      <c r="AI450" s="21"/>
      <c r="AJ450" s="47"/>
      <c r="AK450" s="21"/>
      <c r="AL450" s="47"/>
      <c r="AM450" s="21"/>
      <c r="AN450" s="47"/>
      <c r="AO450" s="21"/>
      <c r="AP450" s="47"/>
      <c r="AQ450" s="21"/>
    </row>
    <row r="451" spans="2:43" x14ac:dyDescent="0.25">
      <c r="B451" s="1" t="s">
        <v>1</v>
      </c>
      <c r="C451" s="1">
        <v>1.8</v>
      </c>
      <c r="D451" s="2">
        <v>1.85</v>
      </c>
      <c r="E451" s="2">
        <v>1.9</v>
      </c>
      <c r="F451" s="2">
        <v>1.95</v>
      </c>
      <c r="G451" s="22">
        <v>2</v>
      </c>
      <c r="H451" s="2">
        <v>2.0499999999999998</v>
      </c>
      <c r="I451" s="22">
        <v>2.1</v>
      </c>
      <c r="J451" s="2">
        <v>2.15</v>
      </c>
      <c r="K451" s="22">
        <v>2.2000000000000002</v>
      </c>
      <c r="L451" s="2">
        <v>2.25</v>
      </c>
      <c r="M451" s="22">
        <v>2.2999999999999998</v>
      </c>
      <c r="N451" s="2">
        <v>2.35</v>
      </c>
      <c r="O451" s="22">
        <v>2.4</v>
      </c>
      <c r="P451" s="2">
        <v>2.4500000000000002</v>
      </c>
      <c r="Q451" s="22">
        <v>2.5</v>
      </c>
      <c r="R451" s="2">
        <v>2.5499999999999998</v>
      </c>
      <c r="S451" s="22">
        <v>2.6</v>
      </c>
      <c r="T451" s="2">
        <v>2.65</v>
      </c>
      <c r="U451" s="22">
        <v>2.7</v>
      </c>
      <c r="V451" s="2">
        <v>2.75</v>
      </c>
      <c r="W451" s="22">
        <v>2.8</v>
      </c>
      <c r="X451" s="2">
        <v>2.85</v>
      </c>
      <c r="Y451" s="22">
        <v>2.9</v>
      </c>
      <c r="Z451" s="2">
        <v>2.95</v>
      </c>
      <c r="AA451" s="22">
        <v>3</v>
      </c>
      <c r="AB451" s="2">
        <v>3.05</v>
      </c>
      <c r="AC451" s="22">
        <v>3.1</v>
      </c>
      <c r="AD451" s="2">
        <v>3.15</v>
      </c>
      <c r="AE451" s="22">
        <v>3.2</v>
      </c>
      <c r="AF451" s="2">
        <v>3.25</v>
      </c>
      <c r="AG451" s="22">
        <v>3.3</v>
      </c>
      <c r="AH451" s="2">
        <v>3.35</v>
      </c>
      <c r="AI451" s="22">
        <v>3.4</v>
      </c>
      <c r="AJ451" s="2">
        <v>3.45</v>
      </c>
      <c r="AK451" s="22">
        <v>3.5</v>
      </c>
      <c r="AL451" s="2">
        <v>3.55</v>
      </c>
      <c r="AM451" s="22">
        <v>3.6</v>
      </c>
      <c r="AN451" s="2">
        <v>3.65</v>
      </c>
      <c r="AO451" s="22">
        <v>3.7</v>
      </c>
      <c r="AP451" s="2">
        <v>3.75</v>
      </c>
      <c r="AQ451" s="22">
        <v>3.8</v>
      </c>
    </row>
    <row r="452" spans="2:43" x14ac:dyDescent="0.25">
      <c r="B452" s="1" t="s">
        <v>3</v>
      </c>
      <c r="C452" s="3">
        <f>AVERAGE(C453,C454,C455,C456,C457,C458)</f>
        <v>9.0541610000000006</v>
      </c>
      <c r="D452" s="3">
        <f t="shared" ref="D452" si="601">AVERAGE(D453,D454,D455)</f>
        <v>9.1118200000000016</v>
      </c>
      <c r="E452" s="3">
        <f t="shared" ref="E452" si="602">AVERAGE(E453,E454,E455)</f>
        <v>9.1149456666666655</v>
      </c>
      <c r="F452" s="3">
        <f t="shared" ref="F452" si="603">AVERAGE(F453,F454,F455)</f>
        <v>9.1026590000000009</v>
      </c>
      <c r="G452" s="34">
        <f t="shared" ref="G452" si="604">AVERAGE(G453,G454,G455)</f>
        <v>9.0962436666666662</v>
      </c>
      <c r="H452" s="3">
        <f t="shared" ref="H452" si="605">AVERAGE(H453,H454,H455)</f>
        <v>8.1018783333333335</v>
      </c>
      <c r="I452" s="34">
        <f t="shared" ref="I452" si="606">AVERAGE(I453,I454,I455)</f>
        <v>7.8907786666666668</v>
      </c>
      <c r="J452" s="3">
        <f t="shared" ref="J452" si="607">AVERAGE(J453,J454,J455)</f>
        <v>7.7779103333333337</v>
      </c>
      <c r="K452" s="34">
        <f t="shared" ref="K452" si="608">AVERAGE(K453,K454,K455)</f>
        <v>7.5706526666666667</v>
      </c>
      <c r="L452" s="3">
        <f t="shared" ref="L452" si="609">AVERAGE(L453,L454,L455)</f>
        <v>7.4541226666666667</v>
      </c>
      <c r="M452" s="34">
        <f t="shared" ref="M452" si="610">AVERAGE(M453,M454,M455)</f>
        <v>7.52081</v>
      </c>
      <c r="N452" s="3">
        <f t="shared" ref="N452" si="611">AVERAGE(N453,N454,N455)</f>
        <v>7.3398046666666668</v>
      </c>
      <c r="O452" s="34">
        <f t="shared" ref="O452" si="612">AVERAGE(O453,O454,O455)</f>
        <v>7.2231106666666669</v>
      </c>
      <c r="P452" s="3">
        <f t="shared" ref="P452" si="613">AVERAGE(P453,P454,P455)</f>
        <v>7.0651956666666669</v>
      </c>
      <c r="Q452" s="34">
        <f t="shared" ref="Q452" si="614">AVERAGE(Q453,Q454,Q455)</f>
        <v>7.1157766666666662</v>
      </c>
      <c r="R452" s="3">
        <f t="shared" ref="R452" si="615">AVERAGE(R453,R454,R455)</f>
        <v>7.0165410000000001</v>
      </c>
      <c r="S452" s="34">
        <f t="shared" ref="S452" si="616">AVERAGE(S453,S454,S455)</f>
        <v>6.9187213333333331</v>
      </c>
      <c r="T452" s="3">
        <f t="shared" ref="T452" si="617">AVERAGE(T453,T454,T455)</f>
        <v>6.74512</v>
      </c>
      <c r="U452" s="34">
        <f t="shared" ref="U452" si="618">AVERAGE(U453,U454,U455)</f>
        <v>6.6201783333333326</v>
      </c>
      <c r="V452" s="3">
        <f t="shared" ref="V452" si="619">AVERAGE(V453,V454,V455)</f>
        <v>6.5374629999999998</v>
      </c>
      <c r="W452" s="34">
        <f t="shared" ref="W452" si="620">AVERAGE(W453,W454,W455)</f>
        <v>6.4472309999999995</v>
      </c>
      <c r="X452" s="3">
        <f t="shared" ref="X452" si="621">AVERAGE(X453,X454,X455)</f>
        <v>6.3590836666666668</v>
      </c>
      <c r="Y452" s="34">
        <f t="shared" ref="Y452" si="622">AVERAGE(Y453,Y454,Y455)</f>
        <v>6.2260096666666671</v>
      </c>
      <c r="Z452" s="3">
        <f t="shared" ref="Z452" si="623">AVERAGE(Z453,Z454,Z455)</f>
        <v>6.1053660000000001</v>
      </c>
      <c r="AA452" s="34">
        <f t="shared" ref="AA452" si="624">AVERAGE(AA453,AA454,AA455)</f>
        <v>6.0200333333333331</v>
      </c>
      <c r="AB452" s="3">
        <f t="shared" ref="AB452" si="625">AVERAGE(AB453,AB454,AB455)</f>
        <v>5.9529733333333326</v>
      </c>
      <c r="AC452" s="34">
        <f t="shared" ref="AC452" si="626">AVERAGE(AC453,AC454,AC455)</f>
        <v>5.888744</v>
      </c>
      <c r="AD452" s="3">
        <f t="shared" ref="AD452" si="627">AVERAGE(AD453,AD454,AD455)</f>
        <v>5.8112303333333335</v>
      </c>
      <c r="AE452" s="34">
        <f t="shared" ref="AE452" si="628">AVERAGE(AE453,AE454,AE455)</f>
        <v>5.6954406666666664</v>
      </c>
      <c r="AF452" s="3">
        <f t="shared" ref="AF452" si="629">AVERAGE(AF453,AF454,AF455)</f>
        <v>5.5950696666666664</v>
      </c>
      <c r="AG452" s="34">
        <f t="shared" ref="AG452" si="630">AVERAGE(AG453,AG454,AG455)</f>
        <v>5.5231396666666663</v>
      </c>
      <c r="AH452" s="3">
        <f t="shared" ref="AH452" si="631">AVERAGE(AH453,AH454,AH455)</f>
        <v>5.4716820000000004</v>
      </c>
      <c r="AI452" s="34">
        <f t="shared" ref="AI452" si="632">AVERAGE(AI453,AI454,AI455)</f>
        <v>5.3981613333333334</v>
      </c>
      <c r="AJ452" s="3">
        <f t="shared" ref="AJ452" si="633">AVERAGE(AJ453,AJ454,AJ455)</f>
        <v>5.3386760000000004</v>
      </c>
      <c r="AK452" s="34">
        <f t="shared" ref="AK452" si="634">AVERAGE(AK453,AK454,AK455)</f>
        <v>5.4069989999999999</v>
      </c>
      <c r="AL452" s="3">
        <f t="shared" ref="AL452" si="635">AVERAGE(AL453,AL454,AL455)</f>
        <v>5.3499263333333333</v>
      </c>
      <c r="AM452" s="34">
        <f t="shared" ref="AM452" si="636">AVERAGE(AM453,AM454,AM455)</f>
        <v>5.2896283333333329</v>
      </c>
      <c r="AN452" s="3">
        <f t="shared" ref="AN452" si="637">AVERAGE(AN453,AN454,AN455)</f>
        <v>5.2375163333333328</v>
      </c>
      <c r="AO452" s="34">
        <f t="shared" ref="AO452" si="638">AVERAGE(AO453,AO454,AO455)</f>
        <v>5.1865096666666668</v>
      </c>
      <c r="AP452" s="3">
        <f t="shared" ref="AP452" si="639">AVERAGE(AP453,AP454,AP455)</f>
        <v>5.1327350000000003</v>
      </c>
      <c r="AQ452" s="34">
        <f t="shared" ref="AQ452" si="640">AVERAGE(AQ453,AQ454,AQ455)</f>
        <v>5.0848373333333337</v>
      </c>
    </row>
    <row r="453" spans="2:43" x14ac:dyDescent="0.25">
      <c r="B453" s="1">
        <v>1</v>
      </c>
      <c r="C453" s="127">
        <v>9.0923339999999993</v>
      </c>
      <c r="D453" s="127">
        <v>9.0953870000000006</v>
      </c>
      <c r="E453" s="127">
        <v>9.1136909999999993</v>
      </c>
      <c r="F453" s="127">
        <v>9.1059249999999992</v>
      </c>
      <c r="G453" s="134">
        <v>9.0786409999999993</v>
      </c>
      <c r="H453" s="127">
        <v>8.0748239999999996</v>
      </c>
      <c r="I453" s="134">
        <v>7.8861800000000004</v>
      </c>
      <c r="J453" s="127">
        <v>7.7680110000000004</v>
      </c>
      <c r="K453" s="134">
        <v>7.5642699999999996</v>
      </c>
      <c r="L453" s="127">
        <v>7.4440109999999997</v>
      </c>
      <c r="M453" s="134">
        <v>7.9493200000000002</v>
      </c>
      <c r="N453" s="127">
        <v>7.7256970000000003</v>
      </c>
      <c r="O453" s="134">
        <v>7.6102590000000001</v>
      </c>
      <c r="P453" s="127">
        <v>7.4964449999999996</v>
      </c>
      <c r="Q453" s="134">
        <v>7.2931790000000003</v>
      </c>
      <c r="R453" s="127">
        <v>7.1850750000000003</v>
      </c>
      <c r="S453" s="134">
        <v>7.0814159999999999</v>
      </c>
      <c r="T453" s="127">
        <v>6.959301</v>
      </c>
      <c r="U453" s="134">
        <v>6.7933120000000002</v>
      </c>
      <c r="V453" s="127">
        <v>6.6995509999999996</v>
      </c>
      <c r="W453" s="134">
        <v>6.5972590000000002</v>
      </c>
      <c r="X453" s="127">
        <v>6.5201209999999996</v>
      </c>
      <c r="Y453" s="134">
        <v>6.4317000000000002</v>
      </c>
      <c r="Z453" s="127">
        <v>6.2497259999999999</v>
      </c>
      <c r="AA453" s="134">
        <v>6.1528869999999998</v>
      </c>
      <c r="AB453" s="127">
        <v>6.0942860000000003</v>
      </c>
      <c r="AC453" s="134">
        <v>6.0286720000000003</v>
      </c>
      <c r="AD453" s="127">
        <v>5.9454929999999999</v>
      </c>
      <c r="AE453" s="134">
        <v>5.8782920000000001</v>
      </c>
      <c r="AF453" s="127">
        <v>5.732145</v>
      </c>
      <c r="AG453" s="134">
        <v>5.6492300000000002</v>
      </c>
      <c r="AH453" s="127">
        <v>5.6081399999999997</v>
      </c>
      <c r="AI453" s="134">
        <v>5.5222290000000003</v>
      </c>
      <c r="AJ453" s="127">
        <v>5.4653790000000004</v>
      </c>
      <c r="AK453" s="134">
        <v>5.3913849999999996</v>
      </c>
      <c r="AL453" s="127">
        <v>5.3405500000000004</v>
      </c>
      <c r="AM453" s="134">
        <v>5.2783709999999999</v>
      </c>
      <c r="AN453" s="127">
        <v>5.232037</v>
      </c>
      <c r="AO453" s="134">
        <v>5.1808430000000003</v>
      </c>
      <c r="AP453" s="127">
        <v>5.1201910000000002</v>
      </c>
      <c r="AQ453" s="134">
        <v>5.0753500000000003</v>
      </c>
    </row>
    <row r="454" spans="2:43" x14ac:dyDescent="0.25">
      <c r="B454" s="1">
        <v>2</v>
      </c>
      <c r="C454" s="128">
        <v>9.1230569999999993</v>
      </c>
      <c r="D454" s="128">
        <v>9.1313209999999998</v>
      </c>
      <c r="E454" s="128">
        <v>9.1308019999999992</v>
      </c>
      <c r="F454" s="128">
        <v>9.0958030000000001</v>
      </c>
      <c r="G454" s="134">
        <v>9.1111869999999993</v>
      </c>
      <c r="H454" s="128">
        <v>8.1192349999999998</v>
      </c>
      <c r="I454" s="134">
        <v>7.9061899999999996</v>
      </c>
      <c r="J454" s="128">
        <v>7.7973169999999996</v>
      </c>
      <c r="K454" s="134">
        <v>7.5793710000000001</v>
      </c>
      <c r="L454" s="128">
        <v>7.4549070000000004</v>
      </c>
      <c r="M454" s="134">
        <v>7.3664800000000001</v>
      </c>
      <c r="N454" s="128">
        <v>7.1593260000000001</v>
      </c>
      <c r="O454" s="134">
        <v>7.0292000000000003</v>
      </c>
      <c r="P454" s="128">
        <v>6.8560540000000003</v>
      </c>
      <c r="Q454" s="134">
        <v>6.7338060000000004</v>
      </c>
      <c r="R454" s="128">
        <v>6.6501539999999997</v>
      </c>
      <c r="S454" s="134">
        <v>6.562125</v>
      </c>
      <c r="T454" s="128">
        <v>6.3663670000000003</v>
      </c>
      <c r="U454" s="134">
        <v>6.2705869999999999</v>
      </c>
      <c r="V454" s="128">
        <v>6.1990850000000002</v>
      </c>
      <c r="W454" s="134">
        <v>6.1221269999999999</v>
      </c>
      <c r="X454" s="128">
        <v>6.029871</v>
      </c>
      <c r="Y454" s="134">
        <v>5.880166</v>
      </c>
      <c r="Z454" s="128">
        <v>5.782019</v>
      </c>
      <c r="AA454" s="134">
        <v>5.7155459999999998</v>
      </c>
      <c r="AB454" s="128">
        <v>5.6397009999999996</v>
      </c>
      <c r="AC454" s="134">
        <v>5.5893569999999997</v>
      </c>
      <c r="AD454" s="128">
        <v>5.5155089999999998</v>
      </c>
      <c r="AE454" s="134">
        <v>5.3801230000000002</v>
      </c>
      <c r="AF454" s="128">
        <v>5.3070880000000002</v>
      </c>
      <c r="AG454" s="134">
        <v>5.2440910000000001</v>
      </c>
      <c r="AH454" s="128">
        <v>5.1908479999999999</v>
      </c>
      <c r="AI454" s="134">
        <v>5.1186429999999996</v>
      </c>
      <c r="AJ454" s="128">
        <v>5.059202</v>
      </c>
      <c r="AK454" s="134">
        <v>5.4042260000000004</v>
      </c>
      <c r="AL454" s="128">
        <v>5.3453059999999999</v>
      </c>
      <c r="AM454" s="134">
        <v>5.2894750000000004</v>
      </c>
      <c r="AN454" s="128">
        <v>5.2318949999999997</v>
      </c>
      <c r="AO454" s="134">
        <v>5.1757179999999998</v>
      </c>
      <c r="AP454" s="128">
        <v>5.1306430000000001</v>
      </c>
      <c r="AQ454" s="134">
        <v>5.0828340000000001</v>
      </c>
    </row>
    <row r="455" spans="2:43" x14ac:dyDescent="0.25">
      <c r="B455" s="1">
        <v>3</v>
      </c>
      <c r="C455" s="129">
        <v>9.1073489999999993</v>
      </c>
      <c r="D455" s="129">
        <v>9.1087520000000008</v>
      </c>
      <c r="E455" s="129">
        <v>9.1003439999999998</v>
      </c>
      <c r="F455" s="129">
        <v>9.106249</v>
      </c>
      <c r="G455" s="134">
        <v>9.098903</v>
      </c>
      <c r="H455" s="129">
        <v>8.1115759999999995</v>
      </c>
      <c r="I455" s="134">
        <v>7.8799659999999996</v>
      </c>
      <c r="J455" s="129">
        <v>7.7684030000000002</v>
      </c>
      <c r="K455" s="134">
        <v>7.5683170000000004</v>
      </c>
      <c r="L455" s="129">
        <v>7.4634499999999999</v>
      </c>
      <c r="M455" s="134">
        <v>7.2466299999999997</v>
      </c>
      <c r="N455" s="129">
        <v>7.1343909999999999</v>
      </c>
      <c r="O455" s="134">
        <v>7.0298730000000003</v>
      </c>
      <c r="P455" s="129">
        <v>6.8430879999999998</v>
      </c>
      <c r="Q455" s="134">
        <v>7.3203449999999997</v>
      </c>
      <c r="R455" s="129">
        <v>7.2143940000000004</v>
      </c>
      <c r="S455" s="134">
        <v>7.1126230000000001</v>
      </c>
      <c r="T455" s="129">
        <v>6.9096919999999997</v>
      </c>
      <c r="U455" s="134">
        <v>6.7966360000000003</v>
      </c>
      <c r="V455" s="129">
        <v>6.7137529999999996</v>
      </c>
      <c r="W455" s="134">
        <v>6.6223070000000002</v>
      </c>
      <c r="X455" s="129">
        <v>6.5272589999999999</v>
      </c>
      <c r="Y455" s="134">
        <v>6.3661630000000002</v>
      </c>
      <c r="Z455" s="129">
        <v>6.2843530000000003</v>
      </c>
      <c r="AA455" s="134">
        <v>6.1916669999999998</v>
      </c>
      <c r="AB455" s="129">
        <v>6.1249330000000004</v>
      </c>
      <c r="AC455" s="134">
        <v>6.048203</v>
      </c>
      <c r="AD455" s="129">
        <v>5.9726889999999999</v>
      </c>
      <c r="AE455" s="134">
        <v>5.8279069999999997</v>
      </c>
      <c r="AF455" s="129">
        <v>5.7459759999999998</v>
      </c>
      <c r="AG455" s="134">
        <v>5.6760979999999996</v>
      </c>
      <c r="AH455" s="129">
        <v>5.6160579999999998</v>
      </c>
      <c r="AI455" s="134">
        <v>5.5536120000000002</v>
      </c>
      <c r="AJ455" s="129">
        <v>5.491447</v>
      </c>
      <c r="AK455" s="134">
        <v>5.4253859999999996</v>
      </c>
      <c r="AL455" s="129">
        <v>5.3639229999999998</v>
      </c>
      <c r="AM455" s="134">
        <v>5.3010390000000003</v>
      </c>
      <c r="AN455" s="129">
        <v>5.2486170000000003</v>
      </c>
      <c r="AO455" s="134">
        <v>5.2029680000000003</v>
      </c>
      <c r="AP455" s="129">
        <v>5.1473709999999997</v>
      </c>
      <c r="AQ455" s="134">
        <v>5.0963279999999997</v>
      </c>
    </row>
    <row r="456" spans="2:43" x14ac:dyDescent="0.25">
      <c r="B456" s="32">
        <v>4</v>
      </c>
      <c r="C456" s="130">
        <v>8.7375290000000003</v>
      </c>
      <c r="D456" s="130">
        <v>8.7454070000000002</v>
      </c>
      <c r="E456" s="130">
        <v>8.7380849999999999</v>
      </c>
      <c r="F456" s="130">
        <v>8.7379339999999992</v>
      </c>
      <c r="G456" s="134">
        <v>8.7360930000000003</v>
      </c>
      <c r="H456" s="130">
        <v>7.7693260000000004</v>
      </c>
      <c r="I456" s="134">
        <v>7.5575320000000001</v>
      </c>
      <c r="J456" s="130">
        <v>7.4410379999999998</v>
      </c>
      <c r="K456" s="134">
        <v>7.2408070000000002</v>
      </c>
      <c r="L456" s="130">
        <v>7.1201210000000001</v>
      </c>
      <c r="M456" s="134">
        <v>6.9372389999999999</v>
      </c>
      <c r="N456" s="130">
        <v>7.3675360000000003</v>
      </c>
      <c r="O456" s="134">
        <v>7.25678</v>
      </c>
      <c r="P456" s="130">
        <v>7.0647650000000004</v>
      </c>
      <c r="Q456" s="134">
        <v>6.9453659999999999</v>
      </c>
      <c r="R456" s="130">
        <v>6.8301299999999996</v>
      </c>
      <c r="S456" s="134">
        <v>6.7499890000000002</v>
      </c>
      <c r="T456" s="130">
        <v>6.5729749999999996</v>
      </c>
      <c r="U456" s="134">
        <v>6.4651569999999996</v>
      </c>
      <c r="V456" s="130">
        <v>6.3713030000000002</v>
      </c>
      <c r="W456" s="134">
        <v>6.289631</v>
      </c>
      <c r="X456" s="130">
        <v>6.2083959999999996</v>
      </c>
      <c r="Y456" s="134">
        <v>6.0472239999999999</v>
      </c>
      <c r="Z456" s="130">
        <v>5.9804110000000001</v>
      </c>
      <c r="AA456" s="134">
        <v>5.8928539999999998</v>
      </c>
      <c r="AB456" s="130">
        <v>5.8159400000000003</v>
      </c>
      <c r="AC456" s="134">
        <v>5.7235310000000004</v>
      </c>
      <c r="AD456" s="130">
        <v>5.6694750000000003</v>
      </c>
      <c r="AE456" s="134">
        <v>5.5313299999999996</v>
      </c>
      <c r="AF456" s="130">
        <v>5.463114</v>
      </c>
      <c r="AG456" s="134">
        <v>5.4014100000000003</v>
      </c>
      <c r="AH456" s="130">
        <v>5.3339889999999999</v>
      </c>
      <c r="AI456" s="134">
        <v>5.2589860000000002</v>
      </c>
      <c r="AJ456" s="130">
        <v>5.1939250000000001</v>
      </c>
      <c r="AK456" s="134">
        <v>5.1432479999999998</v>
      </c>
      <c r="AL456" s="130">
        <v>5.0946420000000003</v>
      </c>
      <c r="AM456" s="134">
        <v>5.0397980000000002</v>
      </c>
      <c r="AN456" s="130">
        <v>4.9889640000000002</v>
      </c>
      <c r="AO456" s="134">
        <v>4.936744</v>
      </c>
      <c r="AP456" s="130">
        <v>4.8768880000000001</v>
      </c>
      <c r="AQ456" s="134">
        <v>4.8358470000000002</v>
      </c>
    </row>
    <row r="457" spans="2:43" x14ac:dyDescent="0.25">
      <c r="B457" s="32">
        <v>5</v>
      </c>
      <c r="C457" s="131">
        <v>9.250356</v>
      </c>
      <c r="D457" s="131">
        <v>9.2506129999999995</v>
      </c>
      <c r="E457" s="131">
        <v>9.2494549999999993</v>
      </c>
      <c r="F457" s="131">
        <v>9.2223500000000005</v>
      </c>
      <c r="G457" s="134">
        <v>9.245063</v>
      </c>
      <c r="H457" s="131">
        <v>8.2322050000000004</v>
      </c>
      <c r="I457" s="134">
        <v>8.0404319999999991</v>
      </c>
      <c r="J457" s="131">
        <v>7.9115739999999999</v>
      </c>
      <c r="K457" s="134">
        <v>7.7120509999999998</v>
      </c>
      <c r="L457" s="131">
        <v>7.5879300000000001</v>
      </c>
      <c r="M457" s="134">
        <v>7.4702539999999997</v>
      </c>
      <c r="N457" s="131">
        <v>7.2586149999999998</v>
      </c>
      <c r="O457" s="134">
        <v>7.1454659999999999</v>
      </c>
      <c r="P457" s="131">
        <v>7.0648939999999998</v>
      </c>
      <c r="Q457" s="134">
        <v>6.8683430000000003</v>
      </c>
      <c r="R457" s="131">
        <v>6.7568279999999996</v>
      </c>
      <c r="S457" s="134">
        <v>6.6591839999999998</v>
      </c>
      <c r="T457" s="131">
        <v>6.559539</v>
      </c>
      <c r="U457" s="134">
        <v>6.3831730000000002</v>
      </c>
      <c r="V457" s="131">
        <v>6.3010710000000003</v>
      </c>
      <c r="W457" s="134">
        <v>6.2097860000000003</v>
      </c>
      <c r="X457" s="131">
        <v>6.1230279999999997</v>
      </c>
      <c r="Y457" s="134">
        <v>6.0468250000000001</v>
      </c>
      <c r="Z457" s="131">
        <v>5.8866240000000003</v>
      </c>
      <c r="AA457" s="134">
        <v>5.7961169999999997</v>
      </c>
      <c r="AB457" s="131">
        <v>5.7383559999999996</v>
      </c>
      <c r="AC457" s="134">
        <v>5.6745570000000001</v>
      </c>
      <c r="AD457" s="131">
        <v>5.5935100000000002</v>
      </c>
      <c r="AE457" s="134">
        <v>5.4595529999999997</v>
      </c>
      <c r="AF457" s="131">
        <v>5.3968670000000003</v>
      </c>
      <c r="AG457" s="134">
        <v>5.3282319999999999</v>
      </c>
      <c r="AH457" s="131">
        <v>5.2667219999999997</v>
      </c>
      <c r="AI457" s="134">
        <v>5.2061359999999999</v>
      </c>
      <c r="AJ457" s="131">
        <v>5.1388259999999999</v>
      </c>
      <c r="AK457" s="134">
        <v>5.0844849999999999</v>
      </c>
      <c r="AL457" s="131">
        <v>5.0102650000000004</v>
      </c>
      <c r="AM457" s="134">
        <v>4.9735310000000004</v>
      </c>
      <c r="AN457" s="131">
        <v>4.9321780000000004</v>
      </c>
      <c r="AO457" s="134">
        <v>4.8725769999999997</v>
      </c>
      <c r="AP457" s="131">
        <v>5.2483610000000001</v>
      </c>
      <c r="AQ457" s="134">
        <v>5.194407</v>
      </c>
    </row>
    <row r="458" spans="2:43" x14ac:dyDescent="0.25">
      <c r="B458" s="32">
        <v>6</v>
      </c>
      <c r="C458" s="133">
        <v>9.0143409999999999</v>
      </c>
      <c r="D458" s="133">
        <v>9.0237800000000004</v>
      </c>
      <c r="E458" s="133">
        <v>9.8404220000000002</v>
      </c>
      <c r="F458" s="133">
        <v>9.837161</v>
      </c>
      <c r="G458" s="134">
        <v>9.8408750000000005</v>
      </c>
      <c r="H458" s="133">
        <v>8.7722130000000007</v>
      </c>
      <c r="I458" s="134">
        <v>8.5545449999999992</v>
      </c>
      <c r="J458" s="133">
        <v>8.4113849999999992</v>
      </c>
      <c r="K458" s="134">
        <v>8.1977659999999997</v>
      </c>
      <c r="L458" s="133">
        <v>8.0644229999999997</v>
      </c>
      <c r="M458" s="134">
        <v>7.9462299999999999</v>
      </c>
      <c r="N458" s="133">
        <v>7.7286700000000002</v>
      </c>
      <c r="O458" s="134">
        <v>7.6045150000000001</v>
      </c>
      <c r="P458" s="133">
        <v>7.470421</v>
      </c>
      <c r="Q458" s="134">
        <v>7.2968330000000003</v>
      </c>
      <c r="R458" s="133">
        <v>7.1819579999999998</v>
      </c>
      <c r="S458" s="134">
        <v>7.0822010000000004</v>
      </c>
      <c r="T458" s="133">
        <v>6.9880240000000002</v>
      </c>
      <c r="U458" s="134">
        <v>6.7933620000000001</v>
      </c>
      <c r="V458" s="133">
        <v>6.7008570000000001</v>
      </c>
      <c r="W458" s="134">
        <v>6.6044280000000004</v>
      </c>
      <c r="X458" s="133">
        <v>6.5137499999999999</v>
      </c>
      <c r="Y458" s="134">
        <v>6.4260390000000003</v>
      </c>
      <c r="Z458" s="133">
        <v>6.2595590000000003</v>
      </c>
      <c r="AA458" s="134">
        <v>6.1759219999999999</v>
      </c>
      <c r="AB458" s="133">
        <v>6.0728080000000002</v>
      </c>
      <c r="AC458" s="134">
        <v>6.0208630000000003</v>
      </c>
      <c r="AD458" s="133">
        <v>5.950844</v>
      </c>
      <c r="AE458" s="134">
        <v>5.8780770000000002</v>
      </c>
      <c r="AF458" s="133">
        <v>5.7316019999999996</v>
      </c>
      <c r="AG458" s="134">
        <v>5.6629350000000001</v>
      </c>
      <c r="AH458" s="133">
        <v>5.5935589999999999</v>
      </c>
      <c r="AI458" s="134">
        <v>5.524521</v>
      </c>
      <c r="AJ458" s="133">
        <v>5.468534</v>
      </c>
      <c r="AK458" s="134">
        <v>5.3998229999999996</v>
      </c>
      <c r="AL458" s="133">
        <v>5.3392390000000001</v>
      </c>
      <c r="AM458" s="134">
        <v>5.2862200000000001</v>
      </c>
      <c r="AN458" s="133">
        <v>5.2337800000000003</v>
      </c>
      <c r="AO458" s="134">
        <v>5.1785119999999996</v>
      </c>
      <c r="AP458" s="133">
        <v>5.1322950000000001</v>
      </c>
      <c r="AQ458" s="134">
        <v>5.0770119999999999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Q63"/>
  <sheetViews>
    <sheetView topLeftCell="A2" workbookViewId="0">
      <selection activeCell="N18" sqref="N18:Q20"/>
    </sheetView>
  </sheetViews>
  <sheetFormatPr defaultRowHeight="15" x14ac:dyDescent="0.25"/>
  <sheetData>
    <row r="2" spans="1:3" x14ac:dyDescent="0.25">
      <c r="A2" t="s">
        <v>20</v>
      </c>
      <c r="B2" t="s">
        <v>19</v>
      </c>
      <c r="C2" t="s">
        <v>5</v>
      </c>
    </row>
    <row r="3" spans="1:3" x14ac:dyDescent="0.25">
      <c r="B3">
        <v>14</v>
      </c>
      <c r="C3">
        <v>23.7</v>
      </c>
    </row>
    <row r="4" spans="1:3" x14ac:dyDescent="0.25">
      <c r="B4">
        <v>13</v>
      </c>
      <c r="C4">
        <v>17.3</v>
      </c>
    </row>
    <row r="5" spans="1:3" x14ac:dyDescent="0.25">
      <c r="B5">
        <v>12</v>
      </c>
      <c r="C5">
        <v>16.2</v>
      </c>
    </row>
    <row r="6" spans="1:3" x14ac:dyDescent="0.25">
      <c r="B6">
        <v>11</v>
      </c>
      <c r="C6">
        <v>14.8</v>
      </c>
    </row>
    <row r="7" spans="1:3" x14ac:dyDescent="0.25">
      <c r="B7">
        <v>10</v>
      </c>
      <c r="C7">
        <v>13.5</v>
      </c>
    </row>
    <row r="8" spans="1:3" x14ac:dyDescent="0.25">
      <c r="B8">
        <v>9</v>
      </c>
      <c r="C8">
        <v>12.7</v>
      </c>
    </row>
    <row r="9" spans="1:3" x14ac:dyDescent="0.25">
      <c r="B9">
        <v>8</v>
      </c>
      <c r="C9">
        <v>12</v>
      </c>
    </row>
    <row r="10" spans="1:3" x14ac:dyDescent="0.25">
      <c r="B10">
        <v>7</v>
      </c>
      <c r="C10">
        <v>11.2</v>
      </c>
    </row>
    <row r="11" spans="1:3" x14ac:dyDescent="0.25">
      <c r="B11">
        <v>6</v>
      </c>
      <c r="C11">
        <v>10.4</v>
      </c>
    </row>
    <row r="12" spans="1:3" x14ac:dyDescent="0.25">
      <c r="B12">
        <v>5</v>
      </c>
      <c r="C12">
        <v>9.5</v>
      </c>
    </row>
    <row r="13" spans="1:3" x14ac:dyDescent="0.25">
      <c r="B13">
        <v>4</v>
      </c>
      <c r="C13">
        <v>9.1999999999999993</v>
      </c>
    </row>
    <row r="14" spans="1:3" x14ac:dyDescent="0.25">
      <c r="B14">
        <v>3</v>
      </c>
      <c r="C14">
        <v>8.5</v>
      </c>
    </row>
    <row r="15" spans="1:3" x14ac:dyDescent="0.25">
      <c r="B15">
        <v>2</v>
      </c>
      <c r="C15">
        <v>8.1999999999999993</v>
      </c>
    </row>
    <row r="16" spans="1:3" x14ac:dyDescent="0.25">
      <c r="B16">
        <v>1</v>
      </c>
      <c r="C16">
        <v>7.8</v>
      </c>
    </row>
    <row r="17" spans="1:17" x14ac:dyDescent="0.25">
      <c r="B17">
        <v>0</v>
      </c>
      <c r="C17">
        <v>7.5</v>
      </c>
    </row>
    <row r="18" spans="1:17" x14ac:dyDescent="0.25">
      <c r="B18">
        <v>-5</v>
      </c>
      <c r="C18">
        <v>6</v>
      </c>
      <c r="E18" t="s">
        <v>23</v>
      </c>
      <c r="F18" t="s">
        <v>8</v>
      </c>
      <c r="G18">
        <f>0.0867-0.0785</f>
        <v>8.199999999999999E-3</v>
      </c>
      <c r="H18" t="s">
        <v>8</v>
      </c>
      <c r="I18">
        <f>0.0083-0.0086</f>
        <v>-2.9999999999999992E-4</v>
      </c>
      <c r="M18" t="s">
        <v>24</v>
      </c>
      <c r="N18" t="s">
        <v>8</v>
      </c>
      <c r="O18">
        <f>0.0804-0.0785</f>
        <v>1.8999999999999989E-3</v>
      </c>
      <c r="P18" t="s">
        <v>8</v>
      </c>
      <c r="Q18">
        <f>0.0083-0.0086</f>
        <v>-2.9999999999999992E-4</v>
      </c>
    </row>
    <row r="19" spans="1:17" x14ac:dyDescent="0.25">
      <c r="B19">
        <v>-10</v>
      </c>
      <c r="C19">
        <v>5.2</v>
      </c>
      <c r="F19" t="s">
        <v>9</v>
      </c>
      <c r="G19">
        <f>0.1836-0.2445</f>
        <v>-6.0899999999999982E-2</v>
      </c>
      <c r="H19" t="s">
        <v>9</v>
      </c>
      <c r="I19">
        <f>0.3037-0.3114</f>
        <v>-7.6999999999999846E-3</v>
      </c>
      <c r="N19" t="s">
        <v>9</v>
      </c>
      <c r="O19">
        <f>0.1836-0.1605</f>
        <v>2.3100000000000009E-2</v>
      </c>
      <c r="P19" t="s">
        <v>9</v>
      </c>
      <c r="Q19">
        <f>0.3237-0.3114</f>
        <v>1.2299999999999978E-2</v>
      </c>
    </row>
    <row r="20" spans="1:17" x14ac:dyDescent="0.25">
      <c r="B20">
        <v>-15</v>
      </c>
      <c r="C20">
        <v>4.8</v>
      </c>
      <c r="F20" t="s">
        <v>10</v>
      </c>
      <c r="G20">
        <f>8.2365-8.1368</f>
        <v>9.9700000000000344E-2</v>
      </c>
      <c r="H20" t="s">
        <v>10</v>
      </c>
      <c r="I20">
        <f>7.4343-7.4486</f>
        <v>-1.4299999999999535E-2</v>
      </c>
      <c r="N20" t="s">
        <v>10</v>
      </c>
      <c r="O20">
        <f>8.6535-8.1368</f>
        <v>0.51670000000000016</v>
      </c>
      <c r="P20" t="s">
        <v>10</v>
      </c>
      <c r="Q20">
        <f>7.9349-7.4486</f>
        <v>0.48629999999999995</v>
      </c>
    </row>
    <row r="21" spans="1:17" x14ac:dyDescent="0.25">
      <c r="B21">
        <v>-20</v>
      </c>
      <c r="C21">
        <v>4.5999999999999996</v>
      </c>
    </row>
    <row r="23" spans="1:17" x14ac:dyDescent="0.25">
      <c r="A23" t="s">
        <v>21</v>
      </c>
      <c r="B23" s="132" t="s">
        <v>19</v>
      </c>
      <c r="C23" s="132" t="s">
        <v>5</v>
      </c>
    </row>
    <row r="24" spans="1:17" x14ac:dyDescent="0.25">
      <c r="B24" s="132">
        <v>14</v>
      </c>
      <c r="C24" s="132">
        <v>24.7</v>
      </c>
    </row>
    <row r="25" spans="1:17" x14ac:dyDescent="0.25">
      <c r="B25" s="132">
        <v>13</v>
      </c>
      <c r="C25" s="132">
        <v>17.899999999999999</v>
      </c>
    </row>
    <row r="26" spans="1:17" x14ac:dyDescent="0.25">
      <c r="B26" s="132">
        <v>12</v>
      </c>
      <c r="C26" s="132">
        <v>16.7</v>
      </c>
    </row>
    <row r="27" spans="1:17" x14ac:dyDescent="0.25">
      <c r="B27" s="132">
        <v>11</v>
      </c>
      <c r="C27" s="132">
        <v>15.1</v>
      </c>
    </row>
    <row r="28" spans="1:17" x14ac:dyDescent="0.25">
      <c r="B28" s="132">
        <v>10</v>
      </c>
      <c r="C28" s="132">
        <v>13.8</v>
      </c>
    </row>
    <row r="29" spans="1:17" x14ac:dyDescent="0.25">
      <c r="B29" s="132">
        <v>9</v>
      </c>
      <c r="C29" s="132">
        <v>13</v>
      </c>
    </row>
    <row r="30" spans="1:17" x14ac:dyDescent="0.25">
      <c r="B30" s="132">
        <v>8</v>
      </c>
      <c r="C30" s="132">
        <v>12.2</v>
      </c>
    </row>
    <row r="31" spans="1:17" x14ac:dyDescent="0.25">
      <c r="B31" s="132">
        <v>7</v>
      </c>
      <c r="C31" s="132">
        <v>11.2</v>
      </c>
    </row>
    <row r="32" spans="1:17" x14ac:dyDescent="0.25">
      <c r="B32" s="132">
        <v>6</v>
      </c>
      <c r="C32" s="132">
        <v>10.4</v>
      </c>
    </row>
    <row r="33" spans="1:13" x14ac:dyDescent="0.25">
      <c r="B33" s="132">
        <v>5</v>
      </c>
      <c r="C33" s="132">
        <v>9.5</v>
      </c>
    </row>
    <row r="34" spans="1:13" x14ac:dyDescent="0.25">
      <c r="B34" s="132">
        <v>4</v>
      </c>
      <c r="C34" s="132">
        <v>9.1999999999999993</v>
      </c>
    </row>
    <row r="35" spans="1:13" x14ac:dyDescent="0.25">
      <c r="B35" s="132">
        <v>3</v>
      </c>
      <c r="C35" s="132">
        <v>8.6</v>
      </c>
    </row>
    <row r="36" spans="1:13" x14ac:dyDescent="0.25">
      <c r="B36" s="132">
        <v>2</v>
      </c>
      <c r="C36" s="132">
        <v>8.1999999999999993</v>
      </c>
    </row>
    <row r="37" spans="1:13" x14ac:dyDescent="0.25">
      <c r="B37" s="132">
        <v>1</v>
      </c>
      <c r="C37" s="132">
        <v>7.9</v>
      </c>
    </row>
    <row r="38" spans="1:13" x14ac:dyDescent="0.25">
      <c r="B38" s="132">
        <v>0</v>
      </c>
      <c r="C38" s="132">
        <v>7.5</v>
      </c>
      <c r="E38" t="s">
        <v>23</v>
      </c>
      <c r="M38" t="s">
        <v>24</v>
      </c>
    </row>
    <row r="39" spans="1:13" x14ac:dyDescent="0.25">
      <c r="B39" s="132">
        <v>-5</v>
      </c>
      <c r="C39" s="132">
        <v>6</v>
      </c>
    </row>
    <row r="40" spans="1:13" x14ac:dyDescent="0.25">
      <c r="B40" s="132">
        <v>-10</v>
      </c>
      <c r="C40" s="132">
        <v>5.2</v>
      </c>
    </row>
    <row r="41" spans="1:13" x14ac:dyDescent="0.25">
      <c r="B41" s="132">
        <v>-15</v>
      </c>
      <c r="C41" s="132">
        <v>4.9000000000000004</v>
      </c>
    </row>
    <row r="42" spans="1:13" x14ac:dyDescent="0.25">
      <c r="B42" s="132">
        <v>-20</v>
      </c>
      <c r="C42" s="132">
        <v>4.5999999999999996</v>
      </c>
    </row>
    <row r="44" spans="1:13" x14ac:dyDescent="0.25">
      <c r="A44" t="s">
        <v>22</v>
      </c>
      <c r="B44" s="132" t="s">
        <v>19</v>
      </c>
      <c r="C44" s="132" t="s">
        <v>5</v>
      </c>
    </row>
    <row r="45" spans="1:13" x14ac:dyDescent="0.25">
      <c r="B45" s="132">
        <v>14</v>
      </c>
      <c r="C45" s="132">
        <v>24.9</v>
      </c>
    </row>
    <row r="46" spans="1:13" x14ac:dyDescent="0.25">
      <c r="B46" s="132">
        <v>13</v>
      </c>
      <c r="C46" s="132">
        <v>18.3</v>
      </c>
    </row>
    <row r="47" spans="1:13" x14ac:dyDescent="0.25">
      <c r="B47" s="132">
        <v>12</v>
      </c>
      <c r="C47" s="132">
        <v>17.3</v>
      </c>
    </row>
    <row r="48" spans="1:13" x14ac:dyDescent="0.25">
      <c r="B48" s="132">
        <v>11</v>
      </c>
      <c r="C48" s="132">
        <v>15.9</v>
      </c>
    </row>
    <row r="49" spans="2:3" x14ac:dyDescent="0.25">
      <c r="B49" s="132">
        <v>10</v>
      </c>
      <c r="C49" s="132">
        <v>14.6</v>
      </c>
    </row>
    <row r="50" spans="2:3" x14ac:dyDescent="0.25">
      <c r="B50" s="132">
        <v>9</v>
      </c>
      <c r="C50" s="132">
        <v>13.6</v>
      </c>
    </row>
    <row r="51" spans="2:3" x14ac:dyDescent="0.25">
      <c r="B51" s="132">
        <v>8</v>
      </c>
      <c r="C51" s="132">
        <v>12.8</v>
      </c>
    </row>
    <row r="52" spans="2:3" x14ac:dyDescent="0.25">
      <c r="B52" s="132">
        <v>7</v>
      </c>
      <c r="C52" s="132">
        <v>11.9</v>
      </c>
    </row>
    <row r="53" spans="2:3" x14ac:dyDescent="0.25">
      <c r="B53" s="132">
        <v>6</v>
      </c>
      <c r="C53" s="132">
        <v>11</v>
      </c>
    </row>
    <row r="54" spans="2:3" x14ac:dyDescent="0.25">
      <c r="B54" s="132">
        <v>5</v>
      </c>
      <c r="C54" s="132">
        <v>10.199999999999999</v>
      </c>
    </row>
    <row r="55" spans="2:3" x14ac:dyDescent="0.25">
      <c r="B55" s="132">
        <v>4</v>
      </c>
      <c r="C55" s="132">
        <v>9.8000000000000007</v>
      </c>
    </row>
    <row r="56" spans="2:3" x14ac:dyDescent="0.25">
      <c r="B56" s="132">
        <v>3</v>
      </c>
      <c r="C56" s="132">
        <v>9.1</v>
      </c>
    </row>
    <row r="57" spans="2:3" x14ac:dyDescent="0.25">
      <c r="B57" s="132">
        <v>2</v>
      </c>
      <c r="C57" s="132">
        <v>8.8000000000000007</v>
      </c>
    </row>
    <row r="58" spans="2:3" x14ac:dyDescent="0.25">
      <c r="B58" s="132">
        <v>1</v>
      </c>
      <c r="C58" s="132">
        <v>8.4</v>
      </c>
    </row>
    <row r="59" spans="2:3" x14ac:dyDescent="0.25">
      <c r="B59" s="132">
        <v>0</v>
      </c>
      <c r="C59" s="132">
        <v>8</v>
      </c>
    </row>
    <row r="60" spans="2:3" x14ac:dyDescent="0.25">
      <c r="B60" s="132">
        <v>-5</v>
      </c>
      <c r="C60" s="132">
        <v>6.4</v>
      </c>
    </row>
    <row r="61" spans="2:3" x14ac:dyDescent="0.25">
      <c r="B61" s="132">
        <v>-10</v>
      </c>
      <c r="C61" s="132">
        <v>5.5</v>
      </c>
    </row>
    <row r="62" spans="2:3" x14ac:dyDescent="0.25">
      <c r="B62" s="132">
        <v>-15</v>
      </c>
      <c r="C62" s="132">
        <v>5.0999999999999996</v>
      </c>
    </row>
    <row r="63" spans="2:3" x14ac:dyDescent="0.25">
      <c r="B63" s="132">
        <v>-20</v>
      </c>
      <c r="C63" s="132">
        <v>4.7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868</vt:lpstr>
      <vt:lpstr>868v2</vt:lpstr>
      <vt:lpstr>12r915</vt:lpstr>
      <vt:lpstr>12r868</vt:lpstr>
      <vt:lpstr>p915</vt:lpstr>
      <vt:lpstr>p868</vt:lpstr>
      <vt:lpstr>915</vt:lpstr>
      <vt:lpstr>433</vt:lpstr>
      <vt:lpstr>868 conv_dev</vt:lpstr>
      <vt:lpstr>rxCurr</vt:lpstr>
      <vt:lpstr>Durations</vt:lpstr>
      <vt:lpstr>Workspace Stuff</vt:lpstr>
      <vt:lpstr>Sheet2</vt:lpstr>
      <vt:lpstr>Sheet3</vt:lpstr>
    </vt:vector>
  </TitlesOfParts>
  <Company>Texas Instruments,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Sickler</dc:creator>
  <cp:lastModifiedBy>Chris Sickler</cp:lastModifiedBy>
  <dcterms:created xsi:type="dcterms:W3CDTF">2020-07-22T13:47:00Z</dcterms:created>
  <dcterms:modified xsi:type="dcterms:W3CDTF">2020-08-13T19:53:00Z</dcterms:modified>
</cp:coreProperties>
</file>