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FE125AA0-AC4B-47A7-8C49-3A71E355DB5C}" xr6:coauthVersionLast="47" xr6:coauthVersionMax="47" xr10:uidLastSave="{00000000-0000-0000-0000-000000000000}"/>
  <bookViews>
    <workbookView xWindow="-120" yWindow="-120" windowWidth="20730" windowHeight="11160" tabRatio="869" xr2:uid="{00000000-000D-0000-FFFF-FFFF00000000}"/>
  </bookViews>
  <sheets>
    <sheet name="Hoja1" sheetId="13" r:id="rId1"/>
    <sheet name="MOV.TIERRAS" sheetId="6" state="hidden" r:id="rId2"/>
    <sheet name="CONCRETO-ENCOFRADO-FIERRO" sheetId="2" state="hidden" r:id="rId3"/>
    <sheet name="ESTRUCTURA METALICA" sheetId="8" state="hidden" r:id="rId4"/>
    <sheet name="Datos" sheetId="10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2" hidden="1">'CONCRETO-ENCOFRADO-FIERRO'!$A$1:$AG$7</definedName>
    <definedName name="_xlnm._FilterDatabase" localSheetId="3" hidden="1">'ESTRUCTURA METALICA'!$A$1:$AG$2</definedName>
    <definedName name="_pu1" localSheetId="2">'CONCRETO-ENCOFRADO-FIERRO'!#REF!</definedName>
    <definedName name="_pu1" localSheetId="3">'ESTRUCTURA METALICA'!#REF!</definedName>
    <definedName name="_pu1">#REF!</definedName>
    <definedName name="_pu11" localSheetId="2">'CONCRETO-ENCOFRADO-FIERRO'!#REF!</definedName>
    <definedName name="_pu11" localSheetId="3">'ESTRUCTURA METALICA'!#REF!</definedName>
    <definedName name="_pu11">#REF!</definedName>
    <definedName name="_pu12" localSheetId="2">'CONCRETO-ENCOFRADO-FIERRO'!#REF!</definedName>
    <definedName name="_pu12" localSheetId="3">'ESTRUCTURA METALICA'!#REF!</definedName>
    <definedName name="_pu12">#REF!</definedName>
    <definedName name="_pu2" localSheetId="2">'CONCRETO-ENCOFRADO-FIERRO'!#REF!</definedName>
    <definedName name="_pu2" localSheetId="3">'ESTRUCTURA METALICA'!#REF!</definedName>
    <definedName name="_pu2">#REF!</definedName>
    <definedName name="_pu3" localSheetId="2">'CONCRETO-ENCOFRADO-FIERRO'!#REF!</definedName>
    <definedName name="_pu3" localSheetId="3">'ESTRUCTURA METALICA'!#REF!</definedName>
    <definedName name="_pu3">#REF!</definedName>
    <definedName name="_pu4" localSheetId="2">'CONCRETO-ENCOFRADO-FIERRO'!#REF!</definedName>
    <definedName name="_pu4" localSheetId="3">'ESTRUCTURA METALICA'!#REF!</definedName>
    <definedName name="_pu4">#REF!</definedName>
    <definedName name="_pu5" localSheetId="2">'CONCRETO-ENCOFRADO-FIERRO'!#REF!</definedName>
    <definedName name="_pu5" localSheetId="3">'ESTRUCTURA METALICA'!#REF!</definedName>
    <definedName name="_pu5">#REF!</definedName>
    <definedName name="_pu6" localSheetId="2">'CONCRETO-ENCOFRADO-FIERRO'!#REF!</definedName>
    <definedName name="_pu6" localSheetId="3">'ESTRUCTURA METALICA'!#REF!</definedName>
    <definedName name="_pu6">#REF!</definedName>
    <definedName name="_pu8" localSheetId="2">'CONCRETO-ENCOFRADO-FIERRO'!#REF!</definedName>
    <definedName name="_pu8" localSheetId="3">'ESTRUCTURA METALICA'!#REF!</definedName>
    <definedName name="_pu8">#REF!</definedName>
    <definedName name="_TOT11">[1]Hoja3!$K$20</definedName>
    <definedName name="_TOT12">[1]Hoja3!$K$30</definedName>
    <definedName name="_TOT21">[1]Hoja3!$K$41</definedName>
    <definedName name="_TOT22">[1]Hoja3!$K$51</definedName>
    <definedName name="_TOT31">[1]Hoja3!$K$62</definedName>
    <definedName name="_TOT32">[1]Hoja3!$K$72</definedName>
    <definedName name="_TOT33">[1]Hoja3!#REF!</definedName>
    <definedName name="_TOT34">[1]Hoja3!$K$83</definedName>
    <definedName name="_TOT35">[1]Hoja3!$K$93</definedName>
    <definedName name="_TOT36">[1]Hoja3!$K$109</definedName>
    <definedName name="_TOT37">[1]Hoja3!$K$119</definedName>
    <definedName name="_TOT38">[1]Hoja3!#REF!</definedName>
    <definedName name="_TOT39">[1]Hoja3!$K$130</definedName>
    <definedName name="_TOT41">[1]Hoja3!$K$143</definedName>
    <definedName name="_TOT42">[1]Hoja3!$K$153</definedName>
    <definedName name="_xlnm.Print_Area" localSheetId="2">'CONCRETO-ENCOFRADO-FIERRO'!$A$2:$AG$74</definedName>
    <definedName name="_xlnm.Print_Area" localSheetId="3">'ESTRUCTURA METALICA'!$A$1:$Q$69</definedName>
    <definedName name="_xlnm.Print_Area" localSheetId="0">Hoja1!$A$1:$G$79</definedName>
    <definedName name="_xlnm.Print_Area" localSheetId="1">MOV.TIERRAS!$A$1:$I$34</definedName>
    <definedName name="AREASWBS">[2]Datos!$B$2:$B$6</definedName>
    <definedName name="BD_MAT">[3]Pesos!$A$4:$G$29</definedName>
    <definedName name="cistermnms">#REF!</definedName>
    <definedName name="CKG">[4]RESUMEN!$G$2</definedName>
    <definedName name="costoAcero">#REF!</definedName>
    <definedName name="CostoKg">[5]Resumen!$H$1</definedName>
    <definedName name="costoKg2">[5]Resumen!$F$1</definedName>
    <definedName name="CPlg_mm">[1]Hoja2!$G$2</definedName>
    <definedName name="Disciplina">#REF!</definedName>
    <definedName name="dss">[4]RESUMEN!#REF!</definedName>
    <definedName name="eferf">#REF!</definedName>
    <definedName name="ICCC">[4]RESUMEN!$E$1</definedName>
    <definedName name="IndCal">[4]RESUMEN!#REF!</definedName>
    <definedName name="kons">[4]Hoja1!$C$1</definedName>
    <definedName name="pe_acero">[1]Hoja2!$K$2</definedName>
    <definedName name="PESOPLANCHA">'[1]Viguetas 36 REAL'!$I$24</definedName>
    <definedName name="Pmerma">[5]Resumen!$G$1</definedName>
    <definedName name="pu6mm" localSheetId="2">'CONCRETO-ENCOFRADO-FIERRO'!#REF!</definedName>
    <definedName name="pu6mm" localSheetId="3">'ESTRUCTURA METALICA'!#REF!</definedName>
    <definedName name="pu6mm">#REF!</definedName>
    <definedName name="pu8mm" localSheetId="2">'CONCRETO-ENCOFRADO-FIERRO'!#REF!</definedName>
    <definedName name="pu8mm" localSheetId="3">'ESTRUCTURA METALICA'!#REF!</definedName>
    <definedName name="pu8mm">#REF!</definedName>
    <definedName name="sdfd">#REF!</definedName>
    <definedName name="Tcam">[6]Forrado!$E$27</definedName>
    <definedName name="Tcambio">[5]Resumen!$I$1</definedName>
    <definedName name="tipoc">#REF!</definedName>
    <definedName name="TipoCambio">[4]RESUMEN!$G$1</definedName>
    <definedName name="_xlnm.Print_Titles" localSheetId="2">'CONCRETO-ENCOFRADO-FIERRO'!$1:$6</definedName>
    <definedName name="_xlnm.Print_Titles" localSheetId="3">'ESTRUCTURA METALICA'!$1:$6</definedName>
    <definedName name="Unidad">[2]Datos!$D$2:$D$10</definedName>
    <definedName name="WB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5" i="2" l="1"/>
  <c r="Z65" i="2"/>
  <c r="O64" i="2"/>
  <c r="Z64" i="2" s="1"/>
  <c r="O63" i="2"/>
  <c r="Z63" i="2" s="1"/>
  <c r="AD63" i="2"/>
  <c r="O62" i="2"/>
  <c r="Z62" i="2" s="1"/>
  <c r="AC62" i="2"/>
  <c r="AF70" i="2"/>
  <c r="AE70" i="2"/>
  <c r="AD70" i="2"/>
  <c r="AC70" i="2"/>
  <c r="AB70" i="2"/>
  <c r="AA70" i="2"/>
  <c r="Z70" i="2"/>
  <c r="Y70" i="2"/>
  <c r="X70" i="2"/>
  <c r="W70" i="2"/>
  <c r="V70" i="2"/>
  <c r="U70" i="2"/>
  <c r="AF68" i="2"/>
  <c r="AE68" i="2"/>
  <c r="AD68" i="2"/>
  <c r="AC68" i="2"/>
  <c r="AB68" i="2"/>
  <c r="AA68" i="2"/>
  <c r="Z68" i="2"/>
  <c r="Y68" i="2"/>
  <c r="X68" i="2"/>
  <c r="W68" i="2"/>
  <c r="V68" i="2"/>
  <c r="U68" i="2"/>
  <c r="AF67" i="2"/>
  <c r="AE67" i="2"/>
  <c r="AD67" i="2"/>
  <c r="AC67" i="2"/>
  <c r="AB67" i="2"/>
  <c r="AA67" i="2"/>
  <c r="Y67" i="2"/>
  <c r="X67" i="2"/>
  <c r="W67" i="2"/>
  <c r="V67" i="2"/>
  <c r="U67" i="2"/>
  <c r="Z67" i="2"/>
  <c r="AF66" i="2"/>
  <c r="AE66" i="2"/>
  <c r="AD66" i="2"/>
  <c r="AC66" i="2"/>
  <c r="AB66" i="2"/>
  <c r="AA66" i="2"/>
  <c r="Y66" i="2"/>
  <c r="X66" i="2"/>
  <c r="W66" i="2"/>
  <c r="V66" i="2"/>
  <c r="U66" i="2"/>
  <c r="Z66" i="2"/>
  <c r="AF65" i="2"/>
  <c r="AE65" i="2"/>
  <c r="AD65" i="2"/>
  <c r="AC65" i="2"/>
  <c r="AB65" i="2"/>
  <c r="AA65" i="2"/>
  <c r="Y65" i="2"/>
  <c r="X65" i="2"/>
  <c r="W65" i="2"/>
  <c r="V65" i="2"/>
  <c r="U65" i="2"/>
  <c r="AF64" i="2"/>
  <c r="AE64" i="2"/>
  <c r="AD64" i="2"/>
  <c r="AC64" i="2"/>
  <c r="AB64" i="2"/>
  <c r="AA64" i="2"/>
  <c r="Y64" i="2"/>
  <c r="X64" i="2"/>
  <c r="W64" i="2"/>
  <c r="V64" i="2"/>
  <c r="U64" i="2"/>
  <c r="AF63" i="2"/>
  <c r="AE63" i="2"/>
  <c r="AC63" i="2"/>
  <c r="AB63" i="2"/>
  <c r="AA63" i="2"/>
  <c r="Y63" i="2"/>
  <c r="X63" i="2"/>
  <c r="W63" i="2"/>
  <c r="V63" i="2"/>
  <c r="U63" i="2"/>
  <c r="AF62" i="2"/>
  <c r="AE62" i="2"/>
  <c r="AD62" i="2"/>
  <c r="AB62" i="2"/>
  <c r="AA62" i="2"/>
  <c r="Y62" i="2"/>
  <c r="X62" i="2"/>
  <c r="X69" i="2" s="1"/>
  <c r="W62" i="2"/>
  <c r="V62" i="2"/>
  <c r="U62" i="2"/>
  <c r="L62" i="2"/>
  <c r="M69" i="2" s="1"/>
  <c r="G62" i="2"/>
  <c r="H62" i="2" s="1"/>
  <c r="I69" i="2" s="1"/>
  <c r="AF61" i="2"/>
  <c r="AE61" i="2"/>
  <c r="AD61" i="2"/>
  <c r="AC61" i="2"/>
  <c r="AB61" i="2"/>
  <c r="AA61" i="2"/>
  <c r="Z61" i="2"/>
  <c r="Y61" i="2"/>
  <c r="X61" i="2"/>
  <c r="W61" i="2"/>
  <c r="W69" i="2" s="1"/>
  <c r="V61" i="2"/>
  <c r="U61" i="2"/>
  <c r="AF60" i="2"/>
  <c r="AE60" i="2"/>
  <c r="AD60" i="2"/>
  <c r="AC60" i="2"/>
  <c r="AB60" i="2"/>
  <c r="AA60" i="2"/>
  <c r="Z60" i="2"/>
  <c r="Y60" i="2"/>
  <c r="X60" i="2"/>
  <c r="W60" i="2"/>
  <c r="V60" i="2"/>
  <c r="U60" i="2"/>
  <c r="AF59" i="2"/>
  <c r="AE59" i="2"/>
  <c r="AD59" i="2"/>
  <c r="AC59" i="2"/>
  <c r="AB59" i="2"/>
  <c r="AA59" i="2"/>
  <c r="Z59" i="2"/>
  <c r="Y59" i="2"/>
  <c r="X59" i="2"/>
  <c r="W59" i="2"/>
  <c r="V59" i="2"/>
  <c r="U59" i="2"/>
  <c r="L59" i="2"/>
  <c r="H59" i="2"/>
  <c r="O55" i="2"/>
  <c r="T55" i="2"/>
  <c r="O54" i="2"/>
  <c r="T54" i="2"/>
  <c r="T53" i="2"/>
  <c r="O53" i="2"/>
  <c r="T52" i="2"/>
  <c r="AD52" i="2" s="1"/>
  <c r="T49" i="2"/>
  <c r="AC49" i="2" s="1"/>
  <c r="T48" i="2"/>
  <c r="AD48" i="2" s="1"/>
  <c r="T46" i="2"/>
  <c r="AD46" i="2" s="1"/>
  <c r="T43" i="2"/>
  <c r="AD43" i="2" s="1"/>
  <c r="T42" i="2"/>
  <c r="AC42" i="2" s="1"/>
  <c r="K44" i="2"/>
  <c r="K43" i="2"/>
  <c r="J44" i="2"/>
  <c r="L44" i="2" s="1"/>
  <c r="J43" i="2"/>
  <c r="L43" i="2" s="1"/>
  <c r="J42" i="2"/>
  <c r="L42" i="2" s="1"/>
  <c r="D42" i="2"/>
  <c r="AF58" i="2"/>
  <c r="AE58" i="2"/>
  <c r="AD58" i="2"/>
  <c r="AC58" i="2"/>
  <c r="AB58" i="2"/>
  <c r="AA58" i="2"/>
  <c r="Z58" i="2"/>
  <c r="Y58" i="2"/>
  <c r="X58" i="2"/>
  <c r="W58" i="2"/>
  <c r="V58" i="2"/>
  <c r="U58" i="2"/>
  <c r="AF56" i="2"/>
  <c r="AE56" i="2"/>
  <c r="AD56" i="2"/>
  <c r="AC56" i="2"/>
  <c r="AB56" i="2"/>
  <c r="AA56" i="2"/>
  <c r="Z56" i="2"/>
  <c r="Y56" i="2"/>
  <c r="X56" i="2"/>
  <c r="W56" i="2"/>
  <c r="V56" i="2"/>
  <c r="U56" i="2"/>
  <c r="AF55" i="2"/>
  <c r="AE55" i="2"/>
  <c r="AD55" i="2"/>
  <c r="AC55" i="2"/>
  <c r="AB55" i="2"/>
  <c r="AA55" i="2"/>
  <c r="Y55" i="2"/>
  <c r="X55" i="2"/>
  <c r="W55" i="2"/>
  <c r="V55" i="2"/>
  <c r="U55" i="2"/>
  <c r="AF54" i="2"/>
  <c r="AE54" i="2"/>
  <c r="AD54" i="2"/>
  <c r="AC54" i="2"/>
  <c r="AB54" i="2"/>
  <c r="AA54" i="2"/>
  <c r="Y54" i="2"/>
  <c r="X54" i="2"/>
  <c r="W54" i="2"/>
  <c r="V54" i="2"/>
  <c r="U54" i="2"/>
  <c r="AF53" i="2"/>
  <c r="AE53" i="2"/>
  <c r="AD53" i="2"/>
  <c r="AC53" i="2"/>
  <c r="AB53" i="2"/>
  <c r="AA53" i="2"/>
  <c r="Y53" i="2"/>
  <c r="X53" i="2"/>
  <c r="W53" i="2"/>
  <c r="V53" i="2"/>
  <c r="U53" i="2"/>
  <c r="AF52" i="2"/>
  <c r="AE52" i="2"/>
  <c r="AC52" i="2"/>
  <c r="AB52" i="2"/>
  <c r="AA52" i="2"/>
  <c r="Y52" i="2"/>
  <c r="X52" i="2"/>
  <c r="W52" i="2"/>
  <c r="V52" i="2"/>
  <c r="U52" i="2"/>
  <c r="Z52" i="2"/>
  <c r="AF51" i="2"/>
  <c r="AE51" i="2"/>
  <c r="AD51" i="2"/>
  <c r="AC51" i="2"/>
  <c r="AB51" i="2"/>
  <c r="AA51" i="2"/>
  <c r="Y51" i="2"/>
  <c r="X51" i="2"/>
  <c r="W51" i="2"/>
  <c r="V51" i="2"/>
  <c r="U51" i="2"/>
  <c r="Z51" i="2"/>
  <c r="AF50" i="2"/>
  <c r="AE50" i="2"/>
  <c r="AD50" i="2"/>
  <c r="AC50" i="2"/>
  <c r="AB50" i="2"/>
  <c r="AA50" i="2"/>
  <c r="Z50" i="2"/>
  <c r="Y50" i="2"/>
  <c r="X50" i="2"/>
  <c r="W50" i="2"/>
  <c r="V50" i="2"/>
  <c r="U50" i="2"/>
  <c r="AF49" i="2"/>
  <c r="AE49" i="2"/>
  <c r="AD49" i="2"/>
  <c r="AB49" i="2"/>
  <c r="AA49" i="2"/>
  <c r="Y49" i="2"/>
  <c r="X49" i="2"/>
  <c r="W49" i="2"/>
  <c r="V49" i="2"/>
  <c r="U49" i="2"/>
  <c r="Z49" i="2"/>
  <c r="AF48" i="2"/>
  <c r="AE48" i="2"/>
  <c r="AC48" i="2"/>
  <c r="AB48" i="2"/>
  <c r="AA48" i="2"/>
  <c r="Y48" i="2"/>
  <c r="X48" i="2"/>
  <c r="W48" i="2"/>
  <c r="V48" i="2"/>
  <c r="U48" i="2"/>
  <c r="Z48" i="2"/>
  <c r="AF47" i="2"/>
  <c r="AE47" i="2"/>
  <c r="AD47" i="2"/>
  <c r="AC47" i="2"/>
  <c r="AB47" i="2"/>
  <c r="AA47" i="2"/>
  <c r="Z47" i="2"/>
  <c r="Y47" i="2"/>
  <c r="X47" i="2"/>
  <c r="W47" i="2"/>
  <c r="V47" i="2"/>
  <c r="U47" i="2"/>
  <c r="AF46" i="2"/>
  <c r="AE46" i="2"/>
  <c r="AC46" i="2"/>
  <c r="AB46" i="2"/>
  <c r="AA46" i="2"/>
  <c r="Z46" i="2"/>
  <c r="Y46" i="2"/>
  <c r="X46" i="2"/>
  <c r="W46" i="2"/>
  <c r="V46" i="2"/>
  <c r="U46" i="2"/>
  <c r="AF45" i="2"/>
  <c r="AE45" i="2"/>
  <c r="AD45" i="2"/>
  <c r="AC45" i="2"/>
  <c r="AB45" i="2"/>
  <c r="AA45" i="2"/>
  <c r="Y45" i="2"/>
  <c r="X45" i="2"/>
  <c r="W45" i="2"/>
  <c r="V45" i="2"/>
  <c r="U45" i="2"/>
  <c r="Z45" i="2"/>
  <c r="AF44" i="2"/>
  <c r="AE44" i="2"/>
  <c r="AD44" i="2"/>
  <c r="AC44" i="2"/>
  <c r="AB44" i="2"/>
  <c r="AA44" i="2"/>
  <c r="Z44" i="2"/>
  <c r="Y44" i="2"/>
  <c r="X44" i="2"/>
  <c r="W44" i="2"/>
  <c r="V44" i="2"/>
  <c r="U44" i="2"/>
  <c r="AF43" i="2"/>
  <c r="AE43" i="2"/>
  <c r="AC43" i="2"/>
  <c r="AA43" i="2"/>
  <c r="Z43" i="2"/>
  <c r="Y43" i="2"/>
  <c r="X43" i="2"/>
  <c r="W43" i="2"/>
  <c r="V43" i="2"/>
  <c r="U43" i="2"/>
  <c r="AB43" i="2"/>
  <c r="AF42" i="2"/>
  <c r="AE42" i="2"/>
  <c r="AD42" i="2"/>
  <c r="AA42" i="2"/>
  <c r="Z42" i="2"/>
  <c r="Y42" i="2"/>
  <c r="X42" i="2"/>
  <c r="W42" i="2"/>
  <c r="V42" i="2"/>
  <c r="U42" i="2"/>
  <c r="U57" i="2" s="1"/>
  <c r="AB42" i="2"/>
  <c r="G42" i="2"/>
  <c r="H42" i="2" s="1"/>
  <c r="I57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AF40" i="2"/>
  <c r="AE40" i="2"/>
  <c r="AD40" i="2"/>
  <c r="AC40" i="2"/>
  <c r="AB40" i="2"/>
  <c r="AA40" i="2"/>
  <c r="Z40" i="2"/>
  <c r="Y40" i="2"/>
  <c r="X40" i="2"/>
  <c r="W40" i="2"/>
  <c r="V40" i="2"/>
  <c r="U40" i="2"/>
  <c r="AF39" i="2"/>
  <c r="AE39" i="2"/>
  <c r="AD39" i="2"/>
  <c r="AC39" i="2"/>
  <c r="AB39" i="2"/>
  <c r="AA39" i="2"/>
  <c r="Z39" i="2"/>
  <c r="Y39" i="2"/>
  <c r="X39" i="2"/>
  <c r="W39" i="2"/>
  <c r="V39" i="2"/>
  <c r="U39" i="2"/>
  <c r="L39" i="2"/>
  <c r="H39" i="2"/>
  <c r="T35" i="2"/>
  <c r="T34" i="2"/>
  <c r="O35" i="2"/>
  <c r="Z35" i="2" s="1"/>
  <c r="O34" i="2"/>
  <c r="T32" i="2"/>
  <c r="T31" i="2"/>
  <c r="O32" i="2"/>
  <c r="Z32" i="2" s="1"/>
  <c r="O31" i="2"/>
  <c r="Z31" i="2" s="1"/>
  <c r="T29" i="2"/>
  <c r="O29" i="2"/>
  <c r="T28" i="2"/>
  <c r="O28" i="2"/>
  <c r="AB26" i="2"/>
  <c r="T25" i="2"/>
  <c r="O25" i="2"/>
  <c r="Z25" i="2" s="1"/>
  <c r="O24" i="2"/>
  <c r="T24" i="2"/>
  <c r="O23" i="2"/>
  <c r="AB23" i="2" s="1"/>
  <c r="O22" i="2"/>
  <c r="AB22" i="2" s="1"/>
  <c r="J23" i="2"/>
  <c r="L23" i="2" s="1"/>
  <c r="J22" i="2"/>
  <c r="L22" i="2" s="1"/>
  <c r="D23" i="2"/>
  <c r="G23" i="2" s="1"/>
  <c r="H23" i="2" s="1"/>
  <c r="T16" i="2"/>
  <c r="Z16" i="2" s="1"/>
  <c r="T15" i="2"/>
  <c r="O16" i="2"/>
  <c r="O14" i="2"/>
  <c r="Z14" i="2"/>
  <c r="O15" i="2"/>
  <c r="T14" i="2"/>
  <c r="AF16" i="2"/>
  <c r="AE16" i="2"/>
  <c r="AD16" i="2"/>
  <c r="AC16" i="2"/>
  <c r="AB16" i="2"/>
  <c r="AA16" i="2"/>
  <c r="Y16" i="2"/>
  <c r="X16" i="2"/>
  <c r="W16" i="2"/>
  <c r="V16" i="2"/>
  <c r="U16" i="2"/>
  <c r="L16" i="2"/>
  <c r="H16" i="2"/>
  <c r="Z17" i="2"/>
  <c r="O13" i="2"/>
  <c r="AC13" i="2" s="1"/>
  <c r="K13" i="2"/>
  <c r="F13" i="2"/>
  <c r="G22" i="2"/>
  <c r="H22" i="2" s="1"/>
  <c r="I37" i="2" s="1"/>
  <c r="AF15" i="2"/>
  <c r="AE15" i="2"/>
  <c r="AD15" i="2"/>
  <c r="AC15" i="2"/>
  <c r="AB15" i="2"/>
  <c r="AA15" i="2"/>
  <c r="Y15" i="2"/>
  <c r="X15" i="2"/>
  <c r="W15" i="2"/>
  <c r="V15" i="2"/>
  <c r="U15" i="2"/>
  <c r="L15" i="2"/>
  <c r="H15" i="2"/>
  <c r="AF19" i="2"/>
  <c r="AE19" i="2"/>
  <c r="AD19" i="2"/>
  <c r="AC19" i="2"/>
  <c r="AB19" i="2"/>
  <c r="AA19" i="2"/>
  <c r="Z19" i="2"/>
  <c r="Y19" i="2"/>
  <c r="X19" i="2"/>
  <c r="W19" i="2"/>
  <c r="V19" i="2"/>
  <c r="U19" i="2"/>
  <c r="L19" i="2"/>
  <c r="H19" i="2"/>
  <c r="AA14" i="2"/>
  <c r="J13" i="2"/>
  <c r="L13" i="2" s="1"/>
  <c r="G13" i="2"/>
  <c r="AF38" i="2"/>
  <c r="AE38" i="2"/>
  <c r="AD38" i="2"/>
  <c r="AC38" i="2"/>
  <c r="AB38" i="2"/>
  <c r="AA38" i="2"/>
  <c r="Z38" i="2"/>
  <c r="Y38" i="2"/>
  <c r="X38" i="2"/>
  <c r="W38" i="2"/>
  <c r="V38" i="2"/>
  <c r="U38" i="2"/>
  <c r="AF36" i="2"/>
  <c r="AE36" i="2"/>
  <c r="AD36" i="2"/>
  <c r="AC36" i="2"/>
  <c r="AB36" i="2"/>
  <c r="AA36" i="2"/>
  <c r="Y36" i="2"/>
  <c r="X36" i="2"/>
  <c r="W36" i="2"/>
  <c r="V36" i="2"/>
  <c r="U36" i="2"/>
  <c r="AF35" i="2"/>
  <c r="AE35" i="2"/>
  <c r="AD35" i="2"/>
  <c r="AC35" i="2"/>
  <c r="AA35" i="2"/>
  <c r="Y35" i="2"/>
  <c r="X35" i="2"/>
  <c r="W35" i="2"/>
  <c r="V35" i="2"/>
  <c r="U35" i="2"/>
  <c r="AF34" i="2"/>
  <c r="AE34" i="2"/>
  <c r="AD34" i="2"/>
  <c r="AC34" i="2"/>
  <c r="AB34" i="2"/>
  <c r="AA34" i="2"/>
  <c r="Y34" i="2"/>
  <c r="X34" i="2"/>
  <c r="W34" i="2"/>
  <c r="V34" i="2"/>
  <c r="U34" i="2"/>
  <c r="AF33" i="2"/>
  <c r="AE33" i="2"/>
  <c r="AD33" i="2"/>
  <c r="AC33" i="2"/>
  <c r="AA33" i="2"/>
  <c r="Z33" i="2"/>
  <c r="Y33" i="2"/>
  <c r="X33" i="2"/>
  <c r="W33" i="2"/>
  <c r="V33" i="2"/>
  <c r="U33" i="2"/>
  <c r="AF32" i="2"/>
  <c r="AE32" i="2"/>
  <c r="AD32" i="2"/>
  <c r="AC32" i="2"/>
  <c r="AB32" i="2"/>
  <c r="AA32" i="2"/>
  <c r="Y32" i="2"/>
  <c r="X32" i="2"/>
  <c r="W32" i="2"/>
  <c r="V32" i="2"/>
  <c r="U32" i="2"/>
  <c r="AF31" i="2"/>
  <c r="AE31" i="2"/>
  <c r="AD31" i="2"/>
  <c r="AC31" i="2"/>
  <c r="AB31" i="2"/>
  <c r="AA31" i="2"/>
  <c r="Y31" i="2"/>
  <c r="X31" i="2"/>
  <c r="W31" i="2"/>
  <c r="V31" i="2"/>
  <c r="U31" i="2"/>
  <c r="AF30" i="2"/>
  <c r="AE30" i="2"/>
  <c r="AD30" i="2"/>
  <c r="AC30" i="2"/>
  <c r="AA30" i="2"/>
  <c r="Z30" i="2"/>
  <c r="Y30" i="2"/>
  <c r="X30" i="2"/>
  <c r="W30" i="2"/>
  <c r="V30" i="2"/>
  <c r="U30" i="2"/>
  <c r="AF29" i="2"/>
  <c r="AE29" i="2"/>
  <c r="AD29" i="2"/>
  <c r="AC29" i="2"/>
  <c r="AA29" i="2"/>
  <c r="Y29" i="2"/>
  <c r="X29" i="2"/>
  <c r="W29" i="2"/>
  <c r="V29" i="2"/>
  <c r="U29" i="2"/>
  <c r="AF28" i="2"/>
  <c r="AE28" i="2"/>
  <c r="AD28" i="2"/>
  <c r="AC28" i="2"/>
  <c r="AB28" i="2"/>
  <c r="AA28" i="2"/>
  <c r="Y28" i="2"/>
  <c r="X28" i="2"/>
  <c r="W28" i="2"/>
  <c r="V28" i="2"/>
  <c r="U28" i="2"/>
  <c r="AF27" i="2"/>
  <c r="AE27" i="2"/>
  <c r="AD27" i="2"/>
  <c r="AC27" i="2"/>
  <c r="AB27" i="2"/>
  <c r="Z27" i="2"/>
  <c r="Y27" i="2"/>
  <c r="X27" i="2"/>
  <c r="W27" i="2"/>
  <c r="V27" i="2"/>
  <c r="U27" i="2"/>
  <c r="AF26" i="2"/>
  <c r="AE26" i="2"/>
  <c r="AD26" i="2"/>
  <c r="AC26" i="2"/>
  <c r="AA26" i="2"/>
  <c r="Y26" i="2"/>
  <c r="X26" i="2"/>
  <c r="W26" i="2"/>
  <c r="V26" i="2"/>
  <c r="U26" i="2"/>
  <c r="AF25" i="2"/>
  <c r="AE25" i="2"/>
  <c r="AD25" i="2"/>
  <c r="AC25" i="2"/>
  <c r="AA25" i="2"/>
  <c r="Y25" i="2"/>
  <c r="X25" i="2"/>
  <c r="W25" i="2"/>
  <c r="V25" i="2"/>
  <c r="U25" i="2"/>
  <c r="AF24" i="2"/>
  <c r="AE24" i="2"/>
  <c r="AD24" i="2"/>
  <c r="AC24" i="2"/>
  <c r="AB24" i="2"/>
  <c r="AA24" i="2"/>
  <c r="Y24" i="2"/>
  <c r="X24" i="2"/>
  <c r="W24" i="2"/>
  <c r="V24" i="2"/>
  <c r="U24" i="2"/>
  <c r="AF23" i="2"/>
  <c r="AE23" i="2"/>
  <c r="AD23" i="2"/>
  <c r="AC23" i="2"/>
  <c r="Z23" i="2"/>
  <c r="Y23" i="2"/>
  <c r="X23" i="2"/>
  <c r="W23" i="2"/>
  <c r="V23" i="2"/>
  <c r="U23" i="2"/>
  <c r="AF22" i="2"/>
  <c r="AE22" i="2"/>
  <c r="AD22" i="2"/>
  <c r="AC22" i="2"/>
  <c r="AA22" i="2"/>
  <c r="Y22" i="2"/>
  <c r="X22" i="2"/>
  <c r="W22" i="2"/>
  <c r="V22" i="2"/>
  <c r="U22" i="2"/>
  <c r="AF21" i="2"/>
  <c r="AE21" i="2"/>
  <c r="AD21" i="2"/>
  <c r="AC21" i="2"/>
  <c r="AA21" i="2"/>
  <c r="Z21" i="2"/>
  <c r="Y21" i="2"/>
  <c r="X21" i="2"/>
  <c r="W21" i="2"/>
  <c r="V21" i="2"/>
  <c r="U21" i="2"/>
  <c r="AF20" i="2"/>
  <c r="AE20" i="2"/>
  <c r="AD20" i="2"/>
  <c r="AC20" i="2"/>
  <c r="AB20" i="2"/>
  <c r="AA20" i="2"/>
  <c r="Z20" i="2"/>
  <c r="Y20" i="2"/>
  <c r="X20" i="2"/>
  <c r="W20" i="2"/>
  <c r="V20" i="2"/>
  <c r="U20" i="2"/>
  <c r="AF17" i="2"/>
  <c r="AE17" i="2"/>
  <c r="AD17" i="2"/>
  <c r="AC17" i="2"/>
  <c r="AB17" i="2"/>
  <c r="AA17" i="2"/>
  <c r="Y17" i="2"/>
  <c r="X17" i="2"/>
  <c r="W17" i="2"/>
  <c r="V17" i="2"/>
  <c r="U17" i="2"/>
  <c r="AF14" i="2"/>
  <c r="AE14" i="2"/>
  <c r="AD14" i="2"/>
  <c r="AC14" i="2"/>
  <c r="AB14" i="2"/>
  <c r="Y14" i="2"/>
  <c r="X14" i="2"/>
  <c r="W14" i="2"/>
  <c r="V14" i="2"/>
  <c r="U14" i="2"/>
  <c r="AF13" i="2"/>
  <c r="AE13" i="2"/>
  <c r="AD13" i="2"/>
  <c r="AB13" i="2"/>
  <c r="Z13" i="2"/>
  <c r="Y13" i="2"/>
  <c r="X13" i="2"/>
  <c r="W13" i="2"/>
  <c r="V13" i="2"/>
  <c r="U13" i="2"/>
  <c r="AF12" i="2"/>
  <c r="AE12" i="2"/>
  <c r="AE18" i="2" s="1"/>
  <c r="AD12" i="2"/>
  <c r="AC12" i="2"/>
  <c r="AB12" i="2"/>
  <c r="AA12" i="2"/>
  <c r="Z12" i="2"/>
  <c r="Y12" i="2"/>
  <c r="X12" i="2"/>
  <c r="W12" i="2"/>
  <c r="W18" i="2" s="1"/>
  <c r="V12" i="2"/>
  <c r="U12" i="2"/>
  <c r="AF11" i="2"/>
  <c r="AE11" i="2"/>
  <c r="AD11" i="2"/>
  <c r="AC11" i="2"/>
  <c r="AB11" i="2"/>
  <c r="AA11" i="2"/>
  <c r="Z11" i="2"/>
  <c r="Y11" i="2"/>
  <c r="X11" i="2"/>
  <c r="W11" i="2"/>
  <c r="V11" i="2"/>
  <c r="U11" i="2"/>
  <c r="AF10" i="2"/>
  <c r="AE10" i="2"/>
  <c r="AD10" i="2"/>
  <c r="AC10" i="2"/>
  <c r="AB10" i="2"/>
  <c r="AA10" i="2"/>
  <c r="Z10" i="2"/>
  <c r="Y10" i="2"/>
  <c r="X10" i="2"/>
  <c r="W10" i="2"/>
  <c r="V10" i="2"/>
  <c r="U10" i="2"/>
  <c r="AF9" i="2"/>
  <c r="AE9" i="2"/>
  <c r="AD9" i="2"/>
  <c r="AC9" i="2"/>
  <c r="AB9" i="2"/>
  <c r="AA9" i="2"/>
  <c r="Z9" i="2"/>
  <c r="Y9" i="2"/>
  <c r="X9" i="2"/>
  <c r="W9" i="2"/>
  <c r="V9" i="2"/>
  <c r="U9" i="2"/>
  <c r="AF8" i="2"/>
  <c r="AE8" i="2"/>
  <c r="AD8" i="2"/>
  <c r="AC8" i="2"/>
  <c r="AB8" i="2"/>
  <c r="AA8" i="2"/>
  <c r="Z8" i="2"/>
  <c r="Y8" i="2"/>
  <c r="X8" i="2"/>
  <c r="W8" i="2"/>
  <c r="V8" i="2"/>
  <c r="U8" i="2"/>
  <c r="Z36" i="2"/>
  <c r="AB35" i="2"/>
  <c r="AB33" i="2"/>
  <c r="AB30" i="2"/>
  <c r="AB29" i="2"/>
  <c r="AA23" i="2"/>
  <c r="AA37" i="2" s="1"/>
  <c r="L17" i="2"/>
  <c r="H17" i="2"/>
  <c r="L14" i="2"/>
  <c r="H14" i="2"/>
  <c r="G11" i="6"/>
  <c r="H22" i="6"/>
  <c r="H21" i="6"/>
  <c r="I24" i="6" s="1"/>
  <c r="D29" i="6" s="1"/>
  <c r="H29" i="6" s="1"/>
  <c r="C50" i="8"/>
  <c r="C49" i="8"/>
  <c r="C48" i="8"/>
  <c r="C47" i="8"/>
  <c r="C46" i="8"/>
  <c r="C42" i="8"/>
  <c r="C41" i="8"/>
  <c r="C40" i="8"/>
  <c r="C39" i="8"/>
  <c r="C38" i="8"/>
  <c r="C34" i="8"/>
  <c r="C33" i="8"/>
  <c r="C32" i="8"/>
  <c r="C31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G64" i="8" s="1"/>
  <c r="C14" i="8"/>
  <c r="C13" i="8"/>
  <c r="C12" i="8"/>
  <c r="C9" i="8"/>
  <c r="C8" i="8"/>
  <c r="C7" i="8"/>
  <c r="G62" i="8" s="1"/>
  <c r="M7" i="8"/>
  <c r="M8" i="8"/>
  <c r="M9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H26" i="8"/>
  <c r="M26" i="8"/>
  <c r="M27" i="8"/>
  <c r="M31" i="8"/>
  <c r="M32" i="8"/>
  <c r="M33" i="8"/>
  <c r="M34" i="8"/>
  <c r="M38" i="8"/>
  <c r="M39" i="8"/>
  <c r="M40" i="8"/>
  <c r="M41" i="8"/>
  <c r="M42" i="8"/>
  <c r="M46" i="8"/>
  <c r="M47" i="8"/>
  <c r="M48" i="8"/>
  <c r="M49" i="8"/>
  <c r="M50" i="8"/>
  <c r="N28" i="8"/>
  <c r="N35" i="8"/>
  <c r="N43" i="8"/>
  <c r="N51" i="8"/>
  <c r="M29" i="8"/>
  <c r="H24" i="6"/>
  <c r="M10" i="8"/>
  <c r="P57" i="8"/>
  <c r="P54" i="8"/>
  <c r="H15" i="6"/>
  <c r="I18" i="6" s="1"/>
  <c r="H16" i="6"/>
  <c r="H30" i="6"/>
  <c r="H31" i="6"/>
  <c r="H18" i="6"/>
  <c r="A2" i="6"/>
  <c r="A3" i="2" s="1"/>
  <c r="A3" i="6" s="1"/>
  <c r="A1" i="6"/>
  <c r="AE69" i="2"/>
  <c r="AA13" i="2"/>
  <c r="Z22" i="2"/>
  <c r="AB21" i="2"/>
  <c r="AB25" i="2"/>
  <c r="AA27" i="2"/>
  <c r="Z26" i="2"/>
  <c r="Z34" i="2"/>
  <c r="AC18" i="2" l="1"/>
  <c r="Z29" i="2"/>
  <c r="Z54" i="2"/>
  <c r="Z15" i="2"/>
  <c r="Z18" i="2" s="1"/>
  <c r="AA18" i="2"/>
  <c r="P52" i="8"/>
  <c r="G63" i="8"/>
  <c r="AI14" i="2"/>
  <c r="AJ14" i="2" s="1"/>
  <c r="AF57" i="2"/>
  <c r="P30" i="8"/>
  <c r="Z24" i="2"/>
  <c r="Z53" i="2"/>
  <c r="Z57" i="2" s="1"/>
  <c r="AC69" i="2"/>
  <c r="P45" i="8"/>
  <c r="AD37" i="2"/>
  <c r="Z55" i="2"/>
  <c r="AD69" i="2"/>
  <c r="P29" i="8"/>
  <c r="AF69" i="2"/>
  <c r="AF18" i="2"/>
  <c r="U37" i="2"/>
  <c r="V57" i="2"/>
  <c r="U69" i="2"/>
  <c r="AG69" i="2" s="1"/>
  <c r="AI69" i="2" s="1"/>
  <c r="V37" i="2"/>
  <c r="AB37" i="2"/>
  <c r="Z69" i="2"/>
  <c r="P37" i="8"/>
  <c r="U18" i="2"/>
  <c r="X37" i="2"/>
  <c r="W57" i="2"/>
  <c r="X57" i="2"/>
  <c r="AB69" i="2"/>
  <c r="W37" i="2"/>
  <c r="V18" i="2"/>
  <c r="Y37" i="2"/>
  <c r="P6" i="8"/>
  <c r="AF37" i="2"/>
  <c r="H13" i="2"/>
  <c r="I18" i="2" s="1"/>
  <c r="P36" i="8"/>
  <c r="X18" i="2"/>
  <c r="AC37" i="2"/>
  <c r="AE37" i="2"/>
  <c r="Y18" i="2"/>
  <c r="AA57" i="2"/>
  <c r="M18" i="2"/>
  <c r="AA69" i="2"/>
  <c r="Y69" i="2"/>
  <c r="Y57" i="2"/>
  <c r="AE57" i="2"/>
  <c r="AB57" i="2"/>
  <c r="V69" i="2"/>
  <c r="AB18" i="2"/>
  <c r="Z28" i="2"/>
  <c r="D28" i="6"/>
  <c r="H28" i="6" s="1"/>
  <c r="I31" i="6" s="1"/>
  <c r="I1" i="6" s="1"/>
  <c r="M57" i="2"/>
  <c r="M37" i="2"/>
  <c r="AC57" i="2"/>
  <c r="AD57" i="2"/>
  <c r="P44" i="8"/>
  <c r="G65" i="8"/>
  <c r="G68" i="8"/>
  <c r="G61" i="8"/>
  <c r="G66" i="8"/>
  <c r="G67" i="8"/>
  <c r="P11" i="8"/>
  <c r="P10" i="8"/>
  <c r="AD18" i="2"/>
  <c r="Z37" i="2" l="1"/>
  <c r="AG37" i="2" s="1"/>
  <c r="AI37" i="2" s="1"/>
  <c r="AG18" i="2"/>
  <c r="AI18" i="2" s="1"/>
  <c r="K55" i="8"/>
  <c r="M55" i="8" s="1"/>
  <c r="P53" i="8" s="1"/>
  <c r="AG57" i="2"/>
  <c r="AI57" i="2" s="1"/>
  <c r="P56" i="8"/>
  <c r="G69" i="8"/>
  <c r="P58" i="8"/>
</calcChain>
</file>

<file path=xl/sharedStrings.xml><?xml version="1.0" encoding="utf-8"?>
<sst xmlns="http://schemas.openxmlformats.org/spreadsheetml/2006/main" count="550" uniqueCount="254">
  <si>
    <t>Concreto</t>
  </si>
  <si>
    <t>Encofrado</t>
  </si>
  <si>
    <t>Item</t>
  </si>
  <si>
    <t>Descripciòn</t>
  </si>
  <si>
    <t>Cant.</t>
  </si>
  <si>
    <t>Medidas</t>
  </si>
  <si>
    <t>Total M2</t>
  </si>
  <si>
    <t>Subtotal</t>
  </si>
  <si>
    <t>Total  M 3</t>
  </si>
  <si>
    <t>Total  M 2</t>
  </si>
  <si>
    <t>Total       Kg / M 2</t>
  </si>
  <si>
    <t>Total       Kg / M 3</t>
  </si>
  <si>
    <t>Cant Bloqueta</t>
  </si>
  <si>
    <t>Long.</t>
  </si>
  <si>
    <t>Ancho</t>
  </si>
  <si>
    <t>Altura</t>
  </si>
  <si>
    <t>M3</t>
  </si>
  <si>
    <t>6 mm</t>
  </si>
  <si>
    <t>8 mm</t>
  </si>
  <si>
    <t>1/4"</t>
  </si>
  <si>
    <t>3/8"</t>
  </si>
  <si>
    <t>1/2"</t>
  </si>
  <si>
    <t>5/8"</t>
  </si>
  <si>
    <t>3/4"</t>
  </si>
  <si>
    <t>1"</t>
  </si>
  <si>
    <t>Total</t>
  </si>
  <si>
    <t>1 3/8"</t>
  </si>
  <si>
    <t>1 1/2"</t>
  </si>
  <si>
    <t>1/8"</t>
  </si>
  <si>
    <t>Total Kilos por Diametro</t>
  </si>
  <si>
    <t>Sólo Kg</t>
  </si>
  <si>
    <t>PLANILLA : METRADOS DE ESTRUCTURAS</t>
  </si>
  <si>
    <t>Longitud ó Ratio</t>
  </si>
  <si>
    <t># , Ømm ó R</t>
  </si>
  <si>
    <t>Long.por Diám.ó Ratio</t>
  </si>
  <si>
    <t>Observac.</t>
  </si>
  <si>
    <t>Kg</t>
  </si>
  <si>
    <t>Fecha:</t>
  </si>
  <si>
    <t>m2</t>
  </si>
  <si>
    <t xml:space="preserve">Elemento :  </t>
  </si>
  <si>
    <t>Vigas y Losas</t>
  </si>
  <si>
    <t>Movimiento de Tierras</t>
  </si>
  <si>
    <t>Nivelación y Compactación</t>
  </si>
  <si>
    <t>Total Nivelación y Compactación</t>
  </si>
  <si>
    <t xml:space="preserve">Eliminaciòn Desmonte </t>
  </si>
  <si>
    <t>Volumen Excavaciòn</t>
  </si>
  <si>
    <t xml:space="preserve">Total Eliminaciòn Desmonte </t>
  </si>
  <si>
    <t>A</t>
  </si>
  <si>
    <t>Excavación</t>
  </si>
  <si>
    <t>Excavaciòn Localizada</t>
  </si>
  <si>
    <t>Viga Perimetral</t>
  </si>
  <si>
    <t>Eliminación</t>
  </si>
  <si>
    <t>PLANILLA : METRADOS DE ACERO ESTRUCTURAL</t>
  </si>
  <si>
    <t>Acero estructural ASTM A36</t>
  </si>
  <si>
    <t>DWG.</t>
  </si>
  <si>
    <t>TIPO</t>
  </si>
  <si>
    <t>Observ</t>
  </si>
  <si>
    <t>Factor Kg</t>
  </si>
  <si>
    <t>ml ú otros</t>
  </si>
  <si>
    <t>Planchas de anclaje</t>
  </si>
  <si>
    <t>C</t>
  </si>
  <si>
    <t>Anclaje Muro</t>
  </si>
  <si>
    <t>B</t>
  </si>
  <si>
    <t>E</t>
  </si>
  <si>
    <t>Escalera</t>
  </si>
  <si>
    <t>D</t>
  </si>
  <si>
    <t>F</t>
  </si>
  <si>
    <t>ml</t>
  </si>
  <si>
    <t>G</t>
  </si>
  <si>
    <t>Guardapie (L-125x30x6)</t>
  </si>
  <si>
    <t>Elementos de Unión</t>
  </si>
  <si>
    <t>2874-4000-DWG-S-0315-0, 0316</t>
  </si>
  <si>
    <t>H</t>
  </si>
  <si>
    <t>Pernos Estructurales de Unión, Planchas, Clips, etc.</t>
  </si>
  <si>
    <t>CANT</t>
  </si>
  <si>
    <t>UND</t>
  </si>
  <si>
    <t>Acero estructural - Liviano,  hasta 30 kg / m</t>
  </si>
  <si>
    <t>Acero estructural - Mediano,  30 kg / m - 60 kg / m</t>
  </si>
  <si>
    <t>Acero estructural - Pesado,  mayor a 60 kg / m</t>
  </si>
  <si>
    <t>Parrilla de Piso Acero</t>
  </si>
  <si>
    <t>Barandas</t>
  </si>
  <si>
    <t>Elementos de Unión - Pernos Estructurales de Unión, Planchas, Clips, etc.</t>
  </si>
  <si>
    <t>2911-VI2A-PL-S-0501</t>
  </si>
  <si>
    <t>Vigas Z6x2 (V1)</t>
  </si>
  <si>
    <t>Vigas C6x2 (V2)</t>
  </si>
  <si>
    <t>Vigas C6x2 (V3)</t>
  </si>
  <si>
    <t>Vigas 2C8x4 (V4)</t>
  </si>
  <si>
    <t xml:space="preserve">Arriostres 1 # 3 </t>
  </si>
  <si>
    <t>Cobertura Teja Andina Eternit o similar</t>
  </si>
  <si>
    <t>Estructuras Nivel 2.8834 A 3.3786 (Cobertura 2do Piso)</t>
  </si>
  <si>
    <t>Plancha 12 x 300 x 200 (Cob. 3er Piso)</t>
  </si>
  <si>
    <t>Plancha 12 x 300 x 200 (Cob. 2do Piso)</t>
  </si>
  <si>
    <t>Estructuras Nivel 1.434 a 0.614 (Cobertura 1er Piso)</t>
  </si>
  <si>
    <t>Estructuras Nivel 3.075 (Cobertura 2do Piso)</t>
  </si>
  <si>
    <t>Plancha 12 x 300 x 200 (Cob. 1er Piso)</t>
  </si>
  <si>
    <t>I</t>
  </si>
  <si>
    <t>Total Excavaciòn Platea de Cimentación</t>
  </si>
  <si>
    <t>TOTAL VIVIENDA TIPO 2A</t>
  </si>
  <si>
    <t>Trabajo Estructural - Vivienda Tipo 2A</t>
  </si>
  <si>
    <t>Vigas Estructuras Nivel 8.7212 A 10.131 (Cobertura 3er Piso)</t>
  </si>
  <si>
    <t>Relleno Localizado</t>
  </si>
  <si>
    <t>Total Relleno Localizado</t>
  </si>
  <si>
    <t>GENERAL</t>
  </si>
  <si>
    <t>Elija un area</t>
  </si>
  <si>
    <t>Elija la Disciplina</t>
  </si>
  <si>
    <t>Elija Unidad</t>
  </si>
  <si>
    <t>Descripción unidad</t>
  </si>
  <si>
    <t>m</t>
  </si>
  <si>
    <t>Metro</t>
  </si>
  <si>
    <t>AREA01</t>
  </si>
  <si>
    <t>ARQUITECTURA</t>
  </si>
  <si>
    <t>kg</t>
  </si>
  <si>
    <t>Kilogramo</t>
  </si>
  <si>
    <t>AREA02</t>
  </si>
  <si>
    <t>CIVIL</t>
  </si>
  <si>
    <t>s</t>
  </si>
  <si>
    <t>Segundo</t>
  </si>
  <si>
    <t>AREA03</t>
  </si>
  <si>
    <t>ESTRUCTURA</t>
  </si>
  <si>
    <r>
      <t>m</t>
    </r>
    <r>
      <rPr>
        <vertAlign val="superscript"/>
        <sz val="12"/>
        <rFont val="Arial"/>
        <family val="2"/>
      </rPr>
      <t>2</t>
    </r>
  </si>
  <si>
    <t>metro cuadrado</t>
  </si>
  <si>
    <t>ELECTRICIDAD</t>
  </si>
  <si>
    <r>
      <t>m</t>
    </r>
    <r>
      <rPr>
        <vertAlign val="superscript"/>
        <sz val="12"/>
        <rFont val="Arial"/>
        <family val="2"/>
      </rPr>
      <t>3</t>
    </r>
  </si>
  <si>
    <t>metro cúbico</t>
  </si>
  <si>
    <t>SANITARIA</t>
  </si>
  <si>
    <r>
      <t>kg/m</t>
    </r>
    <r>
      <rPr>
        <vertAlign val="superscript"/>
        <sz val="12"/>
        <rFont val="Arial"/>
        <family val="2"/>
      </rPr>
      <t>3</t>
    </r>
  </si>
  <si>
    <t>kilogramo por metro cúbico</t>
  </si>
  <si>
    <t>AIRE ACONDICIONADO</t>
  </si>
  <si>
    <t>t</t>
  </si>
  <si>
    <t>tonelada</t>
  </si>
  <si>
    <t>DETECCION DE INCENDIOS</t>
  </si>
  <si>
    <t>EXTINCION DE INCENDIOS</t>
  </si>
  <si>
    <t>SISTEMAS ESPECIALES</t>
  </si>
  <si>
    <t>MECANICA</t>
  </si>
  <si>
    <t>TUBERIAS</t>
  </si>
  <si>
    <t>INSTRUMENTACION</t>
  </si>
  <si>
    <t>Proyecto : xxx</t>
  </si>
  <si>
    <t>#5</t>
  </si>
  <si>
    <t>#3</t>
  </si>
  <si>
    <t>Acero Vertical</t>
  </si>
  <si>
    <t>Acero Estribos</t>
  </si>
  <si>
    <t>RATIO DE ZAPATA</t>
  </si>
  <si>
    <t>Acero Longitudinal Superior / Inferior</t>
  </si>
  <si>
    <t>Acero Longitudinal</t>
  </si>
  <si>
    <t>COLUMNA</t>
  </si>
  <si>
    <t>COLUMNA (0.50x0.50)</t>
  </si>
  <si>
    <t>#6</t>
  </si>
  <si>
    <t>PLACA</t>
  </si>
  <si>
    <t>Total Placa</t>
  </si>
  <si>
    <t>Total Columna</t>
  </si>
  <si>
    <t>Nudo 1</t>
  </si>
  <si>
    <t>#8</t>
  </si>
  <si>
    <t>Acero Estribos Tipo C</t>
  </si>
  <si>
    <t>Nudo 2</t>
  </si>
  <si>
    <t>Nudo 3</t>
  </si>
  <si>
    <t>VIGA</t>
  </si>
  <si>
    <t>Acero Longitudinal Superior</t>
  </si>
  <si>
    <t>Acero Balancin Superior</t>
  </si>
  <si>
    <t>Acero Longitudinal Inferior</t>
  </si>
  <si>
    <t>Acero Balancin Inferior</t>
  </si>
  <si>
    <t>LOSA</t>
  </si>
  <si>
    <t>Baston Superior</t>
  </si>
  <si>
    <t xml:space="preserve">Plano  Nº : </t>
  </si>
  <si>
    <t>Total Viga</t>
  </si>
  <si>
    <t>Total Losa</t>
  </si>
  <si>
    <t>und</t>
  </si>
  <si>
    <t>CODO PVC DE 1/2´ - 90°</t>
  </si>
  <si>
    <t>CODO PVC DE 3/4´ - 90°</t>
  </si>
  <si>
    <t>CODO PVC DE 1´ - 90°</t>
  </si>
  <si>
    <t>CODO PVC DE 1 1/4´ - 90°</t>
  </si>
  <si>
    <t>CODO PVC DE 1 1/2´ - 90°</t>
  </si>
  <si>
    <t>CODO PVC DE 2´ - 90°</t>
  </si>
  <si>
    <t>TEE PVC DE 1/2´</t>
  </si>
  <si>
    <t>TEE PVC DE 3/4´</t>
  </si>
  <si>
    <t>TEE PVC DE 1´</t>
  </si>
  <si>
    <t>TEE PVC DE 1 1/2´</t>
  </si>
  <si>
    <t>TEE PVC DE 2´</t>
  </si>
  <si>
    <t>REDUCCIÓN PVC DE 1´ x 1/2´</t>
  </si>
  <si>
    <t>REDUCCIÓN PVC DE 1 1/2´ x 1/2´</t>
  </si>
  <si>
    <t>REDUCCIÓN PVC DE 1 1/2´ x 3/4´</t>
  </si>
  <si>
    <t>REDUCCIÓN PVC DE 1 1/2´ x 1´</t>
  </si>
  <si>
    <t>REDUCCIÓN PVC DE 2´ x 1´</t>
  </si>
  <si>
    <t>REDUCCIÓN PVC DE 2´ x 1 1/2´</t>
  </si>
  <si>
    <t>VALVULA ESFERICA DE BRONCE DE 1/2´ CON UNION UNIVERSAL</t>
  </si>
  <si>
    <t>VALVULA ESFERICA DE BRONCE DE 1´ CON UNION UNIVERSAL</t>
  </si>
  <si>
    <t>VALVULA ESFERICA DE BRONCE DE 1 1/4´ CON UNION UNIVERSAL</t>
  </si>
  <si>
    <t>VALVULA ESFERICA DE BRONCE DE 1 1/2´ CON UNION UNIVERSAL</t>
  </si>
  <si>
    <t>JUEGO DE ACCESORIOS PARA TANQUE CISTERNA</t>
  </si>
  <si>
    <t>JUEGO DE ACCESORIOS PARA TANQUE ELEVADO</t>
  </si>
  <si>
    <t>YEE PVC SAL 4"X2"</t>
  </si>
  <si>
    <t>YEE PVC SAL 4"X3"</t>
  </si>
  <si>
    <t>YEE PVC SAL 4"X4"</t>
  </si>
  <si>
    <t>YEE PVC SAL 3"X2"</t>
  </si>
  <si>
    <t>YEE PVC SAL 3"X3"</t>
  </si>
  <si>
    <t>YEE PVC SAL2"X2"</t>
  </si>
  <si>
    <t>CODOS SAL 4"X90º</t>
  </si>
  <si>
    <t>CODOS SAL 4"X135º</t>
  </si>
  <si>
    <t>CODOS SAL 3"X90º</t>
  </si>
  <si>
    <t>CODOS SAL 2"X90º</t>
  </si>
  <si>
    <t>CODOS SAL 2"X135º</t>
  </si>
  <si>
    <t>SOMBREO DE VENTILACION 2"</t>
  </si>
  <si>
    <t>SOMBREO DE VENTILACION 4"</t>
  </si>
  <si>
    <t>TUBERIA PVC -SEL ELECTRICA DE 3/4"</t>
  </si>
  <si>
    <t>TUBERIA PVC -SAP ELECTRICA DE 3/4"</t>
  </si>
  <si>
    <t>TUBERIA PVC -SAP ELECTRICA DE 2"</t>
  </si>
  <si>
    <t>CAJA DE PASE GALVANIZADA 200X200X100</t>
  </si>
  <si>
    <t>TUBERIA PVC SAP 3/4"</t>
  </si>
  <si>
    <t>TUBERIA PVC SAP 1"</t>
  </si>
  <si>
    <t>TANQUE PREFABRICADO DE 1100 LITROS</t>
  </si>
  <si>
    <t>REGISTRO CROMADO 2"</t>
  </si>
  <si>
    <t>REGISTRO CROMADO 3"</t>
  </si>
  <si>
    <t>REGISTRO CROMADO 4"</t>
  </si>
  <si>
    <t>SUMIDEROS DE CROMADO DE 2"</t>
  </si>
  <si>
    <t>SUMIDEROS DE CROMADO DE 3"</t>
  </si>
  <si>
    <t xml:space="preserve">Cemento </t>
  </si>
  <si>
    <t>Descripción</t>
  </si>
  <si>
    <t>Und</t>
  </si>
  <si>
    <t>Cantidad</t>
  </si>
  <si>
    <t>P.U.</t>
  </si>
  <si>
    <t>Parcial</t>
  </si>
  <si>
    <t>bls</t>
  </si>
  <si>
    <t>Fierro de 1/2´</t>
  </si>
  <si>
    <t>Fierro de 1/4´</t>
  </si>
  <si>
    <t>Fierro de 3/8´</t>
  </si>
  <si>
    <t>Fierro de 5/8´</t>
  </si>
  <si>
    <t>Fierro de 3/4´</t>
  </si>
  <si>
    <t>Fierro de 1´</t>
  </si>
  <si>
    <t>Clavos de 1´</t>
  </si>
  <si>
    <t>Clavos de 1 1/2´</t>
  </si>
  <si>
    <t>Clavos de 2´</t>
  </si>
  <si>
    <t>Clavos de 2 1/2´</t>
  </si>
  <si>
    <t>Clavos de 3´</t>
  </si>
  <si>
    <t>Clavos de 3 1/2´</t>
  </si>
  <si>
    <t>Clavos de 4´</t>
  </si>
  <si>
    <t>cj</t>
  </si>
  <si>
    <t>Alambre # 16</t>
  </si>
  <si>
    <t>Alambre # 8</t>
  </si>
  <si>
    <t>rll</t>
  </si>
  <si>
    <t>Tubería PVC, Clase 10 de 1/2´</t>
  </si>
  <si>
    <t>Tubería PVC, Clase 10 de 3/4´</t>
  </si>
  <si>
    <t>Tubería PVC, Clase 10 de 1´</t>
  </si>
  <si>
    <t>Tubería PVC, Clase 10 de 2´</t>
  </si>
  <si>
    <t>PAVCO</t>
  </si>
  <si>
    <t>Marca</t>
  </si>
  <si>
    <t>ACEROS AREQUIPA</t>
  </si>
  <si>
    <t>Tubería PVC, Clase 10 de 1 1/4´</t>
  </si>
  <si>
    <t>Tubería PVC, Clase 10 de 1 1/2´</t>
  </si>
  <si>
    <t>AGUA</t>
  </si>
  <si>
    <t>CONCRETO ARMADO</t>
  </si>
  <si>
    <t>DESAGUE</t>
  </si>
  <si>
    <t>Tubería PVC 2´</t>
  </si>
  <si>
    <t>Tubería PVC 3´</t>
  </si>
  <si>
    <t>Tubería PVC 4´</t>
  </si>
  <si>
    <t>ELECTRICAS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</si>
</sst>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&quot;S/&quot;* #,##0.00_-;\-&quot;S/&quot;* #,##0.00_-;_-&quot;S/&quot;* &quot;-&quot;??_-;_-@_-"/>
    <numFmt numFmtId="165" formatCode="_ * #,##0.00_ ;_ * \-#,##0.00_ ;_ * &quot;-&quot;??_ ;_ @_ "/>
    <numFmt numFmtId="166" formatCode="_(* #,##0.00_);_(* \(#,##0.00\);_(* &quot;-&quot;??_);_(@_)"/>
    <numFmt numFmtId="167" formatCode="_ * #,##0.0_ ;_ * \-#,##0.0_ ;_ * &quot;-&quot;??_ ;_ @_ "/>
    <numFmt numFmtId="168" formatCode="_ * #,##0.000_ ;_ * \-#,##0.000_ ;_ * &quot;-&quot;??_ ;_ @_ "/>
    <numFmt numFmtId="169" formatCode="_(* #,##0.000_);_(* \(#,##0.000\);_(* &quot;-&quot;??_);_(@_)"/>
    <numFmt numFmtId="170" formatCode="#,##0.0_);\(#,##0.0\)"/>
    <numFmt numFmtId="171" formatCode="_([$€-2]\ * #,##0.00_);_([$€-2]\ * \(#,##0.00\);_([$€-2]\ * &quot;-&quot;??_)"/>
    <numFmt numFmtId="172" formatCode="_(* #,##0.0000_);_(* \(#,##0.0000\);_(* &quot;-&quot;??_);_(@_)"/>
    <numFmt numFmtId="173" formatCode="_(* #,##0.00000_);_(* \(#,##0.00000\);_(* &quot;-&quot;??_);_(@_)"/>
    <numFmt numFmtId="174" formatCode="0.00_)"/>
  </numFmts>
  <fonts count="4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 Narrow"/>
      <family val="2"/>
    </font>
    <font>
      <b/>
      <sz val="12"/>
      <name val="Arial"/>
      <family val="2"/>
    </font>
    <font>
      <sz val="10"/>
      <color indexed="10"/>
      <name val="Arial Narrow"/>
      <family val="2"/>
    </font>
    <font>
      <sz val="10"/>
      <color indexed="9"/>
      <name val="Arial Narrow"/>
      <family val="2"/>
    </font>
    <font>
      <b/>
      <sz val="10"/>
      <color indexed="9"/>
      <name val="Arial Narrow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2"/>
      <name val="SWISS"/>
    </font>
    <font>
      <vertAlign val="superscript"/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Helv"/>
    </font>
    <font>
      <sz val="12"/>
      <color theme="1"/>
      <name val="Times New Roman"/>
      <family val="2"/>
    </font>
    <font>
      <b/>
      <sz val="10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0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15" fillId="7" borderId="1" applyNumberFormat="0" applyAlignment="0" applyProtection="0"/>
    <xf numFmtId="171" fontId="2" fillId="0" borderId="0" applyFont="0" applyFill="0" applyBorder="0" applyAlignment="0" applyProtection="0"/>
    <xf numFmtId="0" fontId="16" fillId="3" borderId="0" applyNumberFormat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7" fillId="22" borderId="0" applyNumberFormat="0" applyBorder="0" applyAlignment="0" applyProtection="0"/>
    <xf numFmtId="0" fontId="18" fillId="0" borderId="0"/>
    <xf numFmtId="0" fontId="35" fillId="0" borderId="0"/>
    <xf numFmtId="0" fontId="19" fillId="0" borderId="0"/>
    <xf numFmtId="0" fontId="7" fillId="0" borderId="0"/>
    <xf numFmtId="0" fontId="37" fillId="0" borderId="0"/>
    <xf numFmtId="0" fontId="2" fillId="0" borderId="0"/>
    <xf numFmtId="0" fontId="9" fillId="23" borderId="4" applyNumberFormat="0" applyFont="0" applyAlignment="0" applyProtection="0"/>
    <xf numFmtId="0" fontId="20" fillId="16" borderId="5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14" fillId="0" borderId="7" applyNumberFormat="0" applyFill="0" applyAlignment="0" applyProtection="0"/>
    <xf numFmtId="0" fontId="25" fillId="0" borderId="8" applyNumberFormat="0" applyFill="0" applyAlignment="0" applyProtection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165" fontId="39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>
      <alignment vertical="center"/>
    </xf>
    <xf numFmtId="0" fontId="7" fillId="0" borderId="0"/>
    <xf numFmtId="174" fontId="38" fillId="0" borderId="0"/>
    <xf numFmtId="0" fontId="39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>
      <alignment vertical="center"/>
    </xf>
  </cellStyleXfs>
  <cellXfs count="211">
    <xf numFmtId="0" fontId="0" fillId="0" borderId="0" xfId="0"/>
    <xf numFmtId="0" fontId="0" fillId="0" borderId="0" xfId="0" applyAlignment="1"/>
    <xf numFmtId="167" fontId="0" fillId="0" borderId="0" xfId="0" applyNumberForma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0" fontId="3" fillId="0" borderId="11" xfId="0" applyFont="1" applyBorder="1" applyAlignment="1"/>
    <xf numFmtId="0" fontId="3" fillId="0" borderId="9" xfId="0" applyFont="1" applyBorder="1" applyAlignment="1">
      <alignment horizontal="centerContinuous"/>
    </xf>
    <xf numFmtId="0" fontId="3" fillId="0" borderId="10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Fill="1" applyBorder="1" applyAlignme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5" fontId="5" fillId="0" borderId="14" xfId="32" applyFont="1" applyBorder="1"/>
    <xf numFmtId="165" fontId="5" fillId="0" borderId="14" xfId="32" applyFont="1" applyBorder="1" applyAlignment="1"/>
    <xf numFmtId="165" fontId="5" fillId="0" borderId="14" xfId="32" applyFont="1" applyFill="1" applyBorder="1"/>
    <xf numFmtId="167" fontId="5" fillId="0" borderId="15" xfId="32" applyNumberFormat="1" applyFont="1" applyBorder="1"/>
    <xf numFmtId="165" fontId="5" fillId="0" borderId="15" xfId="32" applyFont="1" applyBorder="1" applyAlignment="1"/>
    <xf numFmtId="165" fontId="5" fillId="0" borderId="15" xfId="32" applyFont="1" applyBorder="1"/>
    <xf numFmtId="167" fontId="5" fillId="0" borderId="15" xfId="32" applyNumberFormat="1" applyFont="1" applyFill="1" applyBorder="1"/>
    <xf numFmtId="165" fontId="5" fillId="0" borderId="15" xfId="32" applyFont="1" applyFill="1" applyBorder="1"/>
    <xf numFmtId="0" fontId="0" fillId="0" borderId="0" xfId="0" applyAlignment="1">
      <alignment horizontal="center"/>
    </xf>
    <xf numFmtId="165" fontId="5" fillId="0" borderId="14" xfId="32" applyFont="1" applyBorder="1" applyAlignment="1">
      <alignment horizontal="center"/>
    </xf>
    <xf numFmtId="0" fontId="3" fillId="0" borderId="13" xfId="0" applyFont="1" applyBorder="1" applyAlignment="1">
      <alignment horizontal="centerContinuous"/>
    </xf>
    <xf numFmtId="0" fontId="3" fillId="24" borderId="13" xfId="0" applyFont="1" applyFill="1" applyBorder="1" applyAlignment="1">
      <alignment horizontal="center" wrapText="1"/>
    </xf>
    <xf numFmtId="165" fontId="5" fillId="0" borderId="15" xfId="32" applyFont="1" applyBorder="1" applyProtection="1">
      <protection locked="0" hidden="1"/>
    </xf>
    <xf numFmtId="167" fontId="5" fillId="0" borderId="15" xfId="32" applyNumberFormat="1" applyFont="1" applyBorder="1" applyProtection="1">
      <protection locked="0" hidden="1"/>
    </xf>
    <xf numFmtId="165" fontId="5" fillId="0" borderId="14" xfId="32" applyFont="1" applyBorder="1" applyProtection="1">
      <protection locked="0" hidden="1"/>
    </xf>
    <xf numFmtId="165" fontId="5" fillId="0" borderId="15" xfId="32" applyFont="1" applyBorder="1" applyAlignment="1" applyProtection="1">
      <protection locked="0" hidden="1"/>
    </xf>
    <xf numFmtId="165" fontId="5" fillId="0" borderId="16" xfId="32" applyFont="1" applyBorder="1" applyProtection="1">
      <protection locked="0" hidden="1"/>
    </xf>
    <xf numFmtId="0" fontId="0" fillId="0" borderId="0" xfId="0" applyProtection="1">
      <protection locked="0" hidden="1"/>
    </xf>
    <xf numFmtId="167" fontId="5" fillId="0" borderId="15" xfId="32" applyNumberFormat="1" applyFont="1" applyFill="1" applyBorder="1" applyProtection="1">
      <protection locked="0" hidden="1"/>
    </xf>
    <xf numFmtId="0" fontId="2" fillId="0" borderId="0" xfId="0" applyFont="1" applyFill="1"/>
    <xf numFmtId="0" fontId="7" fillId="0" borderId="0" xfId="0" applyFont="1" applyFill="1"/>
    <xf numFmtId="165" fontId="5" fillId="0" borderId="14" xfId="32" applyFont="1" applyFill="1" applyBorder="1" applyAlignment="1">
      <alignment horizontal="center"/>
    </xf>
    <xf numFmtId="0" fontId="8" fillId="0" borderId="0" xfId="0" applyFont="1"/>
    <xf numFmtId="165" fontId="5" fillId="0" borderId="16" xfId="32" applyFont="1" applyFill="1" applyBorder="1" applyProtection="1">
      <protection locked="0" hidden="1"/>
    </xf>
    <xf numFmtId="165" fontId="3" fillId="0" borderId="15" xfId="32" applyFont="1" applyFill="1" applyBorder="1"/>
    <xf numFmtId="0" fontId="4" fillId="0" borderId="17" xfId="0" applyFont="1" applyBorder="1" applyAlignment="1">
      <alignment horizontal="center"/>
    </xf>
    <xf numFmtId="165" fontId="3" fillId="0" borderId="10" xfId="0" applyNumberFormat="1" applyFont="1" applyBorder="1" applyAlignment="1"/>
    <xf numFmtId="4" fontId="3" fillId="0" borderId="10" xfId="0" applyNumberFormat="1" applyFont="1" applyFill="1" applyBorder="1" applyAlignment="1"/>
    <xf numFmtId="0" fontId="3" fillId="0" borderId="17" xfId="0" applyFont="1" applyBorder="1" applyAlignment="1">
      <alignment horizontal="center"/>
    </xf>
    <xf numFmtId="0" fontId="0" fillId="0" borderId="0" xfId="0" applyFill="1"/>
    <xf numFmtId="165" fontId="3" fillId="25" borderId="15" xfId="32" applyFont="1" applyFill="1" applyBorder="1"/>
    <xf numFmtId="165" fontId="3" fillId="26" borderId="15" xfId="32" applyFont="1" applyFill="1" applyBorder="1"/>
    <xf numFmtId="165" fontId="3" fillId="25" borderId="14" xfId="32" applyFont="1" applyFill="1" applyBorder="1" applyAlignment="1"/>
    <xf numFmtId="165" fontId="3" fillId="0" borderId="14" xfId="32" applyFont="1" applyFill="1" applyBorder="1" applyAlignment="1"/>
    <xf numFmtId="165" fontId="5" fillId="0" borderId="15" xfId="32" applyFont="1" applyFill="1" applyBorder="1" applyAlignment="1">
      <alignment horizontal="right" vertical="center"/>
    </xf>
    <xf numFmtId="165" fontId="5" fillId="0" borderId="14" xfId="32" applyFont="1" applyFill="1" applyBorder="1" applyAlignment="1"/>
    <xf numFmtId="2" fontId="5" fillId="0" borderId="15" xfId="32" applyNumberFormat="1" applyFont="1" applyFill="1" applyBorder="1"/>
    <xf numFmtId="165" fontId="3" fillId="27" borderId="15" xfId="32" applyFont="1" applyFill="1" applyBorder="1"/>
    <xf numFmtId="165" fontId="5" fillId="0" borderId="15" xfId="32" applyFont="1" applyBorder="1" applyAlignment="1">
      <alignment horizontal="right" wrapText="1"/>
    </xf>
    <xf numFmtId="0" fontId="0" fillId="25" borderId="0" xfId="0" applyFill="1"/>
    <xf numFmtId="166" fontId="4" fillId="26" borderId="0" xfId="0" applyNumberFormat="1" applyFont="1" applyFill="1"/>
    <xf numFmtId="0" fontId="4" fillId="26" borderId="0" xfId="0" applyFont="1" applyFill="1"/>
    <xf numFmtId="165" fontId="5" fillId="0" borderId="18" xfId="32" applyFont="1" applyFill="1" applyBorder="1" applyAlignment="1">
      <alignment horizontal="right"/>
    </xf>
    <xf numFmtId="166" fontId="3" fillId="0" borderId="10" xfId="0" applyNumberFormat="1" applyFont="1" applyBorder="1" applyAlignment="1"/>
    <xf numFmtId="4" fontId="3" fillId="0" borderId="9" xfId="0" applyNumberFormat="1" applyFont="1" applyBorder="1" applyAlignment="1"/>
    <xf numFmtId="165" fontId="28" fillId="0" borderId="15" xfId="32" applyFont="1" applyBorder="1" applyAlignment="1">
      <alignment horizontal="right"/>
    </xf>
    <xf numFmtId="165" fontId="5" fillId="0" borderId="15" xfId="32" applyFont="1" applyBorder="1" applyAlignment="1">
      <alignment horizontal="right"/>
    </xf>
    <xf numFmtId="167" fontId="5" fillId="0" borderId="14" xfId="32" applyNumberFormat="1" applyFont="1" applyFill="1" applyBorder="1"/>
    <xf numFmtId="165" fontId="5" fillId="25" borderId="14" xfId="32" applyFont="1" applyFill="1" applyBorder="1" applyAlignment="1"/>
    <xf numFmtId="165" fontId="5" fillId="25" borderId="15" xfId="32" applyFont="1" applyFill="1" applyBorder="1"/>
    <xf numFmtId="2" fontId="5" fillId="25" borderId="15" xfId="32" applyNumberFormat="1" applyFont="1" applyFill="1" applyBorder="1"/>
    <xf numFmtId="165" fontId="5" fillId="25" borderId="15" xfId="32" applyFont="1" applyFill="1" applyBorder="1" applyAlignment="1">
      <alignment horizontal="right" wrapText="1"/>
    </xf>
    <xf numFmtId="165" fontId="5" fillId="25" borderId="14" xfId="32" applyFont="1" applyFill="1" applyBorder="1" applyAlignment="1">
      <alignment horizontal="center"/>
    </xf>
    <xf numFmtId="165" fontId="5" fillId="25" borderId="14" xfId="32" applyFont="1" applyFill="1" applyBorder="1"/>
    <xf numFmtId="0" fontId="26" fillId="0" borderId="9" xfId="0" applyFont="1" applyBorder="1" applyAlignment="1">
      <alignment horizontal="centerContinuous"/>
    </xf>
    <xf numFmtId="165" fontId="3" fillId="24" borderId="15" xfId="32" applyFont="1" applyFill="1" applyBorder="1"/>
    <xf numFmtId="165" fontId="5" fillId="0" borderId="15" xfId="32" applyFont="1" applyBorder="1" applyAlignment="1">
      <alignment wrapText="1"/>
    </xf>
    <xf numFmtId="2" fontId="5" fillId="27" borderId="15" xfId="32" applyNumberFormat="1" applyFont="1" applyFill="1" applyBorder="1"/>
    <xf numFmtId="165" fontId="5" fillId="27" borderId="14" xfId="32" applyFont="1" applyFill="1" applyBorder="1" applyAlignment="1"/>
    <xf numFmtId="165" fontId="5" fillId="27" borderId="14" xfId="32" applyFont="1" applyFill="1" applyBorder="1"/>
    <xf numFmtId="0" fontId="3" fillId="0" borderId="19" xfId="0" applyFont="1" applyBorder="1" applyAlignment="1"/>
    <xf numFmtId="0" fontId="3" fillId="0" borderId="20" xfId="0" applyFont="1" applyBorder="1" applyAlignment="1"/>
    <xf numFmtId="0" fontId="3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0" fillId="0" borderId="20" xfId="0" applyBorder="1"/>
    <xf numFmtId="0" fontId="3" fillId="0" borderId="21" xfId="0" applyFont="1" applyBorder="1" applyAlignment="1"/>
    <xf numFmtId="0" fontId="3" fillId="0" borderId="10" xfId="0" applyFont="1" applyBorder="1" applyAlignment="1">
      <alignment horizontal="left"/>
    </xf>
    <xf numFmtId="0" fontId="5" fillId="0" borderId="10" xfId="0" applyFont="1" applyBorder="1" applyAlignment="1"/>
    <xf numFmtId="14" fontId="5" fillId="0" borderId="22" xfId="0" applyNumberFormat="1" applyFont="1" applyBorder="1" applyAlignment="1"/>
    <xf numFmtId="0" fontId="3" fillId="0" borderId="23" xfId="0" applyFont="1" applyBorder="1" applyAlignment="1">
      <alignment horizontal="centerContinuous"/>
    </xf>
    <xf numFmtId="0" fontId="3" fillId="0" borderId="24" xfId="0" applyFont="1" applyBorder="1" applyAlignment="1">
      <alignment horizontal="centerContinuous"/>
    </xf>
    <xf numFmtId="0" fontId="3" fillId="0" borderId="25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3" fillId="0" borderId="27" xfId="0" applyFont="1" applyBorder="1" applyAlignment="1">
      <alignment horizontal="centerContinuous" vertical="center" wrapText="1"/>
    </xf>
    <xf numFmtId="0" fontId="3" fillId="0" borderId="28" xfId="0" applyFont="1" applyBorder="1" applyAlignment="1">
      <alignment horizontal="centerContinuous" vertical="center" wrapText="1"/>
    </xf>
    <xf numFmtId="0" fontId="3" fillId="0" borderId="29" xfId="0" applyFont="1" applyBorder="1" applyAlignment="1">
      <alignment horizontal="centerContinuous" vertical="center" wrapText="1"/>
    </xf>
    <xf numFmtId="0" fontId="3" fillId="0" borderId="30" xfId="0" applyFont="1" applyBorder="1" applyAlignment="1">
      <alignment horizontal="center"/>
    </xf>
    <xf numFmtId="166" fontId="29" fillId="28" borderId="15" xfId="33" applyFont="1" applyFill="1" applyBorder="1" applyAlignment="1">
      <alignment horizontal="center"/>
    </xf>
    <xf numFmtId="166" fontId="30" fillId="28" borderId="15" xfId="33" applyFont="1" applyFill="1" applyBorder="1" applyAlignment="1">
      <alignment horizontal="left"/>
    </xf>
    <xf numFmtId="166" fontId="29" fillId="28" borderId="15" xfId="33" applyFont="1" applyFill="1" applyBorder="1"/>
    <xf numFmtId="166" fontId="29" fillId="28" borderId="14" xfId="33" applyFont="1" applyFill="1" applyBorder="1"/>
    <xf numFmtId="166" fontId="30" fillId="28" borderId="14" xfId="33" applyFont="1" applyFill="1" applyBorder="1" applyAlignment="1"/>
    <xf numFmtId="170" fontId="5" fillId="0" borderId="15" xfId="33" applyNumberFormat="1" applyFont="1" applyFill="1" applyBorder="1" applyAlignment="1">
      <alignment horizontal="center"/>
    </xf>
    <xf numFmtId="166" fontId="5" fillId="0" borderId="15" xfId="33" applyFont="1" applyBorder="1" applyAlignment="1">
      <alignment horizontal="center"/>
    </xf>
    <xf numFmtId="166" fontId="5" fillId="0" borderId="15" xfId="33" applyFont="1" applyBorder="1"/>
    <xf numFmtId="169" fontId="5" fillId="0" borderId="15" xfId="33" applyNumberFormat="1" applyFont="1" applyBorder="1"/>
    <xf numFmtId="169" fontId="5" fillId="0" borderId="14" xfId="33" applyNumberFormat="1" applyFont="1" applyFill="1" applyBorder="1"/>
    <xf numFmtId="166" fontId="5" fillId="0" borderId="14" xfId="33" applyFont="1" applyFill="1" applyBorder="1"/>
    <xf numFmtId="166" fontId="5" fillId="0" borderId="14" xfId="33" applyFont="1" applyBorder="1" applyAlignment="1"/>
    <xf numFmtId="166" fontId="5" fillId="0" borderId="31" xfId="33" applyFont="1" applyBorder="1" applyAlignment="1">
      <alignment horizontal="left"/>
    </xf>
    <xf numFmtId="166" fontId="5" fillId="0" borderId="32" xfId="33" applyFont="1" applyBorder="1" applyAlignment="1">
      <alignment horizontal="left"/>
    </xf>
    <xf numFmtId="166" fontId="5" fillId="0" borderId="33" xfId="33" applyFont="1" applyBorder="1" applyAlignment="1">
      <alignment horizontal="left"/>
    </xf>
    <xf numFmtId="166" fontId="30" fillId="28" borderId="31" xfId="33" applyFont="1" applyFill="1" applyBorder="1" applyAlignment="1">
      <alignment horizontal="left"/>
    </xf>
    <xf numFmtId="166" fontId="30" fillId="28" borderId="32" xfId="33" applyFont="1" applyFill="1" applyBorder="1" applyAlignment="1">
      <alignment horizontal="left"/>
    </xf>
    <xf numFmtId="166" fontId="30" fillId="28" borderId="33" xfId="33" applyFont="1" applyFill="1" applyBorder="1" applyAlignment="1">
      <alignment horizontal="left"/>
    </xf>
    <xf numFmtId="166" fontId="5" fillId="0" borderId="15" xfId="33" applyFont="1" applyFill="1" applyBorder="1"/>
    <xf numFmtId="168" fontId="5" fillId="0" borderId="14" xfId="33" applyNumberFormat="1" applyFont="1" applyFill="1" applyBorder="1"/>
    <xf numFmtId="9" fontId="5" fillId="0" borderId="15" xfId="33" applyNumberFormat="1" applyFont="1" applyBorder="1"/>
    <xf numFmtId="166" fontId="29" fillId="28" borderId="13" xfId="33" applyFont="1" applyFill="1" applyBorder="1"/>
    <xf numFmtId="166" fontId="30" fillId="28" borderId="13" xfId="33" applyFont="1" applyFill="1" applyBorder="1" applyAlignment="1">
      <alignment horizontal="left"/>
    </xf>
    <xf numFmtId="168" fontId="29" fillId="28" borderId="13" xfId="33" applyNumberFormat="1" applyFont="1" applyFill="1" applyBorder="1"/>
    <xf numFmtId="166" fontId="30" fillId="28" borderId="13" xfId="33" applyFont="1" applyFill="1" applyBorder="1" applyAlignment="1"/>
    <xf numFmtId="166" fontId="5" fillId="0" borderId="0" xfId="33" applyFont="1" applyFill="1" applyBorder="1"/>
    <xf numFmtId="166" fontId="5" fillId="0" borderId="0" xfId="33" applyFont="1" applyFill="1" applyBorder="1" applyAlignment="1">
      <alignment horizontal="center"/>
    </xf>
    <xf numFmtId="166" fontId="5" fillId="0" borderId="0" xfId="33" applyFont="1" applyBorder="1" applyAlignment="1">
      <alignment horizontal="left"/>
    </xf>
    <xf numFmtId="166" fontId="5" fillId="0" borderId="0" xfId="33" applyFont="1" applyBorder="1"/>
    <xf numFmtId="168" fontId="5" fillId="0" borderId="0" xfId="33" applyNumberFormat="1" applyFont="1" applyFill="1" applyBorder="1"/>
    <xf numFmtId="166" fontId="5" fillId="0" borderId="0" xfId="33" applyFont="1" applyBorder="1" applyAlignment="1"/>
    <xf numFmtId="0" fontId="31" fillId="28" borderId="13" xfId="0" applyFont="1" applyFill="1" applyBorder="1" applyAlignment="1">
      <alignment horizontal="center" vertical="center" wrapText="1"/>
    </xf>
    <xf numFmtId="0" fontId="31" fillId="28" borderId="13" xfId="0" applyFont="1" applyFill="1" applyBorder="1" applyAlignment="1">
      <alignment horizontal="centerContinuous" vertical="center" wrapText="1"/>
    </xf>
    <xf numFmtId="0" fontId="31" fillId="28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2" fillId="0" borderId="9" xfId="40" applyFont="1" applyFill="1" applyBorder="1" applyAlignment="1">
      <alignment horizontal="left" vertical="center" readingOrder="1"/>
    </xf>
    <xf numFmtId="4" fontId="32" fillId="0" borderId="10" xfId="0" applyNumberFormat="1" applyFont="1" applyFill="1" applyBorder="1" applyAlignment="1">
      <alignment horizontal="right" vertical="center"/>
    </xf>
    <xf numFmtId="4" fontId="32" fillId="0" borderId="11" xfId="0" applyNumberFormat="1" applyFont="1" applyFill="1" applyBorder="1" applyAlignment="1">
      <alignment horizontal="left" vertical="center"/>
    </xf>
    <xf numFmtId="166" fontId="32" fillId="0" borderId="13" xfId="0" applyNumberFormat="1" applyFont="1" applyFill="1" applyBorder="1" applyAlignment="1">
      <alignment horizontal="center" vertical="center"/>
    </xf>
    <xf numFmtId="0" fontId="33" fillId="0" borderId="13" xfId="40" applyFont="1" applyFill="1" applyBorder="1" applyAlignment="1">
      <alignment horizontal="center" vertical="center"/>
    </xf>
    <xf numFmtId="169" fontId="5" fillId="0" borderId="0" xfId="33" applyNumberFormat="1" applyFont="1" applyBorder="1"/>
    <xf numFmtId="173" fontId="5" fillId="0" borderId="0" xfId="33" applyNumberFormat="1" applyFont="1" applyBorder="1"/>
    <xf numFmtId="172" fontId="5" fillId="0" borderId="0" xfId="33" applyNumberFormat="1" applyFont="1" applyBorder="1"/>
    <xf numFmtId="0" fontId="0" fillId="0" borderId="13" xfId="0" applyFill="1" applyBorder="1" applyAlignment="1">
      <alignment horizontal="center" vertical="center"/>
    </xf>
    <xf numFmtId="4" fontId="32" fillId="0" borderId="10" xfId="0" applyNumberFormat="1" applyFont="1" applyFill="1" applyBorder="1" applyAlignment="1">
      <alignment horizontal="centerContinuous" vertical="center" wrapText="1"/>
    </xf>
    <xf numFmtId="4" fontId="32" fillId="0" borderId="11" xfId="0" applyNumberFormat="1" applyFont="1" applyFill="1" applyBorder="1" applyAlignment="1">
      <alignment horizontal="centerContinuous" vertical="center" wrapText="1"/>
    </xf>
    <xf numFmtId="166" fontId="0" fillId="0" borderId="0" xfId="0" applyNumberFormat="1"/>
    <xf numFmtId="0" fontId="0" fillId="0" borderId="0" xfId="0" applyAlignment="1">
      <alignment horizontal="left"/>
    </xf>
    <xf numFmtId="166" fontId="5" fillId="27" borderId="14" xfId="33" applyFont="1" applyFill="1" applyBorder="1"/>
    <xf numFmtId="169" fontId="5" fillId="0" borderId="15" xfId="33" applyNumberFormat="1" applyFont="1" applyFill="1" applyBorder="1"/>
    <xf numFmtId="166" fontId="5" fillId="0" borderId="31" xfId="33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4" fontId="3" fillId="0" borderId="34" xfId="0" applyNumberFormat="1" applyFont="1" applyBorder="1" applyAlignment="1"/>
    <xf numFmtId="165" fontId="3" fillId="0" borderId="31" xfId="32" applyFont="1" applyFill="1" applyBorder="1"/>
    <xf numFmtId="166" fontId="5" fillId="27" borderId="14" xfId="33" applyNumberFormat="1" applyFont="1" applyFill="1" applyBorder="1"/>
    <xf numFmtId="165" fontId="5" fillId="0" borderId="15" xfId="32" applyFont="1" applyFill="1" applyBorder="1" applyProtection="1">
      <protection locked="0" hidden="1"/>
    </xf>
    <xf numFmtId="166" fontId="5" fillId="29" borderId="14" xfId="33" applyFont="1" applyFill="1" applyBorder="1"/>
    <xf numFmtId="0" fontId="34" fillId="0" borderId="0" xfId="36" applyFont="1" applyProtection="1">
      <protection hidden="1"/>
    </xf>
    <xf numFmtId="0" fontId="34" fillId="0" borderId="13" xfId="36" applyFont="1" applyBorder="1" applyProtection="1">
      <protection hidden="1"/>
    </xf>
    <xf numFmtId="0" fontId="34" fillId="0" borderId="13" xfId="36" applyFont="1" applyBorder="1" applyAlignment="1" applyProtection="1">
      <alignment wrapText="1"/>
      <protection hidden="1"/>
    </xf>
    <xf numFmtId="0" fontId="34" fillId="0" borderId="13" xfId="36" applyFont="1" applyBorder="1" applyAlignment="1" applyProtection="1">
      <alignment horizontal="center" wrapText="1"/>
      <protection hidden="1"/>
    </xf>
    <xf numFmtId="0" fontId="34" fillId="0" borderId="13" xfId="36" applyFont="1" applyBorder="1" applyAlignment="1" applyProtection="1">
      <alignment horizontal="center" vertical="center" wrapText="1"/>
      <protection hidden="1"/>
    </xf>
    <xf numFmtId="165" fontId="3" fillId="0" borderId="14" xfId="32" applyFont="1" applyFill="1" applyBorder="1" applyAlignment="1">
      <alignment horizontal="center"/>
    </xf>
    <xf numFmtId="0" fontId="4" fillId="0" borderId="0" xfId="0" applyFont="1" applyFill="1"/>
    <xf numFmtId="166" fontId="4" fillId="0" borderId="0" xfId="0" applyNumberFormat="1" applyFont="1" applyFill="1"/>
    <xf numFmtId="165" fontId="5" fillId="0" borderId="15" xfId="32" applyFont="1" applyFill="1" applyBorder="1" applyAlignment="1">
      <alignment horizontal="right" wrapText="1"/>
    </xf>
    <xf numFmtId="165" fontId="5" fillId="29" borderId="15" xfId="32" applyFont="1" applyFill="1" applyBorder="1" applyAlignment="1">
      <alignment horizontal="right" vertical="center"/>
    </xf>
    <xf numFmtId="2" fontId="5" fillId="29" borderId="15" xfId="32" applyNumberFormat="1" applyFont="1" applyFill="1" applyBorder="1"/>
    <xf numFmtId="165" fontId="5" fillId="29" borderId="14" xfId="32" applyFont="1" applyFill="1" applyBorder="1"/>
    <xf numFmtId="4" fontId="3" fillId="0" borderId="9" xfId="0" applyNumberFormat="1" applyFont="1" applyFill="1" applyBorder="1" applyAlignment="1"/>
    <xf numFmtId="165" fontId="0" fillId="0" borderId="0" xfId="0" applyNumberFormat="1"/>
    <xf numFmtId="165" fontId="0" fillId="0" borderId="0" xfId="0" applyNumberFormat="1" applyAlignment="1"/>
    <xf numFmtId="0" fontId="7" fillId="30" borderId="35" xfId="0" applyFont="1" applyFill="1" applyBorder="1" applyAlignment="1">
      <alignment vertical="center"/>
    </xf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7" fillId="0" borderId="13" xfId="0" applyFont="1" applyBorder="1"/>
    <xf numFmtId="0" fontId="7" fillId="30" borderId="13" xfId="0" applyFont="1" applyFill="1" applyBorder="1" applyAlignment="1">
      <alignment vertical="center"/>
    </xf>
    <xf numFmtId="0" fontId="40" fillId="0" borderId="13" xfId="0" applyFont="1" applyBorder="1"/>
    <xf numFmtId="0" fontId="40" fillId="0" borderId="13" xfId="0" applyFont="1" applyBorder="1" applyAlignment="1">
      <alignment horizontal="left"/>
    </xf>
    <xf numFmtId="0" fontId="40" fillId="30" borderId="3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165" fontId="26" fillId="27" borderId="18" xfId="32" applyFont="1" applyFill="1" applyBorder="1" applyAlignment="1">
      <alignment horizontal="left" vertical="center" wrapText="1"/>
    </xf>
    <xf numFmtId="165" fontId="26" fillId="27" borderId="39" xfId="32" applyFont="1" applyFill="1" applyBorder="1" applyAlignment="1">
      <alignment horizontal="left" vertical="center" wrapText="1"/>
    </xf>
    <xf numFmtId="165" fontId="26" fillId="27" borderId="40" xfId="32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2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27" fillId="27" borderId="39" xfId="0" applyFont="1" applyFill="1" applyBorder="1" applyAlignment="1">
      <alignment horizontal="left" vertical="center" wrapText="1"/>
    </xf>
    <xf numFmtId="0" fontId="4" fillId="27" borderId="39" xfId="0" applyFont="1" applyFill="1" applyBorder="1" applyAlignment="1">
      <alignment horizontal="left" vertical="center" wrapText="1"/>
    </xf>
    <xf numFmtId="0" fontId="4" fillId="27" borderId="40" xfId="0" applyFont="1" applyFill="1" applyBorder="1" applyAlignment="1">
      <alignment horizontal="left" vertical="center" wrapText="1"/>
    </xf>
    <xf numFmtId="166" fontId="5" fillId="0" borderId="18" xfId="33" applyFont="1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3" fillId="0" borderId="41" xfId="0" applyFont="1" applyBorder="1" applyAlignment="1"/>
    <xf numFmtId="0" fontId="3" fillId="0" borderId="24" xfId="0" applyFont="1" applyBorder="1" applyAlignment="1"/>
    <xf numFmtId="0" fontId="3" fillId="0" borderId="42" xfId="0" applyFont="1" applyBorder="1" applyAlignment="1"/>
    <xf numFmtId="0" fontId="3" fillId="0" borderId="3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66" fontId="5" fillId="0" borderId="18" xfId="33" applyFont="1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5" xfId="0" applyFont="1" applyBorder="1" applyAlignment="1">
      <alignment horizontal="center"/>
    </xf>
  </cellXfs>
  <cellStyles count="6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uro" xfId="30" xr:uid="{00000000-0005-0000-0000-00001D000000}"/>
    <cellStyle name="Incorrecto" xfId="31" builtinId="27" customBuiltin="1"/>
    <cellStyle name="Millares" xfId="32" builtinId="3"/>
    <cellStyle name="Millares 2" xfId="52" xr:uid="{08069796-6B23-407B-9745-8A9A45D9C1F6}"/>
    <cellStyle name="Millares 2 2" xfId="53" xr:uid="{E4AFC849-2063-45D6-8DAB-6F5048EC4149}"/>
    <cellStyle name="Millares 3" xfId="54" xr:uid="{CB7ABC20-EE8E-4A34-874C-3ED193E8EF59}"/>
    <cellStyle name="Millares_ESTRUCTURAS METALICAS-piperack2" xfId="33" xr:uid="{00000000-0005-0000-0000-000020000000}"/>
    <cellStyle name="Moneda 2" xfId="60" xr:uid="{61C62039-D41D-4DAC-BB27-060D4AF317B1}"/>
    <cellStyle name="Neutral" xfId="34" builtinId="28" customBuiltin="1"/>
    <cellStyle name="Normal" xfId="0" builtinId="0"/>
    <cellStyle name="Normal 2" xfId="35" xr:uid="{00000000-0005-0000-0000-000024000000}"/>
    <cellStyle name="Normal 2 2" xfId="36" xr:uid="{00000000-0005-0000-0000-000025000000}"/>
    <cellStyle name="Normal 2 2 2" xfId="56" xr:uid="{732F8159-6B09-4E03-A81A-4C8125CEBE0E}"/>
    <cellStyle name="Normal 2 3" xfId="57" xr:uid="{EC1CCF19-27B4-48A1-98D9-629969C4F592}"/>
    <cellStyle name="Normal 2 4" xfId="55" xr:uid="{38BF29A5-D0D1-40F0-9785-CAB182B5E1B2}"/>
    <cellStyle name="Normal 3" xfId="37" xr:uid="{00000000-0005-0000-0000-000026000000}"/>
    <cellStyle name="Normal 3 2" xfId="38" xr:uid="{00000000-0005-0000-0000-000027000000}"/>
    <cellStyle name="Normal 3 3" xfId="58" xr:uid="{E67CE833-BE1A-44BE-BF4A-2757B1B749BE}"/>
    <cellStyle name="Normal 4" xfId="39" xr:uid="{00000000-0005-0000-0000-000028000000}"/>
    <cellStyle name="Normal 4 2" xfId="59" xr:uid="{D9BEE488-7D48-47F1-B96D-6717B9F76DEC}"/>
    <cellStyle name="Normal 5" xfId="51" xr:uid="{E005E624-1D0D-467C-8314-A735D6052EFF}"/>
    <cellStyle name="Normal 5 2" xfId="61" xr:uid="{E675D87A-CA24-47D9-BA68-90B4CEFCEF82}"/>
    <cellStyle name="Normal 6" xfId="49" xr:uid="{4DD1F5AB-DF6A-4C14-B66F-6202BF518B19}"/>
    <cellStyle name="Normal 9" xfId="50" xr:uid="{E022CD8F-AA4A-4840-8F31-DA24CB377A6F}"/>
    <cellStyle name="Normal_0792 Reunión Inicio rev.0" xfId="40" xr:uid="{00000000-0005-0000-0000-000029000000}"/>
    <cellStyle name="Notas" xfId="41" builtinId="10" customBuiltin="1"/>
    <cellStyle name="Salida" xfId="42" builtinId="21" customBuiltin="1"/>
    <cellStyle name="Texto de advertencia" xfId="43" builtinId="11" customBuiltin="1"/>
    <cellStyle name="Texto explicativo" xfId="44" builtinId="53" customBuiltin="1"/>
    <cellStyle name="Título" xfId="45" builtinId="15" customBuiltin="1"/>
    <cellStyle name="Título 2" xfId="46" builtinId="17" customBuiltin="1"/>
    <cellStyle name="Título 3" xfId="47" builtinId="18" customBuiltin="1"/>
    <cellStyle name="Total" xfId="4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Trabajos\INTER\nuevo%20presupuest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vicente\AppData\Local\Microsoft\Windows\Temporary%20Internet%20Files\Content.Outlook\4O2SBIZH\2122-Metrad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T0039-Toromocho_Balanza\Metrados\Presupuestos\FORMATO%20PRESUPUES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T0039-Toromocho_Balanza\Metrados\Presupuestos\P%20Adicionales%202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Trabajos\ORCOPAMPA\presupuestos\PresupAdicion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T0039-Toromocho_Balanza\Metrados\Presupuestos\Metaleras%20%2011%20m%20%20cerr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Viguetas 36 REAL"/>
      <sheetName val="Hoja1"/>
      <sheetName val="Partidas"/>
      <sheetName val="Viguetas 24"/>
      <sheetName val="Viguetas 36"/>
      <sheetName val="Perfil H"/>
      <sheetName val="H"/>
      <sheetName val="Hoja2"/>
    </sheetNames>
    <sheetDataSet>
      <sheetData sheetId="0">
        <row r="20">
          <cell r="K20">
            <v>40.428571428571423</v>
          </cell>
        </row>
        <row r="30">
          <cell r="K30">
            <v>60</v>
          </cell>
        </row>
        <row r="41">
          <cell r="K41">
            <v>1463.0769230769229</v>
          </cell>
        </row>
        <row r="51">
          <cell r="K51">
            <v>1463.0769230769229</v>
          </cell>
        </row>
        <row r="62">
          <cell r="K62">
            <v>2512.0571826280625</v>
          </cell>
        </row>
        <row r="72">
          <cell r="K72">
            <v>4427.5</v>
          </cell>
        </row>
        <row r="83">
          <cell r="K83">
            <v>2399.04</v>
          </cell>
        </row>
        <row r="93">
          <cell r="K93">
            <v>1851.48</v>
          </cell>
        </row>
        <row r="109">
          <cell r="K109">
            <v>612</v>
          </cell>
        </row>
        <row r="119">
          <cell r="K119">
            <v>1434.8</v>
          </cell>
        </row>
        <row r="130">
          <cell r="K130">
            <v>0</v>
          </cell>
        </row>
        <row r="143">
          <cell r="K143">
            <v>1200.6000000000001</v>
          </cell>
        </row>
        <row r="153">
          <cell r="K153">
            <v>1600.8</v>
          </cell>
        </row>
      </sheetData>
      <sheetData sheetId="1">
        <row r="24">
          <cell r="I24">
            <v>4025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">
          <cell r="G2">
            <v>25.4</v>
          </cell>
          <cell r="K2">
            <v>7.8499999999999994E-6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Metrado"/>
      <sheetName val="Datos"/>
    </sheetNames>
    <sheetDataSet>
      <sheetData sheetId="0"/>
      <sheetData sheetId="1"/>
      <sheetData sheetId="2" refreshError="1">
        <row r="2">
          <cell r="B2" t="str">
            <v>Elija un area</v>
          </cell>
          <cell r="D2" t="str">
            <v>Elija Unidad</v>
          </cell>
        </row>
        <row r="3">
          <cell r="B3" t="str">
            <v>GENERAL</v>
          </cell>
          <cell r="D3" t="str">
            <v>m</v>
          </cell>
        </row>
        <row r="4">
          <cell r="B4" t="str">
            <v>AREA01</v>
          </cell>
          <cell r="D4" t="str">
            <v>kg</v>
          </cell>
        </row>
        <row r="5">
          <cell r="B5" t="str">
            <v>AREA02</v>
          </cell>
          <cell r="D5" t="str">
            <v>s</v>
          </cell>
        </row>
        <row r="6">
          <cell r="B6" t="str">
            <v>AREA03</v>
          </cell>
          <cell r="D6" t="str">
            <v>m2</v>
          </cell>
        </row>
        <row r="7">
          <cell r="D7" t="str">
            <v>m3</v>
          </cell>
        </row>
        <row r="8">
          <cell r="D8" t="str">
            <v>kg/m3</v>
          </cell>
        </row>
        <row r="9">
          <cell r="D9" t="str">
            <v>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A1"/>
      <sheetName val="Pesos"/>
    </sheetNames>
    <sheetDataSet>
      <sheetData sheetId="0" refreshError="1"/>
      <sheetData sheetId="1" refreshError="1"/>
      <sheetData sheetId="2" refreshError="1">
        <row r="4">
          <cell r="A4" t="str">
            <v>A1001</v>
          </cell>
          <cell r="B4" t="str">
            <v>ANG 2 X 2 X 1/4</v>
          </cell>
          <cell r="C4">
            <v>28.481999999999999</v>
          </cell>
          <cell r="D4">
            <v>4.7469999999999999</v>
          </cell>
          <cell r="E4">
            <v>6000</v>
          </cell>
        </row>
        <row r="5">
          <cell r="A5" t="str">
            <v>A1002</v>
          </cell>
          <cell r="B5" t="str">
            <v>ANG 2 X 2 X 3/16</v>
          </cell>
          <cell r="C5">
            <v>21.786000000000001</v>
          </cell>
          <cell r="D5">
            <v>3.6309999999999998</v>
          </cell>
          <cell r="E5">
            <v>6000</v>
          </cell>
        </row>
        <row r="6">
          <cell r="A6" t="str">
            <v>A1004</v>
          </cell>
          <cell r="B6" t="str">
            <v>Ang 3  x  3  x 1/4</v>
          </cell>
          <cell r="C6">
            <v>43.752000000000002</v>
          </cell>
          <cell r="D6">
            <v>7.2919999999999998</v>
          </cell>
          <cell r="E6">
            <v>6000</v>
          </cell>
        </row>
        <row r="7">
          <cell r="A7" t="str">
            <v>B1001</v>
          </cell>
          <cell r="B7" t="str">
            <v>BARRA 1/2</v>
          </cell>
          <cell r="C7">
            <v>5.9640000000000004</v>
          </cell>
          <cell r="D7">
            <v>0.99399999999999999</v>
          </cell>
          <cell r="E7">
            <v>6000</v>
          </cell>
        </row>
        <row r="8">
          <cell r="A8" t="str">
            <v>B1002</v>
          </cell>
          <cell r="B8" t="str">
            <v>BARRA 3/8</v>
          </cell>
          <cell r="C8">
            <v>3.3540000000000005</v>
          </cell>
          <cell r="D8">
            <v>0.55900000000000005</v>
          </cell>
          <cell r="E8">
            <v>6000</v>
          </cell>
        </row>
        <row r="9">
          <cell r="A9" t="str">
            <v>B1003</v>
          </cell>
          <cell r="B9" t="str">
            <v>BARRA 5/8</v>
          </cell>
          <cell r="C9">
            <v>9.3239999999999998</v>
          </cell>
          <cell r="D9">
            <v>1.554</v>
          </cell>
          <cell r="E9">
            <v>6000</v>
          </cell>
        </row>
        <row r="10">
          <cell r="A10" t="str">
            <v>C1001</v>
          </cell>
          <cell r="B10" t="str">
            <v>CANAL C 10 X 15.3</v>
          </cell>
          <cell r="C10">
            <v>138.80591999999999</v>
          </cell>
          <cell r="D10">
            <v>22.77</v>
          </cell>
          <cell r="E10">
            <v>6096</v>
          </cell>
        </row>
        <row r="11">
          <cell r="A11" t="str">
            <v>C1002</v>
          </cell>
          <cell r="B11" t="str">
            <v>CANAL C 10 x 6.5</v>
          </cell>
          <cell r="C11">
            <v>59.07578181818181</v>
          </cell>
          <cell r="D11">
            <v>9.6909090909090896</v>
          </cell>
          <cell r="E11">
            <v>6096</v>
          </cell>
        </row>
        <row r="12">
          <cell r="A12" t="str">
            <v>C1003</v>
          </cell>
          <cell r="B12" t="str">
            <v>CANAL C 4 X 5.4</v>
          </cell>
          <cell r="C12">
            <v>48.950879999999998</v>
          </cell>
          <cell r="D12">
            <v>8.0299999999999994</v>
          </cell>
          <cell r="E12">
            <v>6096</v>
          </cell>
        </row>
        <row r="13">
          <cell r="A13" t="str">
            <v>C1004</v>
          </cell>
          <cell r="B13" t="str">
            <v>CANAL C 6 X 8.2</v>
          </cell>
          <cell r="C13">
            <v>74.371200000000002</v>
          </cell>
          <cell r="D13">
            <v>12.2</v>
          </cell>
          <cell r="E13">
            <v>6096</v>
          </cell>
        </row>
        <row r="14">
          <cell r="A14" t="str">
            <v>C1005</v>
          </cell>
          <cell r="B14" t="str">
            <v>CANAL C 6x 3 x 4.5</v>
          </cell>
          <cell r="D14">
            <v>11.4</v>
          </cell>
          <cell r="E14">
            <v>6096</v>
          </cell>
        </row>
        <row r="15">
          <cell r="A15" t="str">
            <v>C1006</v>
          </cell>
          <cell r="B15" t="str">
            <v>CANAL C 8 x 11.5</v>
          </cell>
          <cell r="C15">
            <v>104.30256</v>
          </cell>
          <cell r="D15">
            <v>17.11</v>
          </cell>
          <cell r="E15">
            <v>6096</v>
          </cell>
        </row>
        <row r="16">
          <cell r="A16" t="str">
            <v>C1007</v>
          </cell>
          <cell r="B16" t="str">
            <v>CANAL C 8x 3 x 4.5</v>
          </cell>
          <cell r="D16">
            <v>13.29</v>
          </cell>
          <cell r="E16">
            <v>6096</v>
          </cell>
        </row>
        <row r="17">
          <cell r="A17" t="str">
            <v>P1001</v>
          </cell>
          <cell r="B17" t="str">
            <v>PLT 1/4  X 4"</v>
          </cell>
          <cell r="C17">
            <v>29.160000000000004</v>
          </cell>
          <cell r="D17">
            <v>4.8600000000000003</v>
          </cell>
          <cell r="E17">
            <v>6000</v>
          </cell>
        </row>
        <row r="18">
          <cell r="A18" t="str">
            <v>P1002</v>
          </cell>
          <cell r="B18" t="str">
            <v>PLT 1/4  X 5"</v>
          </cell>
          <cell r="C18">
            <v>37.979999999999997</v>
          </cell>
          <cell r="D18">
            <v>6.33</v>
          </cell>
          <cell r="E18">
            <v>6000</v>
          </cell>
        </row>
        <row r="19">
          <cell r="A19" t="str">
            <v>P1003</v>
          </cell>
          <cell r="B19" t="str">
            <v>PLT 3/16 x 1  1/4"</v>
          </cell>
          <cell r="C19">
            <v>6.7200000000000006</v>
          </cell>
          <cell r="D19">
            <v>1.1200000000000001</v>
          </cell>
          <cell r="E19">
            <v>6000</v>
          </cell>
        </row>
        <row r="20">
          <cell r="A20" t="str">
            <v>T1001</v>
          </cell>
          <cell r="B20" t="str">
            <v>Tubo 6 x 6 x 4.5</v>
          </cell>
          <cell r="D20">
            <v>22.79</v>
          </cell>
        </row>
        <row r="21">
          <cell r="A21" t="str">
            <v>T1002</v>
          </cell>
          <cell r="B21" t="str">
            <v>Tubo 8 x 6 x 4.5</v>
          </cell>
          <cell r="D21">
            <v>26.62</v>
          </cell>
        </row>
        <row r="22">
          <cell r="A22" t="str">
            <v>T1003</v>
          </cell>
          <cell r="B22" t="str">
            <v>TUBO SCH40 1  1/2</v>
          </cell>
          <cell r="C22">
            <v>25.92</v>
          </cell>
          <cell r="D22">
            <v>4.05</v>
          </cell>
          <cell r="E22">
            <v>6400</v>
          </cell>
        </row>
        <row r="23">
          <cell r="A23" t="str">
            <v>W1001</v>
          </cell>
          <cell r="B23" t="str">
            <v>W 10 x 30</v>
          </cell>
          <cell r="C23">
            <v>405.19799999999998</v>
          </cell>
          <cell r="D23">
            <v>45.021999999999998</v>
          </cell>
          <cell r="E23">
            <v>9000</v>
          </cell>
        </row>
        <row r="24">
          <cell r="A24" t="str">
            <v>W1002</v>
          </cell>
          <cell r="B24" t="str">
            <v>w 10 x 49</v>
          </cell>
          <cell r="C24">
            <v>656.28</v>
          </cell>
          <cell r="D24">
            <v>72.92</v>
          </cell>
          <cell r="E24">
            <v>9000</v>
          </cell>
        </row>
        <row r="25">
          <cell r="A25" t="str">
            <v>W1003</v>
          </cell>
          <cell r="B25" t="str">
            <v>W 8 X 18</v>
          </cell>
          <cell r="C25">
            <v>241.11</v>
          </cell>
          <cell r="D25">
            <v>26.79</v>
          </cell>
          <cell r="E25">
            <v>9000</v>
          </cell>
        </row>
        <row r="26">
          <cell r="A26" t="str">
            <v>W1004</v>
          </cell>
          <cell r="B26" t="str">
            <v>W 8 X24</v>
          </cell>
          <cell r="C26">
            <v>321.48</v>
          </cell>
          <cell r="D26">
            <v>35.72</v>
          </cell>
          <cell r="E26">
            <v>9000</v>
          </cell>
        </row>
        <row r="27">
          <cell r="A27" t="str">
            <v>W1005</v>
          </cell>
          <cell r="B27" t="str">
            <v>WT 5 x 11</v>
          </cell>
          <cell r="C27">
            <v>98.847272727272724</v>
          </cell>
          <cell r="D27">
            <v>16.474545454545453</v>
          </cell>
          <cell r="E27">
            <v>6000</v>
          </cell>
        </row>
        <row r="28">
          <cell r="A28" t="str">
            <v>W1006</v>
          </cell>
          <cell r="B28" t="str">
            <v>WT 5 x 13</v>
          </cell>
          <cell r="C28">
            <v>116.10000000000001</v>
          </cell>
          <cell r="D28">
            <v>19.350000000000001</v>
          </cell>
          <cell r="E28">
            <v>6000</v>
          </cell>
        </row>
        <row r="29">
          <cell r="A29" t="str">
            <v>W1007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A1"/>
      <sheetName val="A2"/>
      <sheetName val="A3"/>
      <sheetName val="A5"/>
      <sheetName val="A6"/>
      <sheetName val="Pesos"/>
      <sheetName val="Hoja1"/>
    </sheetNames>
    <sheetDataSet>
      <sheetData sheetId="0" refreshError="1">
        <row r="1">
          <cell r="E1">
            <v>1.0549500000000001</v>
          </cell>
          <cell r="G1">
            <v>2.8</v>
          </cell>
        </row>
        <row r="2">
          <cell r="G2">
            <v>0.68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>
        <row r="1">
          <cell r="C1">
            <v>6.67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Tanque"/>
      <sheetName val="Techo"/>
      <sheetName val="Cerco malla"/>
      <sheetName val="Tensores Arriostres"/>
      <sheetName val="Columnas"/>
      <sheetName val="Techo Columna Carbon"/>
      <sheetName val="Mano Obra Calc"/>
      <sheetName val="Partidas"/>
      <sheetName val="Hoja1"/>
    </sheetNames>
    <sheetDataSet>
      <sheetData sheetId="0" refreshError="1">
        <row r="1">
          <cell r="F1">
            <v>0.6</v>
          </cell>
          <cell r="G1">
            <v>0.1</v>
          </cell>
          <cell r="H1">
            <v>0.45</v>
          </cell>
          <cell r="I1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"/>
      <sheetName val="Forrado"/>
      <sheetName val="Solo Forrado"/>
      <sheetName val="Costos Solo"/>
      <sheetName val="Costos Solo (2)"/>
      <sheetName val="Costos Adic"/>
      <sheetName val="Hoja2"/>
      <sheetName val="Hoja3"/>
    </sheetNames>
    <sheetDataSet>
      <sheetData sheetId="0" refreshError="1"/>
      <sheetData sheetId="1" refreshError="1">
        <row r="27">
          <cell r="E27">
            <v>2.8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ED03-186C-407D-96C2-6E3F94B17569}">
  <dimension ref="A1:G79"/>
  <sheetViews>
    <sheetView tabSelected="1" view="pageBreakPreview" zoomScale="115" zoomScaleNormal="100" zoomScaleSheetLayoutView="115" workbookViewId="0">
      <selection activeCell="C6" sqref="C6"/>
    </sheetView>
  </sheetViews>
  <sheetFormatPr baseColWidth="10" defaultRowHeight="12.75"/>
  <cols>
    <col min="1" max="1" width="3.140625" customWidth="1"/>
    <col min="2" max="2" width="71.7109375" customWidth="1"/>
    <col min="3" max="3" width="22.7109375" customWidth="1"/>
    <col min="4" max="4" width="5.85546875" customWidth="1"/>
    <col min="5" max="5" width="9.42578125" customWidth="1"/>
  </cols>
  <sheetData>
    <row r="1" spans="1:7">
      <c r="A1" s="174"/>
      <c r="B1" s="174"/>
      <c r="C1" s="174"/>
      <c r="D1" s="174"/>
      <c r="E1" s="174"/>
    </row>
    <row r="2" spans="1:7">
      <c r="A2" s="167"/>
      <c r="B2" s="168" t="s">
        <v>215</v>
      </c>
      <c r="C2" s="168" t="s">
        <v>243</v>
      </c>
      <c r="D2" s="168" t="s">
        <v>216</v>
      </c>
      <c r="E2" s="168" t="s">
        <v>217</v>
      </c>
      <c r="F2" s="168" t="s">
        <v>218</v>
      </c>
      <c r="G2" s="168" t="s">
        <v>219</v>
      </c>
    </row>
    <row r="3" spans="1:7">
      <c r="A3" s="167"/>
      <c r="B3" s="172" t="s">
        <v>248</v>
      </c>
      <c r="C3" s="168"/>
      <c r="D3" s="168"/>
      <c r="E3" s="168"/>
      <c r="F3" s="168"/>
      <c r="G3" s="168"/>
    </row>
    <row r="4" spans="1:7">
      <c r="A4" s="167">
        <v>1</v>
      </c>
      <c r="B4" s="167" t="s">
        <v>214</v>
      </c>
      <c r="C4" s="167"/>
      <c r="D4" s="169" t="s">
        <v>220</v>
      </c>
      <c r="E4" s="167">
        <v>3000</v>
      </c>
      <c r="F4" s="167"/>
      <c r="G4" s="167"/>
    </row>
    <row r="5" spans="1:7">
      <c r="A5" s="167">
        <v>2</v>
      </c>
      <c r="B5" s="169" t="s">
        <v>222</v>
      </c>
      <c r="C5" s="169" t="s">
        <v>244</v>
      </c>
      <c r="D5" s="169" t="s">
        <v>165</v>
      </c>
      <c r="E5" s="167">
        <v>500</v>
      </c>
      <c r="F5" s="167"/>
      <c r="G5" s="167"/>
    </row>
    <row r="6" spans="1:7">
      <c r="A6" s="167">
        <v>3</v>
      </c>
      <c r="B6" s="169" t="s">
        <v>223</v>
      </c>
      <c r="C6" s="169" t="s">
        <v>244</v>
      </c>
      <c r="D6" s="169" t="s">
        <v>165</v>
      </c>
      <c r="E6" s="167">
        <v>500</v>
      </c>
      <c r="F6" s="167"/>
      <c r="G6" s="167"/>
    </row>
    <row r="7" spans="1:7">
      <c r="A7" s="167">
        <v>4</v>
      </c>
      <c r="B7" s="169" t="s">
        <v>221</v>
      </c>
      <c r="C7" s="169" t="s">
        <v>244</v>
      </c>
      <c r="D7" s="169" t="s">
        <v>165</v>
      </c>
      <c r="E7" s="167">
        <v>500</v>
      </c>
      <c r="F7" s="167"/>
      <c r="G7" s="167"/>
    </row>
    <row r="8" spans="1:7">
      <c r="A8" s="167">
        <v>5</v>
      </c>
      <c r="B8" s="169" t="s">
        <v>224</v>
      </c>
      <c r="C8" s="169" t="s">
        <v>244</v>
      </c>
      <c r="D8" s="169" t="s">
        <v>165</v>
      </c>
      <c r="E8" s="167">
        <v>500</v>
      </c>
      <c r="F8" s="167"/>
      <c r="G8" s="167"/>
    </row>
    <row r="9" spans="1:7">
      <c r="A9" s="167">
        <v>6</v>
      </c>
      <c r="B9" s="169" t="s">
        <v>225</v>
      </c>
      <c r="C9" s="169" t="s">
        <v>244</v>
      </c>
      <c r="D9" s="169" t="s">
        <v>165</v>
      </c>
      <c r="E9" s="167">
        <v>500</v>
      </c>
      <c r="F9" s="167"/>
      <c r="G9" s="167"/>
    </row>
    <row r="10" spans="1:7">
      <c r="A10" s="167">
        <v>7</v>
      </c>
      <c r="B10" s="169" t="s">
        <v>226</v>
      </c>
      <c r="C10" s="169" t="s">
        <v>244</v>
      </c>
      <c r="D10" s="169" t="s">
        <v>165</v>
      </c>
      <c r="E10" s="167">
        <v>500</v>
      </c>
      <c r="F10" s="167"/>
      <c r="G10" s="167"/>
    </row>
    <row r="11" spans="1:7">
      <c r="A11" s="167">
        <v>8</v>
      </c>
      <c r="B11" s="169" t="s">
        <v>227</v>
      </c>
      <c r="C11" s="169"/>
      <c r="D11" s="169" t="s">
        <v>234</v>
      </c>
      <c r="E11" s="167">
        <v>10</v>
      </c>
      <c r="F11" s="167"/>
      <c r="G11" s="167"/>
    </row>
    <row r="12" spans="1:7">
      <c r="A12" s="167">
        <v>9</v>
      </c>
      <c r="B12" s="169" t="s">
        <v>228</v>
      </c>
      <c r="C12" s="169"/>
      <c r="D12" s="169" t="s">
        <v>234</v>
      </c>
      <c r="E12" s="167">
        <v>10</v>
      </c>
      <c r="F12" s="167"/>
      <c r="G12" s="167"/>
    </row>
    <row r="13" spans="1:7">
      <c r="A13" s="167">
        <v>10</v>
      </c>
      <c r="B13" s="169" t="s">
        <v>229</v>
      </c>
      <c r="C13" s="169"/>
      <c r="D13" s="169" t="s">
        <v>234</v>
      </c>
      <c r="E13" s="167">
        <v>10</v>
      </c>
      <c r="F13" s="167"/>
      <c r="G13" s="167"/>
    </row>
    <row r="14" spans="1:7">
      <c r="A14" s="167">
        <v>11</v>
      </c>
      <c r="B14" s="169" t="s">
        <v>230</v>
      </c>
      <c r="C14" s="169"/>
      <c r="D14" s="169" t="s">
        <v>234</v>
      </c>
      <c r="E14" s="167">
        <v>10</v>
      </c>
      <c r="F14" s="167"/>
      <c r="G14" s="167"/>
    </row>
    <row r="15" spans="1:7">
      <c r="A15" s="167">
        <v>12</v>
      </c>
      <c r="B15" s="169" t="s">
        <v>231</v>
      </c>
      <c r="C15" s="169"/>
      <c r="D15" s="169" t="s">
        <v>234</v>
      </c>
      <c r="E15" s="167">
        <v>10</v>
      </c>
      <c r="F15" s="167"/>
      <c r="G15" s="167"/>
    </row>
    <row r="16" spans="1:7">
      <c r="A16" s="167">
        <v>13</v>
      </c>
      <c r="B16" s="169" t="s">
        <v>232</v>
      </c>
      <c r="C16" s="169"/>
      <c r="D16" s="169" t="s">
        <v>234</v>
      </c>
      <c r="E16" s="167">
        <v>10</v>
      </c>
      <c r="F16" s="167"/>
      <c r="G16" s="167"/>
    </row>
    <row r="17" spans="1:7">
      <c r="A17" s="167">
        <v>14</v>
      </c>
      <c r="B17" s="169" t="s">
        <v>233</v>
      </c>
      <c r="C17" s="169"/>
      <c r="D17" s="169" t="s">
        <v>234</v>
      </c>
      <c r="E17" s="167">
        <v>10</v>
      </c>
      <c r="F17" s="167"/>
      <c r="G17" s="167"/>
    </row>
    <row r="18" spans="1:7">
      <c r="A18" s="167">
        <v>15</v>
      </c>
      <c r="B18" s="169" t="s">
        <v>235</v>
      </c>
      <c r="C18" s="169"/>
      <c r="D18" s="169" t="s">
        <v>237</v>
      </c>
      <c r="E18" s="167">
        <v>5</v>
      </c>
      <c r="F18" s="167"/>
      <c r="G18" s="167"/>
    </row>
    <row r="19" spans="1:7">
      <c r="A19" s="167">
        <v>16</v>
      </c>
      <c r="B19" s="169" t="s">
        <v>236</v>
      </c>
      <c r="C19" s="169"/>
      <c r="D19" s="169" t="s">
        <v>237</v>
      </c>
      <c r="E19" s="167">
        <v>5</v>
      </c>
      <c r="F19" s="167"/>
      <c r="G19" s="167"/>
    </row>
    <row r="20" spans="1:7">
      <c r="A20" s="167"/>
      <c r="B20" s="171" t="s">
        <v>247</v>
      </c>
      <c r="C20" s="169"/>
      <c r="D20" s="169"/>
      <c r="E20" s="167"/>
      <c r="F20" s="167"/>
      <c r="G20" s="167"/>
    </row>
    <row r="21" spans="1:7">
      <c r="A21" s="167">
        <v>17</v>
      </c>
      <c r="B21" s="169" t="s">
        <v>238</v>
      </c>
      <c r="C21" s="169" t="s">
        <v>242</v>
      </c>
      <c r="D21" s="169" t="s">
        <v>165</v>
      </c>
      <c r="E21" s="167">
        <v>200</v>
      </c>
      <c r="F21" s="167"/>
      <c r="G21" s="167"/>
    </row>
    <row r="22" spans="1:7">
      <c r="A22" s="167">
        <v>18</v>
      </c>
      <c r="B22" s="169" t="s">
        <v>239</v>
      </c>
      <c r="C22" s="169" t="s">
        <v>242</v>
      </c>
      <c r="D22" s="169" t="s">
        <v>165</v>
      </c>
      <c r="E22" s="167">
        <v>200</v>
      </c>
      <c r="F22" s="167"/>
      <c r="G22" s="167"/>
    </row>
    <row r="23" spans="1:7">
      <c r="A23" s="167">
        <v>19</v>
      </c>
      <c r="B23" s="169" t="s">
        <v>240</v>
      </c>
      <c r="C23" s="169" t="s">
        <v>242</v>
      </c>
      <c r="D23" s="169" t="s">
        <v>165</v>
      </c>
      <c r="E23" s="167">
        <v>100</v>
      </c>
      <c r="F23" s="167"/>
      <c r="G23" s="167"/>
    </row>
    <row r="24" spans="1:7">
      <c r="A24" s="167">
        <v>20</v>
      </c>
      <c r="B24" s="169" t="s">
        <v>245</v>
      </c>
      <c r="C24" s="169" t="s">
        <v>242</v>
      </c>
      <c r="D24" s="169" t="s">
        <v>165</v>
      </c>
      <c r="E24" s="167">
        <v>50</v>
      </c>
      <c r="F24" s="167"/>
      <c r="G24" s="167"/>
    </row>
    <row r="25" spans="1:7">
      <c r="A25" s="167">
        <v>21</v>
      </c>
      <c r="B25" s="169" t="s">
        <v>246</v>
      </c>
      <c r="C25" s="169" t="s">
        <v>242</v>
      </c>
      <c r="D25" s="169" t="s">
        <v>165</v>
      </c>
      <c r="E25" s="167">
        <v>50</v>
      </c>
      <c r="F25" s="167"/>
      <c r="G25" s="167"/>
    </row>
    <row r="26" spans="1:7">
      <c r="A26" s="167">
        <v>22</v>
      </c>
      <c r="B26" s="169" t="s">
        <v>241</v>
      </c>
      <c r="C26" s="169" t="s">
        <v>242</v>
      </c>
      <c r="D26" s="169" t="s">
        <v>165</v>
      </c>
      <c r="E26" s="167">
        <v>50</v>
      </c>
      <c r="F26" s="167"/>
      <c r="G26" s="167"/>
    </row>
    <row r="27" spans="1:7">
      <c r="A27" s="167">
        <v>23</v>
      </c>
      <c r="B27" s="170" t="s">
        <v>166</v>
      </c>
      <c r="C27" s="169" t="s">
        <v>242</v>
      </c>
      <c r="D27" s="169" t="s">
        <v>165</v>
      </c>
      <c r="E27" s="167">
        <v>50</v>
      </c>
      <c r="F27" s="167"/>
      <c r="G27" s="167"/>
    </row>
    <row r="28" spans="1:7">
      <c r="A28" s="167">
        <v>24</v>
      </c>
      <c r="B28" s="170" t="s">
        <v>167</v>
      </c>
      <c r="C28" s="169" t="s">
        <v>242</v>
      </c>
      <c r="D28" s="169" t="s">
        <v>165</v>
      </c>
      <c r="E28" s="167">
        <v>50</v>
      </c>
      <c r="F28" s="167"/>
      <c r="G28" s="167"/>
    </row>
    <row r="29" spans="1:7">
      <c r="A29" s="167">
        <v>25</v>
      </c>
      <c r="B29" s="170" t="s">
        <v>168</v>
      </c>
      <c r="C29" s="169" t="s">
        <v>242</v>
      </c>
      <c r="D29" s="169" t="s">
        <v>165</v>
      </c>
      <c r="E29" s="167">
        <v>20</v>
      </c>
      <c r="F29" s="167"/>
      <c r="G29" s="167"/>
    </row>
    <row r="30" spans="1:7">
      <c r="A30" s="167">
        <v>26</v>
      </c>
      <c r="B30" s="170" t="s">
        <v>169</v>
      </c>
      <c r="C30" s="169" t="s">
        <v>242</v>
      </c>
      <c r="D30" s="169" t="s">
        <v>165</v>
      </c>
      <c r="E30" s="167">
        <v>20</v>
      </c>
      <c r="F30" s="167"/>
      <c r="G30" s="167"/>
    </row>
    <row r="31" spans="1:7">
      <c r="A31" s="167">
        <v>27</v>
      </c>
      <c r="B31" s="170" t="s">
        <v>170</v>
      </c>
      <c r="C31" s="169" t="s">
        <v>242</v>
      </c>
      <c r="D31" s="169" t="s">
        <v>165</v>
      </c>
      <c r="E31" s="167">
        <v>20</v>
      </c>
      <c r="F31" s="167"/>
      <c r="G31" s="167"/>
    </row>
    <row r="32" spans="1:7">
      <c r="A32" s="167">
        <v>28</v>
      </c>
      <c r="B32" s="170" t="s">
        <v>171</v>
      </c>
      <c r="C32" s="169" t="s">
        <v>242</v>
      </c>
      <c r="D32" s="169" t="s">
        <v>165</v>
      </c>
      <c r="E32" s="167">
        <v>20</v>
      </c>
      <c r="F32" s="167"/>
      <c r="G32" s="167"/>
    </row>
    <row r="33" spans="1:7">
      <c r="A33" s="167">
        <v>29</v>
      </c>
      <c r="B33" s="170" t="s">
        <v>172</v>
      </c>
      <c r="C33" s="169" t="s">
        <v>242</v>
      </c>
      <c r="D33" s="169" t="s">
        <v>165</v>
      </c>
      <c r="E33" s="167">
        <v>20</v>
      </c>
      <c r="F33" s="167"/>
      <c r="G33" s="167"/>
    </row>
    <row r="34" spans="1:7">
      <c r="A34" s="167">
        <v>30</v>
      </c>
      <c r="B34" s="170" t="s">
        <v>173</v>
      </c>
      <c r="C34" s="169" t="s">
        <v>242</v>
      </c>
      <c r="D34" s="169" t="s">
        <v>165</v>
      </c>
      <c r="E34" s="167">
        <v>20</v>
      </c>
      <c r="F34" s="167"/>
      <c r="G34" s="167"/>
    </row>
    <row r="35" spans="1:7">
      <c r="A35" s="167">
        <v>31</v>
      </c>
      <c r="B35" s="170" t="s">
        <v>174</v>
      </c>
      <c r="C35" s="169" t="s">
        <v>242</v>
      </c>
      <c r="D35" s="169" t="s">
        <v>165</v>
      </c>
      <c r="E35" s="167">
        <v>10</v>
      </c>
      <c r="F35" s="167"/>
      <c r="G35" s="167"/>
    </row>
    <row r="36" spans="1:7">
      <c r="A36" s="167">
        <v>32</v>
      </c>
      <c r="B36" s="170" t="s">
        <v>175</v>
      </c>
      <c r="C36" s="169" t="s">
        <v>242</v>
      </c>
      <c r="D36" s="169" t="s">
        <v>165</v>
      </c>
      <c r="E36" s="167">
        <v>10</v>
      </c>
      <c r="F36" s="167"/>
      <c r="G36" s="167"/>
    </row>
    <row r="37" spans="1:7">
      <c r="A37" s="167">
        <v>33</v>
      </c>
      <c r="B37" s="170" t="s">
        <v>176</v>
      </c>
      <c r="C37" s="169" t="s">
        <v>242</v>
      </c>
      <c r="D37" s="169" t="s">
        <v>165</v>
      </c>
      <c r="E37" s="167">
        <v>10</v>
      </c>
      <c r="F37" s="167"/>
      <c r="G37" s="167"/>
    </row>
    <row r="38" spans="1:7">
      <c r="A38" s="167">
        <v>34</v>
      </c>
      <c r="B38" s="170" t="s">
        <v>177</v>
      </c>
      <c r="C38" s="169" t="s">
        <v>242</v>
      </c>
      <c r="D38" s="169" t="s">
        <v>165</v>
      </c>
      <c r="E38" s="167">
        <v>12</v>
      </c>
      <c r="F38" s="167"/>
      <c r="G38" s="167"/>
    </row>
    <row r="39" spans="1:7">
      <c r="A39" s="167">
        <v>35</v>
      </c>
      <c r="B39" s="170" t="s">
        <v>178</v>
      </c>
      <c r="C39" s="169" t="s">
        <v>242</v>
      </c>
      <c r="D39" s="169" t="s">
        <v>165</v>
      </c>
      <c r="E39" s="167">
        <v>12</v>
      </c>
      <c r="F39" s="167"/>
      <c r="G39" s="167"/>
    </row>
    <row r="40" spans="1:7">
      <c r="A40" s="167">
        <v>36</v>
      </c>
      <c r="B40" s="170" t="s">
        <v>179</v>
      </c>
      <c r="C40" s="169" t="s">
        <v>242</v>
      </c>
      <c r="D40" s="169" t="s">
        <v>165</v>
      </c>
      <c r="E40" s="167">
        <v>12</v>
      </c>
      <c r="F40" s="167"/>
      <c r="G40" s="167"/>
    </row>
    <row r="41" spans="1:7">
      <c r="A41" s="167">
        <v>37</v>
      </c>
      <c r="B41" s="170" t="s">
        <v>180</v>
      </c>
      <c r="C41" s="169" t="s">
        <v>242</v>
      </c>
      <c r="D41" s="169" t="s">
        <v>165</v>
      </c>
      <c r="E41" s="167">
        <v>12</v>
      </c>
      <c r="F41" s="167"/>
      <c r="G41" s="167"/>
    </row>
    <row r="42" spans="1:7">
      <c r="A42" s="167">
        <v>38</v>
      </c>
      <c r="B42" s="170" t="s">
        <v>181</v>
      </c>
      <c r="C42" s="169" t="s">
        <v>242</v>
      </c>
      <c r="D42" s="169" t="s">
        <v>165</v>
      </c>
      <c r="E42" s="167">
        <v>12</v>
      </c>
      <c r="F42" s="167"/>
      <c r="G42" s="167"/>
    </row>
    <row r="43" spans="1:7">
      <c r="A43" s="167">
        <v>39</v>
      </c>
      <c r="B43" s="170" t="s">
        <v>182</v>
      </c>
      <c r="C43" s="169" t="s">
        <v>242</v>
      </c>
      <c r="D43" s="169" t="s">
        <v>165</v>
      </c>
      <c r="E43" s="167">
        <v>12</v>
      </c>
      <c r="F43" s="167"/>
      <c r="G43" s="167"/>
    </row>
    <row r="44" spans="1:7">
      <c r="A44" s="167">
        <v>40</v>
      </c>
      <c r="B44" s="170" t="s">
        <v>183</v>
      </c>
      <c r="C44" s="169" t="s">
        <v>242</v>
      </c>
      <c r="D44" s="169" t="s">
        <v>165</v>
      </c>
      <c r="E44" s="167">
        <v>12</v>
      </c>
      <c r="F44" s="167"/>
      <c r="G44" s="167"/>
    </row>
    <row r="45" spans="1:7">
      <c r="A45" s="167">
        <v>41</v>
      </c>
      <c r="B45" s="170" t="s">
        <v>184</v>
      </c>
      <c r="C45" s="169" t="s">
        <v>242</v>
      </c>
      <c r="D45" s="169" t="s">
        <v>165</v>
      </c>
      <c r="E45" s="167">
        <v>12</v>
      </c>
      <c r="F45" s="167"/>
      <c r="G45" s="167"/>
    </row>
    <row r="46" spans="1:7">
      <c r="A46" s="167">
        <v>42</v>
      </c>
      <c r="B46" s="170" t="s">
        <v>185</v>
      </c>
      <c r="C46" s="169" t="s">
        <v>242</v>
      </c>
      <c r="D46" s="169" t="s">
        <v>165</v>
      </c>
      <c r="E46" s="167">
        <v>12</v>
      </c>
      <c r="F46" s="167"/>
      <c r="G46" s="167"/>
    </row>
    <row r="47" spans="1:7">
      <c r="A47" s="167">
        <v>43</v>
      </c>
      <c r="B47" s="170" t="s">
        <v>186</v>
      </c>
      <c r="C47" s="169" t="s">
        <v>242</v>
      </c>
      <c r="D47" s="169" t="s">
        <v>165</v>
      </c>
      <c r="E47" s="167">
        <v>12</v>
      </c>
      <c r="F47" s="167"/>
      <c r="G47" s="167"/>
    </row>
    <row r="48" spans="1:7">
      <c r="A48" s="167">
        <v>44</v>
      </c>
      <c r="B48" s="166" t="s">
        <v>187</v>
      </c>
      <c r="C48" s="169" t="s">
        <v>242</v>
      </c>
      <c r="D48" s="169" t="s">
        <v>165</v>
      </c>
      <c r="E48" s="167">
        <v>2</v>
      </c>
      <c r="F48" s="167"/>
      <c r="G48" s="167"/>
    </row>
    <row r="49" spans="1:7">
      <c r="A49" s="167">
        <v>45</v>
      </c>
      <c r="B49" s="166" t="s">
        <v>208</v>
      </c>
      <c r="C49" s="169" t="s">
        <v>242</v>
      </c>
      <c r="D49" s="169" t="s">
        <v>165</v>
      </c>
      <c r="E49" s="167">
        <v>3</v>
      </c>
      <c r="F49" s="167"/>
      <c r="G49" s="167"/>
    </row>
    <row r="50" spans="1:7">
      <c r="A50" s="167">
        <v>46</v>
      </c>
      <c r="B50" s="166" t="s">
        <v>188</v>
      </c>
      <c r="C50" s="169" t="s">
        <v>242</v>
      </c>
      <c r="D50" s="169" t="s">
        <v>165</v>
      </c>
      <c r="E50" s="167">
        <v>3</v>
      </c>
      <c r="F50" s="167"/>
      <c r="G50" s="167"/>
    </row>
    <row r="51" spans="1:7">
      <c r="A51" s="167"/>
      <c r="B51" s="173" t="s">
        <v>249</v>
      </c>
      <c r="C51" s="169"/>
      <c r="D51" s="169"/>
      <c r="E51" s="167"/>
      <c r="F51" s="167"/>
      <c r="G51" s="167"/>
    </row>
    <row r="52" spans="1:7">
      <c r="A52" s="167">
        <v>47</v>
      </c>
      <c r="B52" s="169" t="s">
        <v>250</v>
      </c>
      <c r="C52" s="169" t="s">
        <v>242</v>
      </c>
      <c r="D52" s="169" t="s">
        <v>165</v>
      </c>
      <c r="E52" s="167">
        <v>40</v>
      </c>
      <c r="F52" s="167"/>
      <c r="G52" s="167"/>
    </row>
    <row r="53" spans="1:7">
      <c r="A53" s="167">
        <v>48</v>
      </c>
      <c r="B53" s="169" t="s">
        <v>251</v>
      </c>
      <c r="C53" s="169" t="s">
        <v>242</v>
      </c>
      <c r="D53" s="169" t="s">
        <v>165</v>
      </c>
      <c r="E53" s="167">
        <v>40</v>
      </c>
      <c r="F53" s="167"/>
      <c r="G53" s="167"/>
    </row>
    <row r="54" spans="1:7">
      <c r="A54" s="167">
        <v>49</v>
      </c>
      <c r="B54" s="169" t="s">
        <v>252</v>
      </c>
      <c r="C54" s="169" t="s">
        <v>242</v>
      </c>
      <c r="D54" s="169" t="s">
        <v>165</v>
      </c>
      <c r="E54" s="167">
        <v>30</v>
      </c>
      <c r="F54" s="167"/>
      <c r="G54" s="167"/>
    </row>
    <row r="55" spans="1:7">
      <c r="A55" s="167">
        <v>50</v>
      </c>
      <c r="B55" s="166" t="s">
        <v>189</v>
      </c>
      <c r="C55" s="169" t="s">
        <v>242</v>
      </c>
      <c r="D55" s="169" t="s">
        <v>165</v>
      </c>
      <c r="E55" s="167">
        <v>12</v>
      </c>
      <c r="F55" s="167"/>
      <c r="G55" s="167"/>
    </row>
    <row r="56" spans="1:7">
      <c r="A56" s="167">
        <v>51</v>
      </c>
      <c r="B56" s="166" t="s">
        <v>190</v>
      </c>
      <c r="C56" s="169" t="s">
        <v>242</v>
      </c>
      <c r="D56" s="169" t="s">
        <v>165</v>
      </c>
      <c r="E56" s="167">
        <v>12</v>
      </c>
      <c r="F56" s="167"/>
      <c r="G56" s="167"/>
    </row>
    <row r="57" spans="1:7">
      <c r="A57" s="167">
        <v>52</v>
      </c>
      <c r="B57" s="166" t="s">
        <v>191</v>
      </c>
      <c r="C57" s="169" t="s">
        <v>242</v>
      </c>
      <c r="D57" s="169" t="s">
        <v>165</v>
      </c>
      <c r="E57" s="167">
        <v>12</v>
      </c>
      <c r="F57" s="167"/>
      <c r="G57" s="167"/>
    </row>
    <row r="58" spans="1:7">
      <c r="A58" s="167">
        <v>53</v>
      </c>
      <c r="B58" s="166" t="s">
        <v>192</v>
      </c>
      <c r="C58" s="169" t="s">
        <v>242</v>
      </c>
      <c r="D58" s="169" t="s">
        <v>165</v>
      </c>
      <c r="E58" s="167">
        <v>12</v>
      </c>
      <c r="F58" s="167"/>
      <c r="G58" s="167"/>
    </row>
    <row r="59" spans="1:7">
      <c r="A59" s="167">
        <v>54</v>
      </c>
      <c r="B59" s="166" t="s">
        <v>193</v>
      </c>
      <c r="C59" s="169" t="s">
        <v>242</v>
      </c>
      <c r="D59" s="169" t="s">
        <v>165</v>
      </c>
      <c r="E59" s="167">
        <v>12</v>
      </c>
      <c r="F59" s="167"/>
      <c r="G59" s="167"/>
    </row>
    <row r="60" spans="1:7">
      <c r="A60" s="167">
        <v>55</v>
      </c>
      <c r="B60" s="166" t="s">
        <v>194</v>
      </c>
      <c r="C60" s="169" t="s">
        <v>242</v>
      </c>
      <c r="D60" s="169" t="s">
        <v>165</v>
      </c>
      <c r="E60" s="167">
        <v>12</v>
      </c>
      <c r="F60" s="167"/>
      <c r="G60" s="167"/>
    </row>
    <row r="61" spans="1:7">
      <c r="A61" s="167">
        <v>56</v>
      </c>
      <c r="B61" s="166" t="s">
        <v>209</v>
      </c>
      <c r="C61" s="169" t="s">
        <v>242</v>
      </c>
      <c r="D61" s="169" t="s">
        <v>165</v>
      </c>
      <c r="E61" s="167">
        <v>12</v>
      </c>
      <c r="F61" s="167"/>
      <c r="G61" s="167"/>
    </row>
    <row r="62" spans="1:7">
      <c r="A62" s="167">
        <v>57</v>
      </c>
      <c r="B62" s="166" t="s">
        <v>210</v>
      </c>
      <c r="C62" s="169" t="s">
        <v>242</v>
      </c>
      <c r="D62" s="169" t="s">
        <v>165</v>
      </c>
      <c r="E62" s="167">
        <v>12</v>
      </c>
      <c r="F62" s="167"/>
      <c r="G62" s="167"/>
    </row>
    <row r="63" spans="1:7">
      <c r="A63" s="167">
        <v>58</v>
      </c>
      <c r="B63" s="166" t="s">
        <v>211</v>
      </c>
      <c r="C63" s="169" t="s">
        <v>242</v>
      </c>
      <c r="D63" s="169" t="s">
        <v>165</v>
      </c>
      <c r="E63" s="167">
        <v>12</v>
      </c>
      <c r="F63" s="167"/>
      <c r="G63" s="167"/>
    </row>
    <row r="64" spans="1:7">
      <c r="A64" s="167">
        <v>59</v>
      </c>
      <c r="B64" s="166" t="s">
        <v>212</v>
      </c>
      <c r="C64" s="169" t="s">
        <v>242</v>
      </c>
      <c r="D64" s="169" t="s">
        <v>165</v>
      </c>
      <c r="E64" s="167">
        <v>12</v>
      </c>
      <c r="F64" s="167"/>
      <c r="G64" s="167"/>
    </row>
    <row r="65" spans="1:7">
      <c r="A65" s="167">
        <v>60</v>
      </c>
      <c r="B65" s="166" t="s">
        <v>213</v>
      </c>
      <c r="C65" s="169" t="s">
        <v>242</v>
      </c>
      <c r="D65" s="169" t="s">
        <v>165</v>
      </c>
      <c r="E65" s="167">
        <v>12</v>
      </c>
      <c r="F65" s="167"/>
      <c r="G65" s="167"/>
    </row>
    <row r="66" spans="1:7">
      <c r="A66" s="167">
        <v>61</v>
      </c>
      <c r="B66" s="166" t="s">
        <v>195</v>
      </c>
      <c r="C66" s="169" t="s">
        <v>242</v>
      </c>
      <c r="D66" s="169" t="s">
        <v>165</v>
      </c>
      <c r="E66" s="167">
        <v>12</v>
      </c>
      <c r="F66" s="167"/>
      <c r="G66" s="167"/>
    </row>
    <row r="67" spans="1:7">
      <c r="A67" s="167">
        <v>62</v>
      </c>
      <c r="B67" s="166" t="s">
        <v>196</v>
      </c>
      <c r="C67" s="169" t="s">
        <v>242</v>
      </c>
      <c r="D67" s="169" t="s">
        <v>165</v>
      </c>
      <c r="E67" s="167">
        <v>12</v>
      </c>
      <c r="F67" s="167"/>
      <c r="G67" s="167"/>
    </row>
    <row r="68" spans="1:7">
      <c r="A68" s="167">
        <v>63</v>
      </c>
      <c r="B68" s="166" t="s">
        <v>197</v>
      </c>
      <c r="C68" s="169" t="s">
        <v>242</v>
      </c>
      <c r="D68" s="169" t="s">
        <v>165</v>
      </c>
      <c r="E68" s="167">
        <v>12</v>
      </c>
      <c r="F68" s="167"/>
      <c r="G68" s="167"/>
    </row>
    <row r="69" spans="1:7">
      <c r="A69" s="167">
        <v>64</v>
      </c>
      <c r="B69" s="166" t="s">
        <v>198</v>
      </c>
      <c r="C69" s="169" t="s">
        <v>242</v>
      </c>
      <c r="D69" s="169" t="s">
        <v>165</v>
      </c>
      <c r="E69" s="167">
        <v>12</v>
      </c>
      <c r="F69" s="167"/>
      <c r="G69" s="167"/>
    </row>
    <row r="70" spans="1:7">
      <c r="A70" s="167">
        <v>65</v>
      </c>
      <c r="B70" s="166" t="s">
        <v>199</v>
      </c>
      <c r="C70" s="169" t="s">
        <v>242</v>
      </c>
      <c r="D70" s="169" t="s">
        <v>165</v>
      </c>
      <c r="E70" s="167">
        <v>12</v>
      </c>
      <c r="F70" s="167"/>
      <c r="G70" s="167"/>
    </row>
    <row r="71" spans="1:7">
      <c r="A71" s="167">
        <v>66</v>
      </c>
      <c r="B71" s="166" t="s">
        <v>200</v>
      </c>
      <c r="C71" s="169" t="s">
        <v>242</v>
      </c>
      <c r="D71" s="169" t="s">
        <v>165</v>
      </c>
      <c r="E71" s="167">
        <v>12</v>
      </c>
      <c r="F71" s="167"/>
      <c r="G71" s="167"/>
    </row>
    <row r="72" spans="1:7">
      <c r="A72" s="167">
        <v>67</v>
      </c>
      <c r="B72" s="166" t="s">
        <v>201</v>
      </c>
      <c r="C72" s="169" t="s">
        <v>242</v>
      </c>
      <c r="D72" s="169" t="s">
        <v>165</v>
      </c>
      <c r="E72" s="167">
        <v>12</v>
      </c>
      <c r="F72" s="167"/>
      <c r="G72" s="167"/>
    </row>
    <row r="73" spans="1:7">
      <c r="A73" s="167"/>
      <c r="B73" s="173" t="s">
        <v>253</v>
      </c>
      <c r="C73" s="167"/>
      <c r="D73" s="167"/>
      <c r="E73" s="167"/>
      <c r="F73" s="167"/>
      <c r="G73" s="167"/>
    </row>
    <row r="74" spans="1:7">
      <c r="A74" s="167">
        <v>68</v>
      </c>
      <c r="B74" s="167" t="s">
        <v>202</v>
      </c>
      <c r="C74" s="167"/>
      <c r="D74" s="169" t="s">
        <v>165</v>
      </c>
      <c r="E74" s="167">
        <v>100</v>
      </c>
      <c r="F74" s="167"/>
      <c r="G74" s="167"/>
    </row>
    <row r="75" spans="1:7">
      <c r="A75" s="167">
        <v>69</v>
      </c>
      <c r="B75" s="167" t="s">
        <v>203</v>
      </c>
      <c r="C75" s="167"/>
      <c r="D75" s="169" t="s">
        <v>165</v>
      </c>
      <c r="E75" s="167">
        <v>100</v>
      </c>
      <c r="F75" s="167"/>
      <c r="G75" s="167"/>
    </row>
    <row r="76" spans="1:7">
      <c r="A76" s="167">
        <v>70</v>
      </c>
      <c r="B76" s="167" t="s">
        <v>204</v>
      </c>
      <c r="C76" s="167"/>
      <c r="D76" s="169" t="s">
        <v>165</v>
      </c>
      <c r="E76" s="167">
        <v>50</v>
      </c>
      <c r="F76" s="167"/>
      <c r="G76" s="167"/>
    </row>
    <row r="77" spans="1:7">
      <c r="A77" s="167">
        <v>71</v>
      </c>
      <c r="B77" s="167" t="s">
        <v>205</v>
      </c>
      <c r="C77" s="167"/>
      <c r="D77" s="169" t="s">
        <v>165</v>
      </c>
      <c r="E77" s="167">
        <v>15</v>
      </c>
      <c r="F77" s="167"/>
      <c r="G77" s="167"/>
    </row>
    <row r="78" spans="1:7">
      <c r="A78" s="167">
        <v>72</v>
      </c>
      <c r="B78" s="167" t="s">
        <v>206</v>
      </c>
      <c r="C78" s="167"/>
      <c r="D78" s="169" t="s">
        <v>165</v>
      </c>
      <c r="E78" s="167">
        <v>100</v>
      </c>
      <c r="F78" s="167"/>
      <c r="G78" s="167"/>
    </row>
    <row r="79" spans="1:7">
      <c r="A79" s="167">
        <v>73</v>
      </c>
      <c r="B79" s="167" t="s">
        <v>207</v>
      </c>
      <c r="C79" s="167"/>
      <c r="D79" s="169" t="s">
        <v>165</v>
      </c>
      <c r="E79" s="167">
        <v>50</v>
      </c>
      <c r="F79" s="167"/>
      <c r="G79" s="167"/>
    </row>
  </sheetData>
  <mergeCells count="1">
    <mergeCell ref="A1:E1"/>
  </mergeCells>
  <pageMargins left="0.7" right="0.7" top="0.75" bottom="0.75" header="0.3" footer="0.3"/>
  <pageSetup paperSize="9" scale="6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I31"/>
  <sheetViews>
    <sheetView view="pageBreakPreview" zoomScaleNormal="115" zoomScaleSheetLayoutView="100" workbookViewId="0">
      <pane ySplit="5" topLeftCell="A6" activePane="bottomLeft" state="frozen"/>
      <selection activeCell="B27" sqref="B27"/>
      <selection pane="bottomLeft" activeCell="C48" sqref="C48"/>
    </sheetView>
  </sheetViews>
  <sheetFormatPr baseColWidth="10" defaultRowHeight="12.75"/>
  <cols>
    <col min="2" max="2" width="28.85546875" customWidth="1"/>
    <col min="3" max="3" width="12" customWidth="1"/>
  </cols>
  <sheetData>
    <row r="1" spans="1:9">
      <c r="A1" s="3" t="str">
        <f>'CONCRETO-ENCOFRADO-FIERRO'!A2</f>
        <v>PLANILLA : METRADOS DE ESTRUCTURAS</v>
      </c>
      <c r="B1" s="4"/>
      <c r="C1" s="4"/>
      <c r="D1" s="4"/>
      <c r="E1" s="4"/>
      <c r="F1" s="4"/>
      <c r="G1" s="4"/>
      <c r="H1" s="59"/>
      <c r="I1" s="42">
        <f>SUM(I7:I31)</f>
        <v>24.413400000000003</v>
      </c>
    </row>
    <row r="2" spans="1:9">
      <c r="A2" s="60" t="str">
        <f>'CONCRETO-ENCOFRADO-FIERRO'!A4:C4</f>
        <v>Proyecto : xxx</v>
      </c>
      <c r="B2" s="4"/>
      <c r="C2" s="4"/>
      <c r="D2" s="4"/>
      <c r="E2" s="4"/>
      <c r="F2" s="4"/>
      <c r="G2" s="4"/>
      <c r="H2" s="4"/>
      <c r="I2" s="6"/>
    </row>
    <row r="3" spans="1:9" ht="15.75">
      <c r="A3" s="180" t="str">
        <f>'CONCRETO-ENCOFRADO-FIERRO'!A3</f>
        <v>Proyecto : xxx</v>
      </c>
      <c r="B3" s="181"/>
      <c r="C3" s="182"/>
      <c r="D3" s="70" t="s">
        <v>41</v>
      </c>
      <c r="E3" s="8"/>
      <c r="F3" s="8"/>
      <c r="G3" s="8"/>
      <c r="H3" s="9"/>
      <c r="I3" s="10"/>
    </row>
    <row r="4" spans="1:9">
      <c r="A4" s="178" t="s">
        <v>2</v>
      </c>
      <c r="B4" s="178" t="s">
        <v>3</v>
      </c>
      <c r="C4" s="178" t="s">
        <v>4</v>
      </c>
      <c r="D4" s="175" t="s">
        <v>5</v>
      </c>
      <c r="E4" s="176"/>
      <c r="F4" s="177"/>
      <c r="G4" s="178" t="s">
        <v>6</v>
      </c>
      <c r="H4" s="14" t="s">
        <v>7</v>
      </c>
      <c r="I4" s="178" t="s">
        <v>8</v>
      </c>
    </row>
    <row r="5" spans="1:9">
      <c r="A5" s="179"/>
      <c r="B5" s="179"/>
      <c r="C5" s="179"/>
      <c r="D5" s="15" t="s">
        <v>13</v>
      </c>
      <c r="E5" s="15" t="s">
        <v>14</v>
      </c>
      <c r="F5" s="15" t="s">
        <v>15</v>
      </c>
      <c r="G5" s="179"/>
      <c r="H5" s="41" t="s">
        <v>16</v>
      </c>
      <c r="I5" s="179"/>
    </row>
    <row r="6" spans="1:9">
      <c r="A6" s="28"/>
      <c r="B6" s="28"/>
      <c r="C6" s="29"/>
      <c r="D6" s="28"/>
      <c r="E6" s="28"/>
      <c r="F6" s="28"/>
      <c r="G6" s="30"/>
      <c r="H6" s="31"/>
      <c r="I6" s="31"/>
    </row>
    <row r="7" spans="1:9">
      <c r="A7" s="23"/>
      <c r="B7" s="40"/>
      <c r="C7" s="19"/>
      <c r="D7" s="21"/>
      <c r="E7" s="21"/>
      <c r="F7" s="21"/>
      <c r="G7" s="16"/>
      <c r="H7" s="17"/>
      <c r="I7" s="20"/>
    </row>
    <row r="8" spans="1:9">
      <c r="A8" s="21"/>
      <c r="B8" s="53" t="s">
        <v>42</v>
      </c>
      <c r="C8" s="21"/>
      <c r="D8" s="21"/>
      <c r="E8" s="21"/>
      <c r="F8" s="21"/>
      <c r="G8" s="21"/>
      <c r="H8" s="17"/>
      <c r="I8" s="21"/>
    </row>
    <row r="9" spans="1:9">
      <c r="A9" s="21"/>
      <c r="B9" s="58"/>
      <c r="C9" s="21">
        <v>1</v>
      </c>
      <c r="D9" s="23">
        <v>5</v>
      </c>
      <c r="E9" s="23">
        <v>5</v>
      </c>
      <c r="F9" s="23"/>
      <c r="G9" s="21">
        <v>180.4</v>
      </c>
      <c r="H9" s="17"/>
      <c r="I9" s="21"/>
    </row>
    <row r="10" spans="1:9">
      <c r="A10" s="23"/>
      <c r="B10" s="61"/>
      <c r="C10" s="62"/>
      <c r="D10" s="62"/>
      <c r="E10" s="62"/>
      <c r="F10" s="62"/>
      <c r="G10" s="21"/>
      <c r="H10" s="17"/>
      <c r="I10" s="21"/>
    </row>
    <row r="11" spans="1:9">
      <c r="A11" s="40"/>
      <c r="B11" s="46" t="s">
        <v>43</v>
      </c>
      <c r="C11" s="46"/>
      <c r="D11" s="46"/>
      <c r="E11" s="46"/>
      <c r="F11" s="46"/>
      <c r="G11" s="47">
        <f>SUM(G9:G10)</f>
        <v>180.4</v>
      </c>
      <c r="H11" s="46"/>
      <c r="I11" s="46"/>
    </row>
    <row r="12" spans="1:9">
      <c r="A12" s="40"/>
      <c r="B12" s="40"/>
      <c r="C12" s="40"/>
      <c r="D12" s="40"/>
      <c r="E12" s="40"/>
      <c r="F12" s="40"/>
      <c r="G12" s="40"/>
      <c r="H12" s="49"/>
      <c r="I12" s="40"/>
    </row>
    <row r="13" spans="1:9">
      <c r="A13" s="23"/>
      <c r="B13" s="71" t="s">
        <v>48</v>
      </c>
      <c r="C13" s="19"/>
      <c r="D13" s="21"/>
      <c r="E13" s="21"/>
      <c r="F13" s="21"/>
      <c r="G13" s="16"/>
      <c r="H13" s="17"/>
      <c r="I13" s="20"/>
    </row>
    <row r="14" spans="1:9">
      <c r="A14" s="21"/>
      <c r="B14" s="53" t="s">
        <v>49</v>
      </c>
      <c r="C14" s="40"/>
      <c r="D14" s="21"/>
      <c r="E14" s="21"/>
      <c r="F14" s="21"/>
      <c r="G14" s="21"/>
      <c r="H14" s="17"/>
      <c r="I14" s="21"/>
    </row>
    <row r="15" spans="1:9">
      <c r="A15" s="21"/>
      <c r="B15" s="58" t="s">
        <v>50</v>
      </c>
      <c r="C15" s="21">
        <v>1</v>
      </c>
      <c r="D15" s="23">
        <v>4.95</v>
      </c>
      <c r="E15" s="23">
        <v>1</v>
      </c>
      <c r="F15" s="23">
        <v>1.2330000000000001</v>
      </c>
      <c r="G15" s="21"/>
      <c r="H15" s="17">
        <f>C15*D15*E15*F15</f>
        <v>6.1033500000000007</v>
      </c>
      <c r="I15" s="21"/>
    </row>
    <row r="16" spans="1:9">
      <c r="A16" s="21"/>
      <c r="B16" s="58"/>
      <c r="C16" s="21">
        <v>1</v>
      </c>
      <c r="D16" s="23">
        <v>4.95</v>
      </c>
      <c r="E16" s="23">
        <v>1</v>
      </c>
      <c r="F16" s="23">
        <v>1.2330000000000001</v>
      </c>
      <c r="G16" s="21"/>
      <c r="H16" s="17">
        <f>C16*D16*E16*F16</f>
        <v>6.1033500000000007</v>
      </c>
      <c r="I16" s="21"/>
    </row>
    <row r="17" spans="1:9">
      <c r="A17" s="21"/>
      <c r="B17" s="58"/>
      <c r="C17" s="21"/>
      <c r="D17" s="21"/>
      <c r="E17" s="21"/>
      <c r="F17" s="21"/>
      <c r="G17" s="21"/>
      <c r="H17" s="17"/>
      <c r="I17" s="21"/>
    </row>
    <row r="18" spans="1:9">
      <c r="A18" s="40"/>
      <c r="B18" s="46" t="s">
        <v>96</v>
      </c>
      <c r="C18" s="46"/>
      <c r="D18" s="46"/>
      <c r="E18" s="46"/>
      <c r="F18" s="46"/>
      <c r="G18" s="46"/>
      <c r="H18" s="48">
        <f>C18*D18*E18*F18</f>
        <v>0</v>
      </c>
      <c r="I18" s="47">
        <f>SUM(H15:H17)</f>
        <v>12.206700000000001</v>
      </c>
    </row>
    <row r="19" spans="1:9">
      <c r="A19" s="40"/>
      <c r="B19" s="147"/>
      <c r="C19" s="40"/>
      <c r="D19" s="40"/>
      <c r="E19" s="40"/>
      <c r="F19" s="40"/>
      <c r="G19" s="40"/>
      <c r="H19" s="49"/>
      <c r="I19" s="40"/>
    </row>
    <row r="20" spans="1:9">
      <c r="A20" s="23"/>
      <c r="B20" s="53" t="s">
        <v>100</v>
      </c>
      <c r="C20" s="22"/>
      <c r="D20" s="23"/>
      <c r="E20" s="23"/>
      <c r="F20" s="23"/>
      <c r="G20" s="21"/>
      <c r="H20" s="17"/>
      <c r="I20" s="20"/>
    </row>
    <row r="21" spans="1:9">
      <c r="A21" s="23"/>
      <c r="B21" s="40"/>
      <c r="C21" s="22">
        <v>1</v>
      </c>
      <c r="D21" s="23">
        <v>4.95</v>
      </c>
      <c r="E21" s="23">
        <v>1</v>
      </c>
      <c r="F21" s="23">
        <v>1.2330000000000001</v>
      </c>
      <c r="G21" s="21"/>
      <c r="H21" s="17">
        <f>D21*C21*E21*F21</f>
        <v>6.1033500000000007</v>
      </c>
      <c r="I21" s="20"/>
    </row>
    <row r="22" spans="1:9">
      <c r="A22" s="18"/>
      <c r="B22" s="40"/>
      <c r="C22" s="63">
        <v>1</v>
      </c>
      <c r="D22" s="18">
        <v>4.6500000000000004</v>
      </c>
      <c r="E22" s="18">
        <v>1</v>
      </c>
      <c r="F22" s="18">
        <v>0.56000000000000005</v>
      </c>
      <c r="G22" s="21"/>
      <c r="H22" s="17">
        <f>D22*C22*E22*F22</f>
        <v>2.6040000000000005</v>
      </c>
      <c r="I22" s="17"/>
    </row>
    <row r="23" spans="1:9">
      <c r="A23" s="18"/>
      <c r="B23" s="58"/>
      <c r="C23" s="62"/>
      <c r="D23" s="62"/>
      <c r="E23" s="62"/>
      <c r="F23" s="62"/>
      <c r="G23" s="16"/>
      <c r="H23" s="17"/>
      <c r="I23" s="17"/>
    </row>
    <row r="24" spans="1:9">
      <c r="A24" s="40"/>
      <c r="B24" s="46" t="s">
        <v>101</v>
      </c>
      <c r="C24" s="46"/>
      <c r="D24" s="46"/>
      <c r="E24" s="46"/>
      <c r="F24" s="46"/>
      <c r="G24" s="46"/>
      <c r="H24" s="64">
        <f>C24*D24*E24*F24</f>
        <v>0</v>
      </c>
      <c r="I24" s="47">
        <f>SUM(H21:H23)</f>
        <v>8.7073500000000017</v>
      </c>
    </row>
    <row r="25" spans="1:9">
      <c r="A25" s="40"/>
      <c r="B25" s="40"/>
      <c r="C25" s="40"/>
      <c r="D25" s="40"/>
      <c r="E25" s="40"/>
      <c r="F25" s="40"/>
      <c r="G25" s="40"/>
      <c r="H25" s="51"/>
      <c r="I25" s="40"/>
    </row>
    <row r="26" spans="1:9">
      <c r="A26" s="18"/>
      <c r="B26" s="71" t="s">
        <v>51</v>
      </c>
      <c r="C26" s="63"/>
      <c r="D26" s="18"/>
      <c r="E26" s="18"/>
      <c r="F26" s="18"/>
      <c r="G26" s="16"/>
      <c r="H26" s="17"/>
      <c r="I26" s="17"/>
    </row>
    <row r="27" spans="1:9">
      <c r="A27" s="23"/>
      <c r="B27" s="53" t="s">
        <v>44</v>
      </c>
      <c r="C27" s="21"/>
      <c r="D27" s="21"/>
      <c r="E27" s="21"/>
      <c r="F27" s="21"/>
      <c r="G27" s="21"/>
      <c r="H27" s="17"/>
      <c r="I27" s="21"/>
    </row>
    <row r="28" spans="1:9">
      <c r="A28" s="23"/>
      <c r="B28" s="62" t="s">
        <v>45</v>
      </c>
      <c r="C28" s="21">
        <v>1</v>
      </c>
      <c r="D28" s="21">
        <f>I18</f>
        <v>12.206700000000001</v>
      </c>
      <c r="E28" s="21">
        <v>1</v>
      </c>
      <c r="F28" s="21">
        <v>1</v>
      </c>
      <c r="G28" s="21"/>
      <c r="H28" s="17">
        <f>C28*D28*E28*F28</f>
        <v>12.206700000000001</v>
      </c>
      <c r="I28" s="21"/>
    </row>
    <row r="29" spans="1:9">
      <c r="A29" s="23"/>
      <c r="B29" s="62"/>
      <c r="C29" s="21">
        <v>1</v>
      </c>
      <c r="D29" s="21">
        <f>+I24</f>
        <v>8.7073500000000017</v>
      </c>
      <c r="E29" s="21">
        <v>1</v>
      </c>
      <c r="F29" s="21">
        <v>-1</v>
      </c>
      <c r="G29" s="21"/>
      <c r="H29" s="17">
        <f>C29*D29*E29*F29</f>
        <v>-8.7073500000000017</v>
      </c>
      <c r="I29" s="21"/>
    </row>
    <row r="30" spans="1:9">
      <c r="A30" s="23"/>
      <c r="B30" s="62"/>
      <c r="C30" s="21"/>
      <c r="D30" s="21"/>
      <c r="E30" s="21"/>
      <c r="F30" s="21"/>
      <c r="G30" s="21"/>
      <c r="H30" s="17">
        <f>C30*D30*E30*F30</f>
        <v>0</v>
      </c>
      <c r="I30" s="21"/>
    </row>
    <row r="31" spans="1:9">
      <c r="A31" s="40"/>
      <c r="B31" s="46" t="s">
        <v>46</v>
      </c>
      <c r="C31" s="46"/>
      <c r="D31" s="46"/>
      <c r="E31" s="46"/>
      <c r="F31" s="46"/>
      <c r="G31" s="46"/>
      <c r="H31" s="48">
        <f>C31*D31*E31*F31</f>
        <v>0</v>
      </c>
      <c r="I31" s="47">
        <f>SUM(H27:H30)</f>
        <v>3.4993499999999997</v>
      </c>
    </row>
  </sheetData>
  <mergeCells count="7">
    <mergeCell ref="D4:F4"/>
    <mergeCell ref="G4:G5"/>
    <mergeCell ref="I4:I5"/>
    <mergeCell ref="A3:C3"/>
    <mergeCell ref="A4:A5"/>
    <mergeCell ref="B4:B5"/>
    <mergeCell ref="C4:C5"/>
  </mergeCells>
  <phoneticPr fontId="6" type="noConversion"/>
  <pageMargins left="0.75" right="0.75" top="1" bottom="1" header="0" footer="0"/>
  <pageSetup paperSize="9"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L70"/>
  <sheetViews>
    <sheetView view="pageBreakPreview" zoomScale="85" zoomScaleNormal="70" zoomScaleSheetLayoutView="85" workbookViewId="0">
      <pane xSplit="9" ySplit="7" topLeftCell="K8" activePane="bottomRight" state="frozenSplit"/>
      <selection activeCell="B27" sqref="B27"/>
      <selection pane="topRight" activeCell="B27" sqref="B27"/>
      <selection pane="bottomLeft" activeCell="B27" sqref="B27"/>
      <selection pane="bottomRight" activeCell="F62" sqref="F62"/>
    </sheetView>
  </sheetViews>
  <sheetFormatPr baseColWidth="10" defaultRowHeight="12.75" outlineLevelCol="1"/>
  <cols>
    <col min="1" max="1" width="4.5703125" style="45" customWidth="1"/>
    <col min="2" max="2" width="20.85546875" customWidth="1"/>
    <col min="3" max="3" width="7.28515625" bestFit="1" customWidth="1"/>
    <col min="4" max="4" width="7.42578125" customWidth="1"/>
    <col min="5" max="5" width="6.140625" bestFit="1" customWidth="1"/>
    <col min="6" max="6" width="6" bestFit="1" customWidth="1"/>
    <col min="7" max="7" width="9.7109375" customWidth="1"/>
    <col min="8" max="8" width="10" customWidth="1"/>
    <col min="9" max="9" width="8.5703125" style="1" bestFit="1" customWidth="1"/>
    <col min="10" max="10" width="10.42578125" bestFit="1" customWidth="1"/>
    <col min="11" max="11" width="8.7109375" customWidth="1"/>
    <col min="12" max="12" width="7.5703125" bestFit="1" customWidth="1"/>
    <col min="13" max="13" width="7.42578125" customWidth="1"/>
    <col min="14" max="14" width="27.28515625" customWidth="1"/>
    <col min="15" max="15" width="6.85546875" style="36" bestFit="1" customWidth="1"/>
    <col min="16" max="16" width="9.85546875" hidden="1" customWidth="1" outlineLevel="1"/>
    <col min="17" max="18" width="8.5703125" hidden="1" customWidth="1" outlineLevel="1"/>
    <col min="19" max="19" width="10.85546875" style="24" customWidth="1" collapsed="1"/>
    <col min="20" max="20" width="9.7109375" customWidth="1"/>
    <col min="21" max="21" width="7.42578125" customWidth="1" outlineLevel="1"/>
    <col min="22" max="23" width="5.5703125" customWidth="1" outlineLevel="1"/>
    <col min="24" max="24" width="5.140625" customWidth="1" outlineLevel="1"/>
    <col min="25" max="25" width="6" customWidth="1" outlineLevel="1"/>
    <col min="26" max="26" width="6.85546875" customWidth="1" outlineLevel="1"/>
    <col min="27" max="27" width="8.140625" customWidth="1" outlineLevel="1"/>
    <col min="28" max="28" width="6.85546875" customWidth="1" outlineLevel="1"/>
    <col min="29" max="29" width="8.140625" customWidth="1" outlineLevel="1"/>
    <col min="30" max="30" width="5.140625" customWidth="1" outlineLevel="1"/>
    <col min="31" max="32" width="5.28515625" customWidth="1" outlineLevel="1"/>
    <col min="33" max="33" width="9.5703125" customWidth="1"/>
    <col min="35" max="35" width="11.5703125" bestFit="1" customWidth="1"/>
    <col min="36" max="36" width="26.140625" customWidth="1"/>
    <col min="38" max="38" width="11.7109375" bestFit="1" customWidth="1"/>
  </cols>
  <sheetData>
    <row r="1" spans="1:38">
      <c r="L1" s="2"/>
      <c r="O1" s="35"/>
    </row>
    <row r="2" spans="1:38">
      <c r="A2" s="13" t="s">
        <v>31</v>
      </c>
      <c r="B2" s="4"/>
      <c r="C2" s="4"/>
      <c r="D2" s="4"/>
      <c r="E2" s="4"/>
      <c r="F2" s="4"/>
      <c r="G2" s="4"/>
      <c r="H2" s="4"/>
      <c r="I2" s="42"/>
      <c r="J2" s="4"/>
      <c r="K2" s="4"/>
      <c r="L2" s="4"/>
      <c r="M2" s="42"/>
      <c r="N2" s="42"/>
      <c r="O2" s="43"/>
      <c r="P2" s="4"/>
      <c r="Q2" s="4"/>
      <c r="R2" s="4"/>
      <c r="S2" s="12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"/>
    </row>
    <row r="3" spans="1:38">
      <c r="A3" s="163" t="str">
        <f>+MOV.TIERRAS!A2</f>
        <v>Proyecto : xxx</v>
      </c>
      <c r="B3" s="4"/>
      <c r="C3" s="4"/>
      <c r="D3" s="4"/>
      <c r="E3" s="4"/>
      <c r="F3" s="4"/>
      <c r="G3" s="4"/>
      <c r="H3" s="4"/>
      <c r="I3" s="6"/>
      <c r="J3" s="3" t="s">
        <v>39</v>
      </c>
      <c r="K3" s="4" t="s">
        <v>40</v>
      </c>
      <c r="L3" s="4"/>
      <c r="M3" s="4"/>
      <c r="N3" s="4"/>
      <c r="O3" s="5"/>
      <c r="P3" s="4"/>
      <c r="Q3" s="4"/>
      <c r="R3" s="4"/>
      <c r="S3" s="12"/>
      <c r="T3" s="4"/>
      <c r="U3" s="4"/>
      <c r="V3" s="3" t="s">
        <v>162</v>
      </c>
      <c r="W3" s="4"/>
      <c r="X3" s="4"/>
      <c r="Y3" s="4"/>
      <c r="Z3" s="4"/>
      <c r="AA3" s="4"/>
      <c r="AB3" s="4"/>
      <c r="AC3" s="6"/>
      <c r="AD3" s="8"/>
      <c r="AE3" s="8"/>
      <c r="AF3" s="8"/>
      <c r="AG3" s="10"/>
    </row>
    <row r="4" spans="1:38">
      <c r="A4" s="180" t="s">
        <v>136</v>
      </c>
      <c r="B4" s="181"/>
      <c r="C4" s="182"/>
      <c r="D4" s="7" t="s">
        <v>0</v>
      </c>
      <c r="E4" s="8"/>
      <c r="F4" s="8"/>
      <c r="G4" s="8"/>
      <c r="H4" s="9"/>
      <c r="I4" s="10"/>
      <c r="J4" s="175" t="s">
        <v>1</v>
      </c>
      <c r="K4" s="176"/>
      <c r="L4" s="176"/>
      <c r="M4" s="177"/>
      <c r="N4" s="12" t="s">
        <v>35</v>
      </c>
      <c r="O4" s="13"/>
      <c r="P4" s="4"/>
      <c r="Q4" s="4"/>
      <c r="R4" s="4"/>
      <c r="S4" s="12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6"/>
    </row>
    <row r="5" spans="1:38" ht="12.75" customHeight="1">
      <c r="A5" s="188" t="s">
        <v>2</v>
      </c>
      <c r="B5" s="178" t="s">
        <v>3</v>
      </c>
      <c r="C5" s="178" t="s">
        <v>4</v>
      </c>
      <c r="D5" s="175" t="s">
        <v>5</v>
      </c>
      <c r="E5" s="176"/>
      <c r="F5" s="177"/>
      <c r="G5" s="178" t="s">
        <v>6</v>
      </c>
      <c r="H5" s="14" t="s">
        <v>7</v>
      </c>
      <c r="I5" s="178" t="s">
        <v>8</v>
      </c>
      <c r="J5" s="175" t="s">
        <v>5</v>
      </c>
      <c r="K5" s="177"/>
      <c r="L5" s="178" t="s">
        <v>7</v>
      </c>
      <c r="M5" s="178" t="s">
        <v>9</v>
      </c>
      <c r="N5" s="14"/>
      <c r="O5" s="188" t="s">
        <v>4</v>
      </c>
      <c r="P5" s="186" t="s">
        <v>10</v>
      </c>
      <c r="Q5" s="186" t="s">
        <v>11</v>
      </c>
      <c r="R5" s="186" t="s">
        <v>12</v>
      </c>
      <c r="S5" s="26" t="s">
        <v>34</v>
      </c>
      <c r="T5" s="26"/>
      <c r="U5" s="10" t="s">
        <v>29</v>
      </c>
      <c r="V5" s="10"/>
      <c r="W5" s="8"/>
      <c r="X5" s="8"/>
      <c r="Y5" s="8"/>
      <c r="Z5" s="8"/>
      <c r="AA5" s="8"/>
      <c r="AB5" s="8"/>
      <c r="AC5" s="8"/>
      <c r="AD5" s="8"/>
      <c r="AE5" s="8"/>
      <c r="AF5" s="8"/>
      <c r="AG5" s="10"/>
    </row>
    <row r="6" spans="1:38" ht="30" customHeight="1">
      <c r="A6" s="189"/>
      <c r="B6" s="179"/>
      <c r="C6" s="179"/>
      <c r="D6" s="15" t="s">
        <v>13</v>
      </c>
      <c r="E6" s="15" t="s">
        <v>14</v>
      </c>
      <c r="F6" s="15" t="s">
        <v>15</v>
      </c>
      <c r="G6" s="179"/>
      <c r="H6" s="41" t="s">
        <v>16</v>
      </c>
      <c r="I6" s="179"/>
      <c r="J6" s="15" t="s">
        <v>13</v>
      </c>
      <c r="K6" s="15" t="s">
        <v>14</v>
      </c>
      <c r="L6" s="179"/>
      <c r="M6" s="179"/>
      <c r="N6" s="44"/>
      <c r="O6" s="189"/>
      <c r="P6" s="187"/>
      <c r="Q6" s="187"/>
      <c r="R6" s="187"/>
      <c r="S6" s="27" t="s">
        <v>33</v>
      </c>
      <c r="T6" s="27" t="s">
        <v>32</v>
      </c>
      <c r="U6" s="15" t="s">
        <v>30</v>
      </c>
      <c r="V6" s="15" t="s">
        <v>17</v>
      </c>
      <c r="W6" s="15" t="s">
        <v>18</v>
      </c>
      <c r="X6" s="15" t="s">
        <v>28</v>
      </c>
      <c r="Y6" s="15" t="s">
        <v>19</v>
      </c>
      <c r="Z6" s="15" t="s">
        <v>20</v>
      </c>
      <c r="AA6" s="15" t="s">
        <v>21</v>
      </c>
      <c r="AB6" s="15" t="s">
        <v>22</v>
      </c>
      <c r="AC6" s="15" t="s">
        <v>23</v>
      </c>
      <c r="AD6" s="11" t="s">
        <v>24</v>
      </c>
      <c r="AE6" s="11" t="s">
        <v>26</v>
      </c>
      <c r="AF6" s="11" t="s">
        <v>27</v>
      </c>
      <c r="AG6" s="15" t="s">
        <v>25</v>
      </c>
    </row>
    <row r="7" spans="1:38" s="33" customFormat="1">
      <c r="A7" s="149"/>
      <c r="B7" s="28"/>
      <c r="C7" s="29"/>
      <c r="D7" s="28"/>
      <c r="E7" s="28"/>
      <c r="F7" s="28"/>
      <c r="G7" s="30"/>
      <c r="H7" s="31"/>
      <c r="I7" s="31"/>
      <c r="J7" s="28"/>
      <c r="K7" s="28"/>
      <c r="L7" s="28"/>
      <c r="M7" s="28"/>
      <c r="N7" s="28"/>
      <c r="O7" s="34"/>
      <c r="P7" s="29"/>
      <c r="Q7" s="29"/>
      <c r="R7" s="29"/>
      <c r="S7" s="25"/>
      <c r="T7" s="28"/>
      <c r="U7" s="32">
        <v>1</v>
      </c>
      <c r="V7" s="32">
        <v>0.2</v>
      </c>
      <c r="W7" s="32">
        <v>0.4</v>
      </c>
      <c r="X7" s="39">
        <v>0.06</v>
      </c>
      <c r="Y7" s="32">
        <v>0.25</v>
      </c>
      <c r="Z7" s="32">
        <v>0.56000000000000005</v>
      </c>
      <c r="AA7" s="32">
        <v>0.99</v>
      </c>
      <c r="AB7" s="32">
        <v>1.55</v>
      </c>
      <c r="AC7" s="32">
        <v>2.2400000000000002</v>
      </c>
      <c r="AD7" s="32">
        <v>3.97</v>
      </c>
      <c r="AE7" s="32">
        <v>7.51</v>
      </c>
      <c r="AF7" s="32">
        <v>8.94</v>
      </c>
      <c r="AG7" s="28"/>
    </row>
    <row r="8" spans="1:38">
      <c r="A8" s="23"/>
      <c r="B8" s="62"/>
      <c r="C8" s="21"/>
      <c r="D8" s="21"/>
      <c r="E8" s="21"/>
      <c r="F8" s="72"/>
      <c r="G8" s="21"/>
      <c r="H8" s="17"/>
      <c r="I8" s="21"/>
      <c r="J8" s="21"/>
      <c r="K8" s="21"/>
      <c r="L8" s="16"/>
      <c r="M8" s="21"/>
      <c r="N8" s="21"/>
      <c r="O8" s="23"/>
      <c r="P8" s="21"/>
      <c r="Q8" s="21"/>
      <c r="R8" s="21"/>
      <c r="S8" s="37"/>
      <c r="T8" s="23"/>
      <c r="U8" s="16">
        <f>IF(S8="R",O8*T8*$U$7,0)</f>
        <v>0</v>
      </c>
      <c r="V8" s="16">
        <f>IF(S8="6mm",O8*T8*$V$7,0)</f>
        <v>0</v>
      </c>
      <c r="W8" s="16">
        <f>IF(S8="8mm",O8*T8*$W$7,0)</f>
        <v>0</v>
      </c>
      <c r="X8" s="18">
        <f>IF(S8="#1",O8*T8*$X$7,0)</f>
        <v>0</v>
      </c>
      <c r="Y8" s="16">
        <f>IF(S8="#2",O8*T8*$Y$7,0)</f>
        <v>0</v>
      </c>
      <c r="Z8" s="16">
        <f>IF(S8="#3",O8*T8*$Z$7,0)</f>
        <v>0</v>
      </c>
      <c r="AA8" s="16">
        <f>IF(S8="#4",O8*T8*$AA$7,0)</f>
        <v>0</v>
      </c>
      <c r="AB8" s="16">
        <f>IF(S8="#5",O8*T8*$AB$7,0)</f>
        <v>0</v>
      </c>
      <c r="AC8" s="16">
        <f>IF(S8="#6",O8*T8*$AC$7,0)</f>
        <v>0</v>
      </c>
      <c r="AD8" s="16">
        <f>IF(S8="#8",O8*T8*$AD$7,0)</f>
        <v>0</v>
      </c>
      <c r="AE8" s="16">
        <f>IF(S8="#11",O8*T8*$AE$7,0)</f>
        <v>0</v>
      </c>
      <c r="AF8" s="16">
        <f>IF(S8="#12",O8*T8*$AF$7,0)</f>
        <v>0</v>
      </c>
      <c r="AG8" s="21"/>
    </row>
    <row r="9" spans="1:38">
      <c r="B9" s="50"/>
      <c r="C9" s="23"/>
      <c r="D9" s="23"/>
      <c r="E9" s="23"/>
      <c r="F9" s="52"/>
      <c r="G9" s="52"/>
      <c r="H9" s="51"/>
      <c r="I9" s="21"/>
      <c r="J9" s="21"/>
      <c r="K9" s="21"/>
      <c r="L9" s="16"/>
      <c r="M9" s="21"/>
      <c r="N9" s="54"/>
      <c r="O9" s="23"/>
      <c r="P9" s="23"/>
      <c r="Q9" s="23"/>
      <c r="R9" s="23"/>
      <c r="S9" s="37"/>
      <c r="T9" s="23"/>
      <c r="U9" s="16">
        <f t="shared" ref="U9:U17" si="0">IF(S9="R",O9*T9*$U$7,0)</f>
        <v>0</v>
      </c>
      <c r="V9" s="16">
        <f t="shared" ref="V9:V17" si="1">IF(S9="6mm",O9*T9*$V$7,0)</f>
        <v>0</v>
      </c>
      <c r="W9" s="16">
        <f t="shared" ref="W9:W17" si="2">IF(S9="8mm",O9*T9*$W$7,0)</f>
        <v>0</v>
      </c>
      <c r="X9" s="18">
        <f t="shared" ref="X9:X17" si="3">IF(S9="#1",O9*T9*$X$7,0)</f>
        <v>0</v>
      </c>
      <c r="Y9" s="16">
        <f t="shared" ref="Y9:Y17" si="4">IF(S9="#2",O9*T9*$Y$7,0)</f>
        <v>0</v>
      </c>
      <c r="Z9" s="16">
        <f t="shared" ref="Z9:Z17" si="5">IF(S9="#3",O9*T9*$Z$7,0)</f>
        <v>0</v>
      </c>
      <c r="AA9" s="16">
        <f t="shared" ref="AA9:AA17" si="6">IF(S9="#4",O9*T9*$AA$7,0)</f>
        <v>0</v>
      </c>
      <c r="AB9" s="16">
        <f t="shared" ref="AB9:AB17" si="7">IF(S9="#5",O9*T9*$AB$7,0)</f>
        <v>0</v>
      </c>
      <c r="AC9" s="16">
        <f t="shared" ref="AC9:AC17" si="8">IF(S9="#6",O9*T9*$AC$7,0)</f>
        <v>0</v>
      </c>
      <c r="AD9" s="16">
        <f t="shared" ref="AD9:AD17" si="9">IF(S9="#8",O9*T9*$AD$7,0)</f>
        <v>0</v>
      </c>
      <c r="AE9" s="16">
        <f t="shared" ref="AE9:AE17" si="10">IF(S9="#11",O9*T9*$AE$7,0)</f>
        <v>0</v>
      </c>
      <c r="AF9" s="16">
        <f t="shared" ref="AF9:AF17" si="11">IF(S9="#12",O9*T9*$AF$7,0)</f>
        <v>0</v>
      </c>
      <c r="AG9" s="21"/>
    </row>
    <row r="10" spans="1:38" s="157" customFormat="1" ht="15.75">
      <c r="A10" s="23"/>
      <c r="B10" s="183" t="s">
        <v>144</v>
      </c>
      <c r="C10" s="190"/>
      <c r="D10" s="191"/>
      <c r="E10" s="192"/>
      <c r="F10" s="23"/>
      <c r="G10" s="52"/>
      <c r="H10" s="51"/>
      <c r="I10" s="40"/>
      <c r="J10" s="23"/>
      <c r="K10" s="23"/>
      <c r="L10" s="16"/>
      <c r="M10" s="40"/>
      <c r="N10" s="40"/>
      <c r="O10" s="40"/>
      <c r="P10" s="40"/>
      <c r="Q10" s="40"/>
      <c r="R10" s="40"/>
      <c r="S10" s="156"/>
      <c r="T10" s="40"/>
      <c r="U10" s="16">
        <f t="shared" si="0"/>
        <v>0</v>
      </c>
      <c r="V10" s="16">
        <f t="shared" si="1"/>
        <v>0</v>
      </c>
      <c r="W10" s="16">
        <f t="shared" si="2"/>
        <v>0</v>
      </c>
      <c r="X10" s="18">
        <f t="shared" si="3"/>
        <v>0</v>
      </c>
      <c r="Y10" s="16">
        <f t="shared" si="4"/>
        <v>0</v>
      </c>
      <c r="Z10" s="16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6">
        <f t="shared" si="9"/>
        <v>0</v>
      </c>
      <c r="AE10" s="16">
        <f t="shared" si="10"/>
        <v>0</v>
      </c>
      <c r="AF10" s="16">
        <f t="shared" si="11"/>
        <v>0</v>
      </c>
      <c r="AG10" s="21"/>
      <c r="AI10" s="45"/>
      <c r="AK10" s="158"/>
      <c r="AL10" s="158"/>
    </row>
    <row r="11" spans="1:38" s="45" customFormat="1">
      <c r="B11" s="50"/>
      <c r="C11" s="23"/>
      <c r="D11" s="23"/>
      <c r="E11" s="23"/>
      <c r="F11" s="52"/>
      <c r="G11" s="52"/>
      <c r="H11" s="51"/>
      <c r="I11" s="23"/>
      <c r="J11" s="23"/>
      <c r="K11" s="23"/>
      <c r="L11" s="18"/>
      <c r="M11" s="23"/>
      <c r="N11" s="159"/>
      <c r="O11" s="23"/>
      <c r="P11" s="23"/>
      <c r="Q11" s="23"/>
      <c r="R11" s="23"/>
      <c r="S11" s="37"/>
      <c r="T11" s="23"/>
      <c r="U11" s="16">
        <f t="shared" si="0"/>
        <v>0</v>
      </c>
      <c r="V11" s="16">
        <f t="shared" si="1"/>
        <v>0</v>
      </c>
      <c r="W11" s="16">
        <f t="shared" si="2"/>
        <v>0</v>
      </c>
      <c r="X11" s="18">
        <f t="shared" si="3"/>
        <v>0</v>
      </c>
      <c r="Y11" s="16">
        <f t="shared" si="4"/>
        <v>0</v>
      </c>
      <c r="Z11" s="16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6">
        <f t="shared" si="9"/>
        <v>0</v>
      </c>
      <c r="AE11" s="16">
        <f t="shared" si="10"/>
        <v>0</v>
      </c>
      <c r="AF11" s="16">
        <f t="shared" si="11"/>
        <v>0</v>
      </c>
      <c r="AG11" s="23"/>
    </row>
    <row r="12" spans="1:38">
      <c r="B12" s="160" t="s">
        <v>145</v>
      </c>
      <c r="C12" s="23"/>
      <c r="D12" s="23"/>
      <c r="E12" s="23"/>
      <c r="F12" s="52"/>
      <c r="G12" s="52"/>
      <c r="H12" s="51"/>
      <c r="I12" s="23"/>
      <c r="J12" s="23"/>
      <c r="K12" s="23"/>
      <c r="L12" s="18"/>
      <c r="M12" s="23"/>
      <c r="N12" s="159"/>
      <c r="O12" s="23"/>
      <c r="P12" s="23"/>
      <c r="Q12" s="23"/>
      <c r="R12" s="23"/>
      <c r="S12" s="37"/>
      <c r="T12" s="23"/>
      <c r="U12" s="16">
        <f t="shared" si="0"/>
        <v>0</v>
      </c>
      <c r="V12" s="16">
        <f t="shared" si="1"/>
        <v>0</v>
      </c>
      <c r="W12" s="16">
        <f t="shared" si="2"/>
        <v>0</v>
      </c>
      <c r="X12" s="18">
        <f t="shared" si="3"/>
        <v>0</v>
      </c>
      <c r="Y12" s="16">
        <f t="shared" si="4"/>
        <v>0</v>
      </c>
      <c r="Z12" s="16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6">
        <f t="shared" si="9"/>
        <v>0</v>
      </c>
      <c r="AE12" s="16">
        <f t="shared" si="10"/>
        <v>0</v>
      </c>
      <c r="AF12" s="16">
        <f t="shared" si="11"/>
        <v>0</v>
      </c>
      <c r="AG12" s="21"/>
    </row>
    <row r="13" spans="1:38">
      <c r="B13" s="50"/>
      <c r="C13" s="23">
        <v>1</v>
      </c>
      <c r="D13" s="23">
        <v>0.5</v>
      </c>
      <c r="E13" s="23">
        <v>0.5</v>
      </c>
      <c r="F13" s="52">
        <f>4.5-0.65</f>
        <v>3.85</v>
      </c>
      <c r="G13" s="161">
        <f>C13*D13*E13</f>
        <v>0.25</v>
      </c>
      <c r="H13" s="74">
        <f>F13*G13</f>
        <v>0.96250000000000002</v>
      </c>
      <c r="I13" s="23"/>
      <c r="J13" s="23">
        <f>+(D13+E13)*2</f>
        <v>2</v>
      </c>
      <c r="K13" s="23">
        <f>4.5-0.65</f>
        <v>3.85</v>
      </c>
      <c r="L13" s="162">
        <f>J13*K13*C13</f>
        <v>7.7</v>
      </c>
      <c r="M13" s="23"/>
      <c r="N13" s="159" t="s">
        <v>139</v>
      </c>
      <c r="O13" s="23">
        <f>+(16)*C13</f>
        <v>16</v>
      </c>
      <c r="P13" s="23"/>
      <c r="Q13" s="23"/>
      <c r="R13" s="23"/>
      <c r="S13" s="37" t="s">
        <v>146</v>
      </c>
      <c r="T13" s="23">
        <v>4.5</v>
      </c>
      <c r="U13" s="16">
        <f t="shared" si="0"/>
        <v>0</v>
      </c>
      <c r="V13" s="16">
        <f t="shared" si="1"/>
        <v>0</v>
      </c>
      <c r="W13" s="16">
        <f t="shared" si="2"/>
        <v>0</v>
      </c>
      <c r="X13" s="18">
        <f t="shared" si="3"/>
        <v>0</v>
      </c>
      <c r="Y13" s="16">
        <f t="shared" si="4"/>
        <v>0</v>
      </c>
      <c r="Z13" s="16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161.28000000000003</v>
      </c>
      <c r="AD13" s="16">
        <f t="shared" si="9"/>
        <v>0</v>
      </c>
      <c r="AE13" s="16">
        <f t="shared" si="10"/>
        <v>0</v>
      </c>
      <c r="AF13" s="16">
        <f t="shared" si="11"/>
        <v>0</v>
      </c>
      <c r="AG13" s="21"/>
      <c r="AJ13" s="140" t="s">
        <v>141</v>
      </c>
    </row>
    <row r="14" spans="1:38">
      <c r="B14" s="50"/>
      <c r="C14" s="23"/>
      <c r="D14" s="23"/>
      <c r="E14" s="23"/>
      <c r="F14" s="52"/>
      <c r="G14" s="52"/>
      <c r="H14" s="51">
        <f>F14*G14</f>
        <v>0</v>
      </c>
      <c r="I14" s="23"/>
      <c r="J14" s="23"/>
      <c r="K14" s="23"/>
      <c r="L14" s="18">
        <f>J14*K14</f>
        <v>0</v>
      </c>
      <c r="M14" s="23"/>
      <c r="N14" s="159" t="s">
        <v>140</v>
      </c>
      <c r="O14" s="23">
        <f>ROUNDUP((3.85-1.5)/0.25+15,0)</f>
        <v>25</v>
      </c>
      <c r="P14" s="23"/>
      <c r="Q14" s="23"/>
      <c r="R14" s="23"/>
      <c r="S14" s="37" t="s">
        <v>138</v>
      </c>
      <c r="T14" s="23">
        <f>+(0.5-0.05+0.5-0.05)*2+0.1+0.1</f>
        <v>2</v>
      </c>
      <c r="U14" s="16">
        <f t="shared" si="0"/>
        <v>0</v>
      </c>
      <c r="V14" s="16">
        <f t="shared" si="1"/>
        <v>0</v>
      </c>
      <c r="W14" s="16">
        <f t="shared" si="2"/>
        <v>0</v>
      </c>
      <c r="X14" s="18">
        <f t="shared" si="3"/>
        <v>0</v>
      </c>
      <c r="Y14" s="16">
        <f t="shared" si="4"/>
        <v>0</v>
      </c>
      <c r="Z14" s="16">
        <f t="shared" si="5"/>
        <v>28.000000000000004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6">
        <f t="shared" si="9"/>
        <v>0</v>
      </c>
      <c r="AE14" s="16">
        <f t="shared" si="10"/>
        <v>0</v>
      </c>
      <c r="AF14" s="16">
        <f t="shared" si="11"/>
        <v>0</v>
      </c>
      <c r="AG14" s="21"/>
      <c r="AI14" s="164">
        <f>SUM(U13:AF14)</f>
        <v>189.28000000000003</v>
      </c>
      <c r="AJ14" s="165">
        <f>+AI14/H13</f>
        <v>196.65454545454548</v>
      </c>
    </row>
    <row r="15" spans="1:38">
      <c r="B15" s="50"/>
      <c r="C15" s="23"/>
      <c r="D15" s="23"/>
      <c r="E15" s="23"/>
      <c r="F15" s="52"/>
      <c r="G15" s="52"/>
      <c r="H15" s="51">
        <f>F15*G15</f>
        <v>0</v>
      </c>
      <c r="I15" s="23"/>
      <c r="J15" s="23"/>
      <c r="K15" s="23"/>
      <c r="L15" s="18">
        <f>J15*K15</f>
        <v>0</v>
      </c>
      <c r="M15" s="23"/>
      <c r="N15" s="159" t="s">
        <v>140</v>
      </c>
      <c r="O15" s="23">
        <f>ROUNDUP((3.85-1.5)/0.25+15,0)</f>
        <v>25</v>
      </c>
      <c r="P15" s="23"/>
      <c r="Q15" s="23"/>
      <c r="R15" s="23"/>
      <c r="S15" s="37" t="s">
        <v>138</v>
      </c>
      <c r="T15" s="23">
        <f>+(0.5-0.05+0.25-0.05)*2+0.1+0.1</f>
        <v>1.5</v>
      </c>
      <c r="U15" s="16">
        <f>IF(S15="R",O15*T15*$U$7,0)</f>
        <v>0</v>
      </c>
      <c r="V15" s="16">
        <f>IF(S15="6mm",O15*T15*$V$7,0)</f>
        <v>0</v>
      </c>
      <c r="W15" s="16">
        <f>IF(S15="8mm",O15*T15*$W$7,0)</f>
        <v>0</v>
      </c>
      <c r="X15" s="18">
        <f>IF(S15="#1",O15*T15*$X$7,0)</f>
        <v>0</v>
      </c>
      <c r="Y15" s="16">
        <f>IF(S15="#2",O15*T15*$Y$7,0)</f>
        <v>0</v>
      </c>
      <c r="Z15" s="16">
        <f>IF(S15="#3",O15*T15*$Z$7,0)</f>
        <v>21.000000000000004</v>
      </c>
      <c r="AA15" s="16">
        <f>IF(S15="#4",O15*T15*$AA$7,0)</f>
        <v>0</v>
      </c>
      <c r="AB15" s="16">
        <f>IF(S15="#5",O15*T15*$AB$7,0)</f>
        <v>0</v>
      </c>
      <c r="AC15" s="16">
        <f>IF(S15="#6",O15*T15*$AC$7,0)</f>
        <v>0</v>
      </c>
      <c r="AD15" s="16">
        <f>IF(S15="#8",O15*T15*$AD$7,0)</f>
        <v>0</v>
      </c>
      <c r="AE15" s="16">
        <f>IF(S15="#11",O15*T15*$AE$7,0)</f>
        <v>0</v>
      </c>
      <c r="AF15" s="16">
        <f>IF(S15="#12",O15*T15*$AF$7,0)</f>
        <v>0</v>
      </c>
      <c r="AG15" s="21"/>
    </row>
    <row r="16" spans="1:38">
      <c r="B16" s="50"/>
      <c r="C16" s="23"/>
      <c r="D16" s="23"/>
      <c r="E16" s="23"/>
      <c r="F16" s="52"/>
      <c r="G16" s="52"/>
      <c r="H16" s="51">
        <f>F16*G16</f>
        <v>0</v>
      </c>
      <c r="I16" s="23"/>
      <c r="J16" s="23"/>
      <c r="K16" s="23"/>
      <c r="L16" s="18">
        <f>J16*K16</f>
        <v>0</v>
      </c>
      <c r="M16" s="23"/>
      <c r="N16" s="159" t="s">
        <v>140</v>
      </c>
      <c r="O16" s="23">
        <f>ROUNDUP((3.85-1.5)/0.25+15,0)</f>
        <v>25</v>
      </c>
      <c r="P16" s="23"/>
      <c r="Q16" s="23"/>
      <c r="R16" s="23"/>
      <c r="S16" s="37" t="s">
        <v>138</v>
      </c>
      <c r="T16" s="23">
        <f>+(0.5-0.05+0.25-0.05)*2+0.1+0.1</f>
        <v>1.5</v>
      </c>
      <c r="U16" s="16">
        <f>IF(S16="R",O16*T16*$U$7,0)</f>
        <v>0</v>
      </c>
      <c r="V16" s="16">
        <f>IF(S16="6mm",O16*T16*$V$7,0)</f>
        <v>0</v>
      </c>
      <c r="W16" s="16">
        <f>IF(S16="8mm",O16*T16*$W$7,0)</f>
        <v>0</v>
      </c>
      <c r="X16" s="18">
        <f>IF(S16="#1",O16*T16*$X$7,0)</f>
        <v>0</v>
      </c>
      <c r="Y16" s="16">
        <f>IF(S16="#2",O16*T16*$Y$7,0)</f>
        <v>0</v>
      </c>
      <c r="Z16" s="16">
        <f>IF(S16="#3",O16*T16*$Z$7,0)</f>
        <v>21.000000000000004</v>
      </c>
      <c r="AA16" s="16">
        <f>IF(S16="#4",O16*T16*$AA$7,0)</f>
        <v>0</v>
      </c>
      <c r="AB16" s="16">
        <f>IF(S16="#5",O16*T16*$AB$7,0)</f>
        <v>0</v>
      </c>
      <c r="AC16" s="16">
        <f>IF(S16="#6",O16*T16*$AC$7,0)</f>
        <v>0</v>
      </c>
      <c r="AD16" s="16">
        <f>IF(S16="#8",O16*T16*$AD$7,0)</f>
        <v>0</v>
      </c>
      <c r="AE16" s="16">
        <f>IF(S16="#11",O16*T16*$AE$7,0)</f>
        <v>0</v>
      </c>
      <c r="AF16" s="16">
        <f>IF(S16="#12",O16*T16*$AF$7,0)</f>
        <v>0</v>
      </c>
      <c r="AG16" s="21"/>
    </row>
    <row r="17" spans="2:35">
      <c r="B17" s="50"/>
      <c r="C17" s="23"/>
      <c r="D17" s="23"/>
      <c r="E17" s="23"/>
      <c r="F17" s="52"/>
      <c r="G17" s="52"/>
      <c r="H17" s="51">
        <f>F17*G17</f>
        <v>0</v>
      </c>
      <c r="I17" s="23"/>
      <c r="J17" s="23"/>
      <c r="K17" s="23"/>
      <c r="L17" s="18">
        <f>J17*K17</f>
        <v>0</v>
      </c>
      <c r="M17" s="23"/>
      <c r="N17" s="159"/>
      <c r="O17" s="23"/>
      <c r="P17" s="23"/>
      <c r="Q17" s="23"/>
      <c r="R17" s="23"/>
      <c r="S17" s="37"/>
      <c r="T17" s="23"/>
      <c r="U17" s="16">
        <f t="shared" si="0"/>
        <v>0</v>
      </c>
      <c r="V17" s="16">
        <f t="shared" si="1"/>
        <v>0</v>
      </c>
      <c r="W17" s="16">
        <f t="shared" si="2"/>
        <v>0</v>
      </c>
      <c r="X17" s="18">
        <f t="shared" si="3"/>
        <v>0</v>
      </c>
      <c r="Y17" s="16">
        <f t="shared" si="4"/>
        <v>0</v>
      </c>
      <c r="Z17" s="16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6">
        <f t="shared" si="9"/>
        <v>0</v>
      </c>
      <c r="AE17" s="16">
        <f t="shared" si="10"/>
        <v>0</v>
      </c>
      <c r="AF17" s="16">
        <f t="shared" si="11"/>
        <v>0</v>
      </c>
      <c r="AG17" s="21"/>
    </row>
    <row r="18" spans="2:35">
      <c r="B18" s="46" t="s">
        <v>149</v>
      </c>
      <c r="C18" s="55"/>
      <c r="D18" s="55"/>
      <c r="E18" s="65"/>
      <c r="F18" s="66"/>
      <c r="G18" s="66"/>
      <c r="H18" s="66"/>
      <c r="I18" s="56">
        <f>SUM(H10:H18)</f>
        <v>0.96250000000000002</v>
      </c>
      <c r="J18" s="65"/>
      <c r="K18" s="65"/>
      <c r="L18" s="69"/>
      <c r="M18" s="56">
        <f>SUM(L10:L18)</f>
        <v>7.7</v>
      </c>
      <c r="N18" s="67"/>
      <c r="O18" s="65"/>
      <c r="P18" s="65"/>
      <c r="Q18" s="65"/>
      <c r="R18" s="65"/>
      <c r="S18" s="68"/>
      <c r="T18" s="65"/>
      <c r="U18" s="69">
        <f t="shared" ref="U18:AF18" si="12">SUM(U12:U17)</f>
        <v>0</v>
      </c>
      <c r="V18" s="69">
        <f t="shared" si="12"/>
        <v>0</v>
      </c>
      <c r="W18" s="69">
        <f t="shared" si="12"/>
        <v>0</v>
      </c>
      <c r="X18" s="69">
        <f t="shared" si="12"/>
        <v>0</v>
      </c>
      <c r="Y18" s="69">
        <f t="shared" si="12"/>
        <v>0</v>
      </c>
      <c r="Z18" s="69">
        <f t="shared" si="12"/>
        <v>70.000000000000014</v>
      </c>
      <c r="AA18" s="69">
        <f t="shared" si="12"/>
        <v>0</v>
      </c>
      <c r="AB18" s="69">
        <f t="shared" si="12"/>
        <v>0</v>
      </c>
      <c r="AC18" s="69">
        <f t="shared" si="12"/>
        <v>161.28000000000003</v>
      </c>
      <c r="AD18" s="69">
        <f t="shared" si="12"/>
        <v>0</v>
      </c>
      <c r="AE18" s="69">
        <f t="shared" si="12"/>
        <v>0</v>
      </c>
      <c r="AF18" s="69">
        <f t="shared" si="12"/>
        <v>0</v>
      </c>
      <c r="AG18" s="56">
        <f>SUM(U18:AF18)</f>
        <v>231.28000000000003</v>
      </c>
      <c r="AI18" s="57">
        <f>AG18/I18</f>
        <v>240.29090909090911</v>
      </c>
    </row>
    <row r="19" spans="2:35">
      <c r="B19" s="50"/>
      <c r="C19" s="23"/>
      <c r="D19" s="23"/>
      <c r="E19" s="23"/>
      <c r="F19" s="52"/>
      <c r="G19" s="52"/>
      <c r="H19" s="51">
        <f>F19*G19</f>
        <v>0</v>
      </c>
      <c r="I19" s="23"/>
      <c r="J19" s="23"/>
      <c r="K19" s="23"/>
      <c r="L19" s="18">
        <f>J19*K19</f>
        <v>0</v>
      </c>
      <c r="M19" s="23"/>
      <c r="N19" s="159"/>
      <c r="O19" s="23"/>
      <c r="P19" s="23"/>
      <c r="Q19" s="23"/>
      <c r="R19" s="23"/>
      <c r="S19" s="37"/>
      <c r="T19" s="23"/>
      <c r="U19" s="16">
        <f>IF(S19="R",O19*T19*$U$7,0)</f>
        <v>0</v>
      </c>
      <c r="V19" s="16">
        <f>IF(S19="6mm",O19*T19*$V$7,0)</f>
        <v>0</v>
      </c>
      <c r="W19" s="16">
        <f>IF(S19="8mm",O19*T19*$W$7,0)</f>
        <v>0</v>
      </c>
      <c r="X19" s="18">
        <f>IF(S19="#1",O19*T19*$X$7,0)</f>
        <v>0</v>
      </c>
      <c r="Y19" s="16">
        <f>IF(S19="#2",O19*T19*$Y$7,0)</f>
        <v>0</v>
      </c>
      <c r="Z19" s="16">
        <f>IF(S19="#3",O19*T19*$Z$7,0)</f>
        <v>0</v>
      </c>
      <c r="AA19" s="16">
        <f>IF(S19="#4",O19*T19*$AA$7,0)</f>
        <v>0</v>
      </c>
      <c r="AB19" s="16">
        <f>IF(S19="#5",O19*T19*$AB$7,0)</f>
        <v>0</v>
      </c>
      <c r="AC19" s="16">
        <f>IF(S19="#6",O19*T19*$AC$7,0)</f>
        <v>0</v>
      </c>
      <c r="AD19" s="16">
        <f>IF(S19="#8",O19*T19*$AD$7,0)</f>
        <v>0</v>
      </c>
      <c r="AE19" s="16">
        <f>IF(S19="#11",O19*T19*$AE$7,0)</f>
        <v>0</v>
      </c>
      <c r="AF19" s="16">
        <f>IF(S19="#12",O19*T19*$AF$7,0)</f>
        <v>0</v>
      </c>
      <c r="AG19" s="21"/>
    </row>
    <row r="20" spans="2:35" ht="15.75">
      <c r="B20" s="183" t="s">
        <v>147</v>
      </c>
      <c r="C20" s="184"/>
      <c r="D20" s="184"/>
      <c r="E20" s="185"/>
      <c r="F20" s="52"/>
      <c r="G20" s="52"/>
      <c r="H20" s="51"/>
      <c r="I20" s="21"/>
      <c r="J20" s="21"/>
      <c r="K20" s="21"/>
      <c r="L20" s="16"/>
      <c r="M20" s="21"/>
      <c r="N20" s="54"/>
      <c r="O20" s="23"/>
      <c r="P20" s="23"/>
      <c r="Q20" s="23"/>
      <c r="R20" s="23"/>
      <c r="S20" s="37"/>
      <c r="T20" s="23"/>
      <c r="U20" s="16">
        <f t="shared" ref="U20:U36" si="13">IF(S20="R",O20*T20*$U$7,0)</f>
        <v>0</v>
      </c>
      <c r="V20" s="16">
        <f t="shared" ref="V20:V36" si="14">IF(S20="6mm",O20*T20*$V$7,0)</f>
        <v>0</v>
      </c>
      <c r="W20" s="16">
        <f t="shared" ref="W20:W36" si="15">IF(S20="8mm",O20*T20*$W$7,0)</f>
        <v>0</v>
      </c>
      <c r="X20" s="18">
        <f t="shared" ref="X20:X36" si="16">IF(S20="#1",O20*T20*$X$7,0)</f>
        <v>0</v>
      </c>
      <c r="Y20" s="16">
        <f t="shared" ref="Y20:Y36" si="17">IF(S20="#2",O20*T20*$Y$7,0)</f>
        <v>0</v>
      </c>
      <c r="Z20" s="16">
        <f t="shared" ref="Z20:Z36" si="18">IF(S20="#3",O20*T20*$Z$7,0)</f>
        <v>0</v>
      </c>
      <c r="AA20" s="16">
        <f t="shared" ref="AA20:AA36" si="19">IF(S20="#4",O20*T20*$AA$7,0)</f>
        <v>0</v>
      </c>
      <c r="AB20" s="16">
        <f t="shared" ref="AB20:AB36" si="20">IF(S20="#5",O20*T20*$AB$7,0)</f>
        <v>0</v>
      </c>
      <c r="AC20" s="16">
        <f t="shared" ref="AC20:AC36" si="21">IF(S20="#6",O20*T20*$AC$7,0)</f>
        <v>0</v>
      </c>
      <c r="AD20" s="16">
        <f t="shared" ref="AD20:AD36" si="22">IF(S20="#8",O20*T20*$AD$7,0)</f>
        <v>0</v>
      </c>
      <c r="AE20" s="16">
        <f t="shared" ref="AE20:AE36" si="23">IF(S20="#11",O20*T20*$AE$7,0)</f>
        <v>0</v>
      </c>
      <c r="AF20" s="16">
        <f t="shared" ref="AF20:AF36" si="24">IF(S20="#12",O20*T20*$AF$7,0)</f>
        <v>0</v>
      </c>
      <c r="AG20" s="21"/>
    </row>
    <row r="21" spans="2:35">
      <c r="B21" s="50"/>
      <c r="C21" s="23"/>
      <c r="D21" s="23"/>
      <c r="E21" s="23"/>
      <c r="F21" s="52"/>
      <c r="G21" s="52"/>
      <c r="H21" s="51"/>
      <c r="I21" s="23"/>
      <c r="J21" s="23"/>
      <c r="K21" s="23"/>
      <c r="L21" s="18"/>
      <c r="M21" s="23"/>
      <c r="N21" s="159"/>
      <c r="O21" s="23"/>
      <c r="P21" s="23"/>
      <c r="Q21" s="23"/>
      <c r="R21" s="23"/>
      <c r="S21" s="37"/>
      <c r="T21" s="23"/>
      <c r="U21" s="16">
        <f t="shared" si="13"/>
        <v>0</v>
      </c>
      <c r="V21" s="16">
        <f t="shared" si="14"/>
        <v>0</v>
      </c>
      <c r="W21" s="16">
        <f t="shared" si="15"/>
        <v>0</v>
      </c>
      <c r="X21" s="18">
        <f t="shared" si="16"/>
        <v>0</v>
      </c>
      <c r="Y21" s="16">
        <f t="shared" si="17"/>
        <v>0</v>
      </c>
      <c r="Z21" s="16">
        <f t="shared" si="18"/>
        <v>0</v>
      </c>
      <c r="AA21" s="16">
        <f t="shared" si="19"/>
        <v>0</v>
      </c>
      <c r="AB21" s="16">
        <f t="shared" si="20"/>
        <v>0</v>
      </c>
      <c r="AC21" s="16">
        <f t="shared" si="21"/>
        <v>0</v>
      </c>
      <c r="AD21" s="16">
        <f t="shared" si="22"/>
        <v>0</v>
      </c>
      <c r="AE21" s="16">
        <f t="shared" si="23"/>
        <v>0</v>
      </c>
      <c r="AF21" s="16">
        <f t="shared" si="24"/>
        <v>0</v>
      </c>
      <c r="AG21" s="21"/>
    </row>
    <row r="22" spans="2:35">
      <c r="B22" s="50"/>
      <c r="C22" s="23">
        <v>1</v>
      </c>
      <c r="D22" s="23">
        <v>2.65</v>
      </c>
      <c r="E22" s="23">
        <v>0.3</v>
      </c>
      <c r="F22" s="52">
        <v>3.85</v>
      </c>
      <c r="G22" s="73">
        <f>C22*D22*E22</f>
        <v>0.79499999999999993</v>
      </c>
      <c r="H22" s="74">
        <f>F22*G22</f>
        <v>3.0607499999999996</v>
      </c>
      <c r="I22" s="23"/>
      <c r="J22" s="23">
        <f>0.3+2.65+4.65</f>
        <v>7.6</v>
      </c>
      <c r="K22" s="23">
        <v>3.85</v>
      </c>
      <c r="L22" s="75">
        <f>J22*K22</f>
        <v>29.259999999999998</v>
      </c>
      <c r="M22" s="23"/>
      <c r="N22" s="159" t="s">
        <v>139</v>
      </c>
      <c r="O22" s="23">
        <f>ROUNDUP(1.85/0.15,0)*2</f>
        <v>26</v>
      </c>
      <c r="P22" s="23"/>
      <c r="Q22" s="23"/>
      <c r="R22" s="23"/>
      <c r="S22" s="37" t="s">
        <v>137</v>
      </c>
      <c r="T22" s="23">
        <v>4.5</v>
      </c>
      <c r="U22" s="16">
        <f t="shared" si="13"/>
        <v>0</v>
      </c>
      <c r="V22" s="16">
        <f t="shared" si="14"/>
        <v>0</v>
      </c>
      <c r="W22" s="16">
        <f t="shared" si="15"/>
        <v>0</v>
      </c>
      <c r="X22" s="18">
        <f t="shared" si="16"/>
        <v>0</v>
      </c>
      <c r="Y22" s="16">
        <f t="shared" si="17"/>
        <v>0</v>
      </c>
      <c r="Z22" s="16">
        <f t="shared" si="18"/>
        <v>0</v>
      </c>
      <c r="AA22" s="16">
        <f t="shared" si="19"/>
        <v>0</v>
      </c>
      <c r="AB22" s="16">
        <f t="shared" si="20"/>
        <v>181.35</v>
      </c>
      <c r="AC22" s="16">
        <f t="shared" si="21"/>
        <v>0</v>
      </c>
      <c r="AD22" s="16">
        <f t="shared" si="22"/>
        <v>0</v>
      </c>
      <c r="AE22" s="16">
        <f t="shared" si="23"/>
        <v>0</v>
      </c>
      <c r="AF22" s="16">
        <f t="shared" si="24"/>
        <v>0</v>
      </c>
      <c r="AG22" s="21"/>
    </row>
    <row r="23" spans="2:35">
      <c r="B23" s="50"/>
      <c r="C23" s="23">
        <v>1</v>
      </c>
      <c r="D23" s="23">
        <f>4.65-0.3</f>
        <v>4.3500000000000005</v>
      </c>
      <c r="E23" s="23">
        <v>0.3</v>
      </c>
      <c r="F23" s="52">
        <v>3.85</v>
      </c>
      <c r="G23" s="73">
        <f>C23*D23*E23</f>
        <v>1.3050000000000002</v>
      </c>
      <c r="H23" s="74">
        <f>F23*G23</f>
        <v>5.0242500000000003</v>
      </c>
      <c r="I23" s="23"/>
      <c r="J23" s="23">
        <f>0.3+4.35+2.35</f>
        <v>7</v>
      </c>
      <c r="K23" s="23">
        <v>3.85</v>
      </c>
      <c r="L23" s="75">
        <f>J23*K23</f>
        <v>26.95</v>
      </c>
      <c r="M23" s="23"/>
      <c r="N23" s="159" t="s">
        <v>139</v>
      </c>
      <c r="O23" s="23">
        <f>ROUNDUP(3.15/0.15,0)*2</f>
        <v>42</v>
      </c>
      <c r="P23" s="23"/>
      <c r="Q23" s="23"/>
      <c r="R23" s="23"/>
      <c r="S23" s="37" t="s">
        <v>137</v>
      </c>
      <c r="T23" s="23">
        <v>4.5</v>
      </c>
      <c r="U23" s="16">
        <f t="shared" si="13"/>
        <v>0</v>
      </c>
      <c r="V23" s="16">
        <f t="shared" si="14"/>
        <v>0</v>
      </c>
      <c r="W23" s="16">
        <f t="shared" si="15"/>
        <v>0</v>
      </c>
      <c r="X23" s="18">
        <f t="shared" si="16"/>
        <v>0</v>
      </c>
      <c r="Y23" s="16">
        <f t="shared" si="17"/>
        <v>0</v>
      </c>
      <c r="Z23" s="16">
        <f t="shared" si="18"/>
        <v>0</v>
      </c>
      <c r="AA23" s="16">
        <f t="shared" si="19"/>
        <v>0</v>
      </c>
      <c r="AB23" s="16">
        <f t="shared" si="20"/>
        <v>292.95</v>
      </c>
      <c r="AC23" s="16">
        <f t="shared" si="21"/>
        <v>0</v>
      </c>
      <c r="AD23" s="16">
        <f t="shared" si="22"/>
        <v>0</v>
      </c>
      <c r="AE23" s="16">
        <f t="shared" si="23"/>
        <v>0</v>
      </c>
      <c r="AF23" s="16">
        <f t="shared" si="24"/>
        <v>0</v>
      </c>
      <c r="AG23" s="21"/>
    </row>
    <row r="24" spans="2:35">
      <c r="B24" s="50"/>
      <c r="C24" s="23"/>
      <c r="D24" s="23"/>
      <c r="E24" s="23"/>
      <c r="F24" s="52"/>
      <c r="G24" s="52"/>
      <c r="H24" s="51"/>
      <c r="I24" s="23"/>
      <c r="J24" s="23"/>
      <c r="K24" s="23"/>
      <c r="L24" s="18"/>
      <c r="M24" s="23"/>
      <c r="N24" s="159" t="s">
        <v>143</v>
      </c>
      <c r="O24" s="23">
        <f>ROUNDUP((3.85)/0.25,0)*2</f>
        <v>32</v>
      </c>
      <c r="P24" s="23"/>
      <c r="Q24" s="23"/>
      <c r="R24" s="23"/>
      <c r="S24" s="37" t="s">
        <v>138</v>
      </c>
      <c r="T24" s="23">
        <f>2.65-0.05+0.1+0.1</f>
        <v>2.8000000000000003</v>
      </c>
      <c r="U24" s="16">
        <f t="shared" si="13"/>
        <v>0</v>
      </c>
      <c r="V24" s="16">
        <f t="shared" si="14"/>
        <v>0</v>
      </c>
      <c r="W24" s="16">
        <f t="shared" si="15"/>
        <v>0</v>
      </c>
      <c r="X24" s="18">
        <f t="shared" si="16"/>
        <v>0</v>
      </c>
      <c r="Y24" s="16">
        <f t="shared" si="17"/>
        <v>0</v>
      </c>
      <c r="Z24" s="16">
        <f t="shared" si="18"/>
        <v>50.176000000000009</v>
      </c>
      <c r="AA24" s="16">
        <f t="shared" si="19"/>
        <v>0</v>
      </c>
      <c r="AB24" s="16">
        <f t="shared" si="20"/>
        <v>0</v>
      </c>
      <c r="AC24" s="16">
        <f t="shared" si="21"/>
        <v>0</v>
      </c>
      <c r="AD24" s="16">
        <f t="shared" si="22"/>
        <v>0</v>
      </c>
      <c r="AE24" s="16">
        <f t="shared" si="23"/>
        <v>0</v>
      </c>
      <c r="AF24" s="16">
        <f t="shared" si="24"/>
        <v>0</v>
      </c>
      <c r="AG24" s="21"/>
    </row>
    <row r="25" spans="2:35">
      <c r="B25" s="50"/>
      <c r="C25" s="23"/>
      <c r="D25" s="23"/>
      <c r="E25" s="23"/>
      <c r="F25" s="52"/>
      <c r="G25" s="52"/>
      <c r="H25" s="51"/>
      <c r="I25" s="23"/>
      <c r="J25" s="23"/>
      <c r="K25" s="23"/>
      <c r="L25" s="18"/>
      <c r="M25" s="23"/>
      <c r="N25" s="159" t="s">
        <v>143</v>
      </c>
      <c r="O25" s="23">
        <f>ROUNDUP((3.85)/0.25,0)*2</f>
        <v>32</v>
      </c>
      <c r="P25" s="23"/>
      <c r="Q25" s="23"/>
      <c r="R25" s="23"/>
      <c r="S25" s="37" t="s">
        <v>138</v>
      </c>
      <c r="T25" s="23">
        <f>4.65-0.05+0.1+0.1</f>
        <v>4.8</v>
      </c>
      <c r="U25" s="16">
        <f t="shared" si="13"/>
        <v>0</v>
      </c>
      <c r="V25" s="16">
        <f t="shared" si="14"/>
        <v>0</v>
      </c>
      <c r="W25" s="16">
        <f t="shared" si="15"/>
        <v>0</v>
      </c>
      <c r="X25" s="18">
        <f t="shared" si="16"/>
        <v>0</v>
      </c>
      <c r="Y25" s="16">
        <f t="shared" si="17"/>
        <v>0</v>
      </c>
      <c r="Z25" s="16">
        <f t="shared" si="18"/>
        <v>86.016000000000005</v>
      </c>
      <c r="AA25" s="16">
        <f t="shared" si="19"/>
        <v>0</v>
      </c>
      <c r="AB25" s="16">
        <f t="shared" si="20"/>
        <v>0</v>
      </c>
      <c r="AC25" s="16">
        <f t="shared" si="21"/>
        <v>0</v>
      </c>
      <c r="AD25" s="16">
        <f t="shared" si="22"/>
        <v>0</v>
      </c>
      <c r="AE25" s="16">
        <f t="shared" si="23"/>
        <v>0</v>
      </c>
      <c r="AF25" s="16">
        <f t="shared" si="24"/>
        <v>0</v>
      </c>
      <c r="AG25" s="21"/>
    </row>
    <row r="26" spans="2:35">
      <c r="B26" s="50"/>
      <c r="C26" s="23"/>
      <c r="D26" s="23"/>
      <c r="E26" s="23"/>
      <c r="F26" s="52"/>
      <c r="G26" s="52"/>
      <c r="H26" s="51"/>
      <c r="I26" s="23"/>
      <c r="J26" s="23"/>
      <c r="K26" s="23"/>
      <c r="L26" s="18"/>
      <c r="M26" s="23" t="s">
        <v>150</v>
      </c>
      <c r="N26" s="159" t="s">
        <v>139</v>
      </c>
      <c r="O26" s="23">
        <v>4</v>
      </c>
      <c r="P26" s="23"/>
      <c r="Q26" s="23"/>
      <c r="R26" s="23"/>
      <c r="S26" s="37" t="s">
        <v>151</v>
      </c>
      <c r="T26" s="23">
        <v>4.5</v>
      </c>
      <c r="U26" s="16">
        <f t="shared" si="13"/>
        <v>0</v>
      </c>
      <c r="V26" s="16">
        <f t="shared" si="14"/>
        <v>0</v>
      </c>
      <c r="W26" s="16">
        <f t="shared" si="15"/>
        <v>0</v>
      </c>
      <c r="X26" s="18">
        <f t="shared" si="16"/>
        <v>0</v>
      </c>
      <c r="Y26" s="16">
        <f t="shared" si="17"/>
        <v>0</v>
      </c>
      <c r="Z26" s="16">
        <f t="shared" si="18"/>
        <v>0</v>
      </c>
      <c r="AA26" s="16">
        <f t="shared" si="19"/>
        <v>0</v>
      </c>
      <c r="AB26" s="16">
        <f t="shared" si="20"/>
        <v>0</v>
      </c>
      <c r="AC26" s="16">
        <f t="shared" si="21"/>
        <v>0</v>
      </c>
      <c r="AD26" s="16">
        <f t="shared" si="22"/>
        <v>71.460000000000008</v>
      </c>
      <c r="AE26" s="16">
        <f t="shared" si="23"/>
        <v>0</v>
      </c>
      <c r="AF26" s="16">
        <f t="shared" si="24"/>
        <v>0</v>
      </c>
      <c r="AG26" s="21"/>
    </row>
    <row r="27" spans="2:35">
      <c r="B27" s="50"/>
      <c r="C27" s="23"/>
      <c r="D27" s="23"/>
      <c r="E27" s="23"/>
      <c r="F27" s="52"/>
      <c r="G27" s="52"/>
      <c r="H27" s="51"/>
      <c r="I27" s="23"/>
      <c r="J27" s="23"/>
      <c r="K27" s="23"/>
      <c r="L27" s="18"/>
      <c r="M27" s="23"/>
      <c r="N27" s="159" t="s">
        <v>139</v>
      </c>
      <c r="O27" s="23">
        <v>8</v>
      </c>
      <c r="P27" s="23"/>
      <c r="Q27" s="23"/>
      <c r="R27" s="23"/>
      <c r="S27" s="37" t="s">
        <v>146</v>
      </c>
      <c r="T27" s="23">
        <v>4.5</v>
      </c>
      <c r="U27" s="16">
        <f t="shared" si="13"/>
        <v>0</v>
      </c>
      <c r="V27" s="16">
        <f t="shared" si="14"/>
        <v>0</v>
      </c>
      <c r="W27" s="16">
        <f t="shared" si="15"/>
        <v>0</v>
      </c>
      <c r="X27" s="18">
        <f t="shared" si="16"/>
        <v>0</v>
      </c>
      <c r="Y27" s="16">
        <f t="shared" si="17"/>
        <v>0</v>
      </c>
      <c r="Z27" s="16">
        <f t="shared" si="18"/>
        <v>0</v>
      </c>
      <c r="AA27" s="16">
        <f t="shared" si="19"/>
        <v>0</v>
      </c>
      <c r="AB27" s="16">
        <f t="shared" si="20"/>
        <v>0</v>
      </c>
      <c r="AC27" s="16">
        <f t="shared" si="21"/>
        <v>80.640000000000015</v>
      </c>
      <c r="AD27" s="16">
        <f t="shared" si="22"/>
        <v>0</v>
      </c>
      <c r="AE27" s="16">
        <f t="shared" si="23"/>
        <v>0</v>
      </c>
      <c r="AF27" s="16">
        <f t="shared" si="24"/>
        <v>0</v>
      </c>
      <c r="AG27" s="21"/>
    </row>
    <row r="28" spans="2:35">
      <c r="B28" s="50"/>
      <c r="C28" s="23"/>
      <c r="D28" s="23"/>
      <c r="E28" s="23"/>
      <c r="F28" s="52"/>
      <c r="G28" s="52"/>
      <c r="H28" s="51"/>
      <c r="I28" s="23"/>
      <c r="J28" s="23"/>
      <c r="K28" s="23"/>
      <c r="L28" s="18"/>
      <c r="M28" s="23"/>
      <c r="N28" s="159" t="s">
        <v>140</v>
      </c>
      <c r="O28" s="23">
        <f>ROUNDUP((3.85-1.5)/0.25+15,0)</f>
        <v>25</v>
      </c>
      <c r="P28" s="23"/>
      <c r="Q28" s="23"/>
      <c r="R28" s="23"/>
      <c r="S28" s="37" t="s">
        <v>138</v>
      </c>
      <c r="T28" s="23">
        <f>+(0.5-0.05+0.3-0.05)*2+0.1+0.1</f>
        <v>1.6</v>
      </c>
      <c r="U28" s="16">
        <f t="shared" si="13"/>
        <v>0</v>
      </c>
      <c r="V28" s="16">
        <f t="shared" si="14"/>
        <v>0</v>
      </c>
      <c r="W28" s="16">
        <f t="shared" si="15"/>
        <v>0</v>
      </c>
      <c r="X28" s="18">
        <f t="shared" si="16"/>
        <v>0</v>
      </c>
      <c r="Y28" s="16">
        <f t="shared" si="17"/>
        <v>0</v>
      </c>
      <c r="Z28" s="16">
        <f t="shared" si="18"/>
        <v>22.400000000000002</v>
      </c>
      <c r="AA28" s="16">
        <f t="shared" si="19"/>
        <v>0</v>
      </c>
      <c r="AB28" s="16">
        <f t="shared" si="20"/>
        <v>0</v>
      </c>
      <c r="AC28" s="16">
        <f t="shared" si="21"/>
        <v>0</v>
      </c>
      <c r="AD28" s="16">
        <f t="shared" si="22"/>
        <v>0</v>
      </c>
      <c r="AE28" s="16">
        <f t="shared" si="23"/>
        <v>0</v>
      </c>
      <c r="AF28" s="16">
        <f t="shared" si="24"/>
        <v>0</v>
      </c>
      <c r="AG28" s="21"/>
    </row>
    <row r="29" spans="2:35">
      <c r="B29" s="50"/>
      <c r="C29" s="23"/>
      <c r="D29" s="23"/>
      <c r="E29" s="23"/>
      <c r="F29" s="52"/>
      <c r="G29" s="52"/>
      <c r="H29" s="51"/>
      <c r="I29" s="23"/>
      <c r="J29" s="23"/>
      <c r="K29" s="23"/>
      <c r="L29" s="18"/>
      <c r="M29" s="23"/>
      <c r="N29" s="159" t="s">
        <v>152</v>
      </c>
      <c r="O29" s="23">
        <f>ROUNDUP((3.85-1.5)/0.25+15,0)</f>
        <v>25</v>
      </c>
      <c r="P29" s="23"/>
      <c r="Q29" s="23"/>
      <c r="R29" s="23"/>
      <c r="S29" s="37" t="s">
        <v>138</v>
      </c>
      <c r="T29" s="23">
        <f>0.3-0.05+0.1+0.1</f>
        <v>0.44999999999999996</v>
      </c>
      <c r="U29" s="16">
        <f t="shared" si="13"/>
        <v>0</v>
      </c>
      <c r="V29" s="16">
        <f t="shared" si="14"/>
        <v>0</v>
      </c>
      <c r="W29" s="16">
        <f t="shared" si="15"/>
        <v>0</v>
      </c>
      <c r="X29" s="18">
        <f t="shared" si="16"/>
        <v>0</v>
      </c>
      <c r="Y29" s="16">
        <f t="shared" si="17"/>
        <v>0</v>
      </c>
      <c r="Z29" s="16">
        <f t="shared" si="18"/>
        <v>6.3</v>
      </c>
      <c r="AA29" s="16">
        <f t="shared" si="19"/>
        <v>0</v>
      </c>
      <c r="AB29" s="16">
        <f t="shared" si="20"/>
        <v>0</v>
      </c>
      <c r="AC29" s="16">
        <f t="shared" si="21"/>
        <v>0</v>
      </c>
      <c r="AD29" s="16">
        <f t="shared" si="22"/>
        <v>0</v>
      </c>
      <c r="AE29" s="16">
        <f t="shared" si="23"/>
        <v>0</v>
      </c>
      <c r="AF29" s="16">
        <f t="shared" si="24"/>
        <v>0</v>
      </c>
      <c r="AG29" s="21"/>
    </row>
    <row r="30" spans="2:35">
      <c r="B30" s="50"/>
      <c r="C30" s="23"/>
      <c r="D30" s="23"/>
      <c r="E30" s="23"/>
      <c r="F30" s="52"/>
      <c r="G30" s="52"/>
      <c r="H30" s="51"/>
      <c r="I30" s="23"/>
      <c r="J30" s="23"/>
      <c r="K30" s="23"/>
      <c r="L30" s="18"/>
      <c r="M30" s="23" t="s">
        <v>153</v>
      </c>
      <c r="N30" s="159" t="s">
        <v>139</v>
      </c>
      <c r="O30" s="23">
        <v>16</v>
      </c>
      <c r="P30" s="23"/>
      <c r="Q30" s="23"/>
      <c r="R30" s="23"/>
      <c r="S30" s="37" t="s">
        <v>151</v>
      </c>
      <c r="T30" s="23">
        <v>4.5</v>
      </c>
      <c r="U30" s="16">
        <f t="shared" si="13"/>
        <v>0</v>
      </c>
      <c r="V30" s="16">
        <f t="shared" si="14"/>
        <v>0</v>
      </c>
      <c r="W30" s="16">
        <f t="shared" si="15"/>
        <v>0</v>
      </c>
      <c r="X30" s="18">
        <f t="shared" si="16"/>
        <v>0</v>
      </c>
      <c r="Y30" s="16">
        <f t="shared" si="17"/>
        <v>0</v>
      </c>
      <c r="Z30" s="16">
        <f t="shared" si="18"/>
        <v>0</v>
      </c>
      <c r="AA30" s="16">
        <f t="shared" si="19"/>
        <v>0</v>
      </c>
      <c r="AB30" s="16">
        <f t="shared" si="20"/>
        <v>0</v>
      </c>
      <c r="AC30" s="16">
        <f t="shared" si="21"/>
        <v>0</v>
      </c>
      <c r="AD30" s="16">
        <f t="shared" si="22"/>
        <v>285.84000000000003</v>
      </c>
      <c r="AE30" s="16">
        <f t="shared" si="23"/>
        <v>0</v>
      </c>
      <c r="AF30" s="16">
        <f t="shared" si="24"/>
        <v>0</v>
      </c>
      <c r="AG30" s="21"/>
    </row>
    <row r="31" spans="2:35">
      <c r="B31" s="50"/>
      <c r="C31" s="23"/>
      <c r="D31" s="23"/>
      <c r="E31" s="23"/>
      <c r="F31" s="52"/>
      <c r="G31" s="52"/>
      <c r="H31" s="51"/>
      <c r="I31" s="23"/>
      <c r="J31" s="23"/>
      <c r="K31" s="23"/>
      <c r="L31" s="18"/>
      <c r="M31" s="23"/>
      <c r="N31" s="159" t="s">
        <v>140</v>
      </c>
      <c r="O31" s="23">
        <f>ROUNDUP((3.85-1.5)/0.25+15,0)</f>
        <v>25</v>
      </c>
      <c r="P31" s="23"/>
      <c r="Q31" s="23"/>
      <c r="R31" s="23"/>
      <c r="S31" s="37" t="s">
        <v>138</v>
      </c>
      <c r="T31" s="23">
        <f>+(0.8-0.05+0.3-0.05)*2+0.1+0.1</f>
        <v>2.2000000000000002</v>
      </c>
      <c r="U31" s="16">
        <f t="shared" si="13"/>
        <v>0</v>
      </c>
      <c r="V31" s="16">
        <f t="shared" si="14"/>
        <v>0</v>
      </c>
      <c r="W31" s="16">
        <f t="shared" si="15"/>
        <v>0</v>
      </c>
      <c r="X31" s="18">
        <f t="shared" si="16"/>
        <v>0</v>
      </c>
      <c r="Y31" s="16">
        <f t="shared" si="17"/>
        <v>0</v>
      </c>
      <c r="Z31" s="16">
        <f t="shared" si="18"/>
        <v>30.800000000000008</v>
      </c>
      <c r="AA31" s="16">
        <f t="shared" si="19"/>
        <v>0</v>
      </c>
      <c r="AB31" s="16">
        <f t="shared" si="20"/>
        <v>0</v>
      </c>
      <c r="AC31" s="16">
        <f t="shared" si="21"/>
        <v>0</v>
      </c>
      <c r="AD31" s="16">
        <f t="shared" si="22"/>
        <v>0</v>
      </c>
      <c r="AE31" s="16">
        <f t="shared" si="23"/>
        <v>0</v>
      </c>
      <c r="AF31" s="16">
        <f t="shared" si="24"/>
        <v>0</v>
      </c>
      <c r="AG31" s="21"/>
    </row>
    <row r="32" spans="2:35">
      <c r="B32" s="50"/>
      <c r="C32" s="23"/>
      <c r="D32" s="23"/>
      <c r="E32" s="23"/>
      <c r="F32" s="52"/>
      <c r="G32" s="52"/>
      <c r="H32" s="51"/>
      <c r="I32" s="23"/>
      <c r="J32" s="23"/>
      <c r="K32" s="23"/>
      <c r="L32" s="18"/>
      <c r="M32" s="23"/>
      <c r="N32" s="159" t="s">
        <v>140</v>
      </c>
      <c r="O32" s="23">
        <f>ROUNDUP((3.85-1.5)/0.25+15,0)</f>
        <v>25</v>
      </c>
      <c r="P32" s="23"/>
      <c r="Q32" s="23"/>
      <c r="R32" s="23"/>
      <c r="S32" s="37" t="s">
        <v>138</v>
      </c>
      <c r="T32" s="23">
        <f>+(0.3-0.05+0.3-0.05)*2+0.1+0.1</f>
        <v>1.2000000000000002</v>
      </c>
      <c r="U32" s="16">
        <f t="shared" si="13"/>
        <v>0</v>
      </c>
      <c r="V32" s="16">
        <f t="shared" si="14"/>
        <v>0</v>
      </c>
      <c r="W32" s="16">
        <f t="shared" si="15"/>
        <v>0</v>
      </c>
      <c r="X32" s="18">
        <f t="shared" si="16"/>
        <v>0</v>
      </c>
      <c r="Y32" s="16">
        <f t="shared" si="17"/>
        <v>0</v>
      </c>
      <c r="Z32" s="16">
        <f t="shared" si="18"/>
        <v>16.800000000000004</v>
      </c>
      <c r="AA32" s="16">
        <f t="shared" si="19"/>
        <v>0</v>
      </c>
      <c r="AB32" s="16">
        <f t="shared" si="20"/>
        <v>0</v>
      </c>
      <c r="AC32" s="16">
        <f t="shared" si="21"/>
        <v>0</v>
      </c>
      <c r="AD32" s="16">
        <f t="shared" si="22"/>
        <v>0</v>
      </c>
      <c r="AE32" s="16">
        <f t="shared" si="23"/>
        <v>0</v>
      </c>
      <c r="AF32" s="16">
        <f t="shared" si="24"/>
        <v>0</v>
      </c>
      <c r="AG32" s="21"/>
    </row>
    <row r="33" spans="2:35">
      <c r="B33" s="50"/>
      <c r="C33" s="23"/>
      <c r="D33" s="23"/>
      <c r="E33" s="23"/>
      <c r="F33" s="52"/>
      <c r="G33" s="52"/>
      <c r="H33" s="51"/>
      <c r="I33" s="23"/>
      <c r="J33" s="23"/>
      <c r="K33" s="23"/>
      <c r="L33" s="18"/>
      <c r="M33" s="23" t="s">
        <v>154</v>
      </c>
      <c r="N33" s="159" t="s">
        <v>139</v>
      </c>
      <c r="O33" s="23">
        <v>14</v>
      </c>
      <c r="P33" s="23"/>
      <c r="Q33" s="23"/>
      <c r="R33" s="23"/>
      <c r="S33" s="37" t="s">
        <v>151</v>
      </c>
      <c r="T33" s="23">
        <v>4.5</v>
      </c>
      <c r="U33" s="16">
        <f t="shared" si="13"/>
        <v>0</v>
      </c>
      <c r="V33" s="16">
        <f t="shared" si="14"/>
        <v>0</v>
      </c>
      <c r="W33" s="16">
        <f t="shared" si="15"/>
        <v>0</v>
      </c>
      <c r="X33" s="18">
        <f t="shared" si="16"/>
        <v>0</v>
      </c>
      <c r="Y33" s="16">
        <f t="shared" si="17"/>
        <v>0</v>
      </c>
      <c r="Z33" s="16">
        <f t="shared" si="18"/>
        <v>0</v>
      </c>
      <c r="AA33" s="16">
        <f t="shared" si="19"/>
        <v>0</v>
      </c>
      <c r="AB33" s="16">
        <f t="shared" si="20"/>
        <v>0</v>
      </c>
      <c r="AC33" s="16">
        <f t="shared" si="21"/>
        <v>0</v>
      </c>
      <c r="AD33" s="16">
        <f t="shared" si="22"/>
        <v>250.11</v>
      </c>
      <c r="AE33" s="16">
        <f t="shared" si="23"/>
        <v>0</v>
      </c>
      <c r="AF33" s="16">
        <f t="shared" si="24"/>
        <v>0</v>
      </c>
      <c r="AG33" s="21"/>
    </row>
    <row r="34" spans="2:35">
      <c r="B34" s="50"/>
      <c r="C34" s="23"/>
      <c r="D34" s="23"/>
      <c r="E34" s="23"/>
      <c r="F34" s="52"/>
      <c r="G34" s="52"/>
      <c r="H34" s="51"/>
      <c r="I34" s="23"/>
      <c r="J34" s="23"/>
      <c r="K34" s="23"/>
      <c r="L34" s="18"/>
      <c r="M34" s="23"/>
      <c r="N34" s="159" t="s">
        <v>140</v>
      </c>
      <c r="O34" s="23">
        <f>ROUNDUP((3.85-1.5)/0.25+15,0)</f>
        <v>25</v>
      </c>
      <c r="P34" s="23"/>
      <c r="Q34" s="23"/>
      <c r="R34" s="23"/>
      <c r="S34" s="37" t="s">
        <v>138</v>
      </c>
      <c r="T34" s="23">
        <f>+(0.7-0.05+0.3-0.05)*2+0.1+0.1</f>
        <v>2</v>
      </c>
      <c r="U34" s="16">
        <f t="shared" si="13"/>
        <v>0</v>
      </c>
      <c r="V34" s="16">
        <f t="shared" si="14"/>
        <v>0</v>
      </c>
      <c r="W34" s="16">
        <f t="shared" si="15"/>
        <v>0</v>
      </c>
      <c r="X34" s="18">
        <f t="shared" si="16"/>
        <v>0</v>
      </c>
      <c r="Y34" s="16">
        <f t="shared" si="17"/>
        <v>0</v>
      </c>
      <c r="Z34" s="16">
        <f t="shared" si="18"/>
        <v>28.000000000000004</v>
      </c>
      <c r="AA34" s="16">
        <f t="shared" si="19"/>
        <v>0</v>
      </c>
      <c r="AB34" s="16">
        <f t="shared" si="20"/>
        <v>0</v>
      </c>
      <c r="AC34" s="16">
        <f t="shared" si="21"/>
        <v>0</v>
      </c>
      <c r="AD34" s="16">
        <f t="shared" si="22"/>
        <v>0</v>
      </c>
      <c r="AE34" s="16">
        <f t="shared" si="23"/>
        <v>0</v>
      </c>
      <c r="AF34" s="16">
        <f t="shared" si="24"/>
        <v>0</v>
      </c>
      <c r="AG34" s="21"/>
    </row>
    <row r="35" spans="2:35">
      <c r="B35" s="50"/>
      <c r="C35" s="23"/>
      <c r="D35" s="23"/>
      <c r="E35" s="23"/>
      <c r="F35" s="52"/>
      <c r="G35" s="52"/>
      <c r="H35" s="51"/>
      <c r="I35" s="23"/>
      <c r="J35" s="23"/>
      <c r="K35" s="23"/>
      <c r="L35" s="18"/>
      <c r="M35" s="23"/>
      <c r="N35" s="159" t="s">
        <v>140</v>
      </c>
      <c r="O35" s="23">
        <f>ROUNDUP((3.85-1.5)/0.25+15,0)</f>
        <v>25</v>
      </c>
      <c r="P35" s="23"/>
      <c r="Q35" s="23"/>
      <c r="R35" s="23"/>
      <c r="S35" s="37" t="s">
        <v>138</v>
      </c>
      <c r="T35" s="23">
        <f>+(0.2-0.05+0.3-0.05)*2+0.1+0.1</f>
        <v>1</v>
      </c>
      <c r="U35" s="16">
        <f t="shared" si="13"/>
        <v>0</v>
      </c>
      <c r="V35" s="16">
        <f t="shared" si="14"/>
        <v>0</v>
      </c>
      <c r="W35" s="16">
        <f t="shared" si="15"/>
        <v>0</v>
      </c>
      <c r="X35" s="18">
        <f t="shared" si="16"/>
        <v>0</v>
      </c>
      <c r="Y35" s="16">
        <f t="shared" si="17"/>
        <v>0</v>
      </c>
      <c r="Z35" s="16">
        <f t="shared" si="18"/>
        <v>14.000000000000002</v>
      </c>
      <c r="AA35" s="16">
        <f t="shared" si="19"/>
        <v>0</v>
      </c>
      <c r="AB35" s="16">
        <f t="shared" si="20"/>
        <v>0</v>
      </c>
      <c r="AC35" s="16">
        <f t="shared" si="21"/>
        <v>0</v>
      </c>
      <c r="AD35" s="16">
        <f t="shared" si="22"/>
        <v>0</v>
      </c>
      <c r="AE35" s="16">
        <f t="shared" si="23"/>
        <v>0</v>
      </c>
      <c r="AF35" s="16">
        <f t="shared" si="24"/>
        <v>0</v>
      </c>
      <c r="AG35" s="21"/>
    </row>
    <row r="36" spans="2:35">
      <c r="B36" s="50"/>
      <c r="C36" s="23"/>
      <c r="D36" s="23"/>
      <c r="E36" s="23"/>
      <c r="F36" s="52"/>
      <c r="G36" s="52"/>
      <c r="H36" s="51"/>
      <c r="I36" s="23"/>
      <c r="J36" s="23"/>
      <c r="K36" s="23"/>
      <c r="L36" s="18"/>
      <c r="M36" s="23"/>
      <c r="N36" s="159"/>
      <c r="O36" s="23"/>
      <c r="P36" s="23"/>
      <c r="Q36" s="23"/>
      <c r="R36" s="23"/>
      <c r="S36" s="37"/>
      <c r="T36" s="23"/>
      <c r="U36" s="16">
        <f t="shared" si="13"/>
        <v>0</v>
      </c>
      <c r="V36" s="16">
        <f t="shared" si="14"/>
        <v>0</v>
      </c>
      <c r="W36" s="16">
        <f t="shared" si="15"/>
        <v>0</v>
      </c>
      <c r="X36" s="18">
        <f t="shared" si="16"/>
        <v>0</v>
      </c>
      <c r="Y36" s="16">
        <f t="shared" si="17"/>
        <v>0</v>
      </c>
      <c r="Z36" s="16">
        <f t="shared" si="18"/>
        <v>0</v>
      </c>
      <c r="AA36" s="16">
        <f t="shared" si="19"/>
        <v>0</v>
      </c>
      <c r="AB36" s="16">
        <f t="shared" si="20"/>
        <v>0</v>
      </c>
      <c r="AC36" s="16">
        <f t="shared" si="21"/>
        <v>0</v>
      </c>
      <c r="AD36" s="16">
        <f t="shared" si="22"/>
        <v>0</v>
      </c>
      <c r="AE36" s="16">
        <f t="shared" si="23"/>
        <v>0</v>
      </c>
      <c r="AF36" s="16">
        <f t="shared" si="24"/>
        <v>0</v>
      </c>
      <c r="AG36" s="21"/>
    </row>
    <row r="37" spans="2:35">
      <c r="B37" s="46" t="s">
        <v>148</v>
      </c>
      <c r="C37" s="55"/>
      <c r="D37" s="55"/>
      <c r="E37" s="65"/>
      <c r="F37" s="66"/>
      <c r="G37" s="66"/>
      <c r="H37" s="66"/>
      <c r="I37" s="56">
        <f>SUM(H20:H37)</f>
        <v>8.0850000000000009</v>
      </c>
      <c r="J37" s="65"/>
      <c r="K37" s="65"/>
      <c r="L37" s="69"/>
      <c r="M37" s="56">
        <f>SUM(L20:L37)</f>
        <v>56.209999999999994</v>
      </c>
      <c r="N37" s="67"/>
      <c r="O37" s="65"/>
      <c r="P37" s="65"/>
      <c r="Q37" s="65"/>
      <c r="R37" s="65"/>
      <c r="S37" s="68"/>
      <c r="T37" s="65"/>
      <c r="U37" s="69">
        <f t="shared" ref="U37:AF37" si="25">SUM(U21:U36)</f>
        <v>0</v>
      </c>
      <c r="V37" s="69">
        <f t="shared" si="25"/>
        <v>0</v>
      </c>
      <c r="W37" s="69">
        <f t="shared" si="25"/>
        <v>0</v>
      </c>
      <c r="X37" s="69">
        <f t="shared" si="25"/>
        <v>0</v>
      </c>
      <c r="Y37" s="69">
        <f t="shared" si="25"/>
        <v>0</v>
      </c>
      <c r="Z37" s="69">
        <f t="shared" si="25"/>
        <v>254.49200000000005</v>
      </c>
      <c r="AA37" s="69">
        <f t="shared" si="25"/>
        <v>0</v>
      </c>
      <c r="AB37" s="69">
        <f t="shared" si="25"/>
        <v>474.29999999999995</v>
      </c>
      <c r="AC37" s="69">
        <f t="shared" si="25"/>
        <v>80.640000000000015</v>
      </c>
      <c r="AD37" s="69">
        <f t="shared" si="25"/>
        <v>607.41000000000008</v>
      </c>
      <c r="AE37" s="69">
        <f t="shared" si="25"/>
        <v>0</v>
      </c>
      <c r="AF37" s="69">
        <f t="shared" si="25"/>
        <v>0</v>
      </c>
      <c r="AG37" s="56">
        <f>SUM(U37:AF37)</f>
        <v>1416.8420000000001</v>
      </c>
      <c r="AI37" s="57">
        <f>AG37/I37</f>
        <v>175.24329004329005</v>
      </c>
    </row>
    <row r="38" spans="2:35">
      <c r="B38" s="50"/>
      <c r="C38" s="23"/>
      <c r="D38" s="23"/>
      <c r="E38" s="23"/>
      <c r="F38" s="52"/>
      <c r="G38" s="52"/>
      <c r="H38" s="51"/>
      <c r="I38" s="21"/>
      <c r="J38" s="21"/>
      <c r="K38" s="21"/>
      <c r="L38" s="16"/>
      <c r="M38" s="21"/>
      <c r="N38" s="54"/>
      <c r="O38" s="23"/>
      <c r="P38" s="23"/>
      <c r="Q38" s="23"/>
      <c r="R38" s="23"/>
      <c r="S38" s="37"/>
      <c r="T38" s="23"/>
      <c r="U38" s="16">
        <f t="shared" ref="U38:U56" si="26">IF(S38="R",O38*T38*$U$7,0)</f>
        <v>0</v>
      </c>
      <c r="V38" s="16">
        <f t="shared" ref="V38:V56" si="27">IF(S38="6mm",O38*T38*$V$7,0)</f>
        <v>0</v>
      </c>
      <c r="W38" s="16">
        <f t="shared" ref="W38:W56" si="28">IF(S38="8mm",O38*T38*$W$7,0)</f>
        <v>0</v>
      </c>
      <c r="X38" s="18">
        <f t="shared" ref="X38:X56" si="29">IF(S38="#1",O38*T38*$X$7,0)</f>
        <v>0</v>
      </c>
      <c r="Y38" s="16">
        <f t="shared" ref="Y38:Y56" si="30">IF(S38="#2",O38*T38*$Y$7,0)</f>
        <v>0</v>
      </c>
      <c r="Z38" s="16">
        <f t="shared" ref="Z38:Z56" si="31">IF(S38="#3",O38*T38*$Z$7,0)</f>
        <v>0</v>
      </c>
      <c r="AA38" s="16">
        <f t="shared" ref="AA38:AA56" si="32">IF(S38="#4",O38*T38*$AA$7,0)</f>
        <v>0</v>
      </c>
      <c r="AB38" s="16">
        <f t="shared" ref="AB38:AB56" si="33">IF(S38="#5",O38*T38*$AB$7,0)</f>
        <v>0</v>
      </c>
      <c r="AC38" s="16">
        <f t="shared" ref="AC38:AC56" si="34">IF(S38="#6",O38*T38*$AC$7,0)</f>
        <v>0</v>
      </c>
      <c r="AD38" s="16">
        <f t="shared" ref="AD38:AD56" si="35">IF(S38="#8",O38*T38*$AD$7,0)</f>
        <v>0</v>
      </c>
      <c r="AE38" s="16">
        <f t="shared" ref="AE38:AE56" si="36">IF(S38="#11",O38*T38*$AE$7,0)</f>
        <v>0</v>
      </c>
      <c r="AF38" s="16">
        <f t="shared" ref="AF38:AF56" si="37">IF(S38="#12",O38*T38*$AF$7,0)</f>
        <v>0</v>
      </c>
      <c r="AG38" s="21"/>
    </row>
    <row r="39" spans="2:35">
      <c r="B39" s="50"/>
      <c r="C39" s="23"/>
      <c r="D39" s="23"/>
      <c r="E39" s="23"/>
      <c r="F39" s="52"/>
      <c r="G39" s="52"/>
      <c r="H39" s="51">
        <f>F39*G39</f>
        <v>0</v>
      </c>
      <c r="I39" s="23"/>
      <c r="J39" s="23"/>
      <c r="K39" s="23"/>
      <c r="L39" s="18">
        <f>J39*K39</f>
        <v>0</v>
      </c>
      <c r="M39" s="23"/>
      <c r="N39" s="159"/>
      <c r="O39" s="23"/>
      <c r="P39" s="23"/>
      <c r="Q39" s="23"/>
      <c r="R39" s="23"/>
      <c r="S39" s="37"/>
      <c r="T39" s="23"/>
      <c r="U39" s="16">
        <f t="shared" si="26"/>
        <v>0</v>
      </c>
      <c r="V39" s="16">
        <f t="shared" si="27"/>
        <v>0</v>
      </c>
      <c r="W39" s="16">
        <f t="shared" si="28"/>
        <v>0</v>
      </c>
      <c r="X39" s="18">
        <f t="shared" si="29"/>
        <v>0</v>
      </c>
      <c r="Y39" s="16">
        <f t="shared" si="30"/>
        <v>0</v>
      </c>
      <c r="Z39" s="16">
        <f t="shared" si="31"/>
        <v>0</v>
      </c>
      <c r="AA39" s="16">
        <f t="shared" si="32"/>
        <v>0</v>
      </c>
      <c r="AB39" s="16">
        <f t="shared" si="33"/>
        <v>0</v>
      </c>
      <c r="AC39" s="16">
        <f t="shared" si="34"/>
        <v>0</v>
      </c>
      <c r="AD39" s="16">
        <f t="shared" si="35"/>
        <v>0</v>
      </c>
      <c r="AE39" s="16">
        <f t="shared" si="36"/>
        <v>0</v>
      </c>
      <c r="AF39" s="16">
        <f t="shared" si="37"/>
        <v>0</v>
      </c>
      <c r="AG39" s="21"/>
    </row>
    <row r="40" spans="2:35" ht="15.75">
      <c r="B40" s="183" t="s">
        <v>155</v>
      </c>
      <c r="C40" s="184"/>
      <c r="D40" s="184"/>
      <c r="E40" s="185"/>
      <c r="F40" s="52"/>
      <c r="G40" s="52"/>
      <c r="H40" s="51"/>
      <c r="I40" s="21"/>
      <c r="J40" s="21"/>
      <c r="K40" s="21"/>
      <c r="L40" s="16"/>
      <c r="M40" s="21"/>
      <c r="N40" s="54"/>
      <c r="O40" s="23"/>
      <c r="P40" s="23"/>
      <c r="Q40" s="23"/>
      <c r="R40" s="23"/>
      <c r="S40" s="37"/>
      <c r="T40" s="23"/>
      <c r="U40" s="16">
        <f t="shared" si="26"/>
        <v>0</v>
      </c>
      <c r="V40" s="16">
        <f t="shared" si="27"/>
        <v>0</v>
      </c>
      <c r="W40" s="16">
        <f t="shared" si="28"/>
        <v>0</v>
      </c>
      <c r="X40" s="18">
        <f t="shared" si="29"/>
        <v>0</v>
      </c>
      <c r="Y40" s="16">
        <f t="shared" si="30"/>
        <v>0</v>
      </c>
      <c r="Z40" s="16">
        <f t="shared" si="31"/>
        <v>0</v>
      </c>
      <c r="AA40" s="16">
        <f t="shared" si="32"/>
        <v>0</v>
      </c>
      <c r="AB40" s="16">
        <f t="shared" si="33"/>
        <v>0</v>
      </c>
      <c r="AC40" s="16">
        <f t="shared" si="34"/>
        <v>0</v>
      </c>
      <c r="AD40" s="16">
        <f t="shared" si="35"/>
        <v>0</v>
      </c>
      <c r="AE40" s="16">
        <f t="shared" si="36"/>
        <v>0</v>
      </c>
      <c r="AF40" s="16">
        <f t="shared" si="37"/>
        <v>0</v>
      </c>
      <c r="AG40" s="21"/>
    </row>
    <row r="41" spans="2:35">
      <c r="B41" s="50"/>
      <c r="C41" s="23"/>
      <c r="D41" s="23"/>
      <c r="E41" s="23"/>
      <c r="F41" s="52"/>
      <c r="G41" s="52"/>
      <c r="H41" s="51"/>
      <c r="I41" s="23"/>
      <c r="J41" s="23"/>
      <c r="K41" s="23"/>
      <c r="L41" s="18"/>
      <c r="M41" s="23"/>
      <c r="N41" s="159"/>
      <c r="O41" s="23"/>
      <c r="P41" s="23"/>
      <c r="Q41" s="23"/>
      <c r="R41" s="23"/>
      <c r="S41" s="37"/>
      <c r="T41" s="23"/>
      <c r="U41" s="16">
        <f t="shared" si="26"/>
        <v>0</v>
      </c>
      <c r="V41" s="16">
        <f t="shared" si="27"/>
        <v>0</v>
      </c>
      <c r="W41" s="16">
        <f t="shared" si="28"/>
        <v>0</v>
      </c>
      <c r="X41" s="18">
        <f t="shared" si="29"/>
        <v>0</v>
      </c>
      <c r="Y41" s="16">
        <f t="shared" si="30"/>
        <v>0</v>
      </c>
      <c r="Z41" s="16">
        <f t="shared" si="31"/>
        <v>0</v>
      </c>
      <c r="AA41" s="16">
        <f t="shared" si="32"/>
        <v>0</v>
      </c>
      <c r="AB41" s="16">
        <f t="shared" si="33"/>
        <v>0</v>
      </c>
      <c r="AC41" s="16">
        <f t="shared" si="34"/>
        <v>0</v>
      </c>
      <c r="AD41" s="16">
        <f t="shared" si="35"/>
        <v>0</v>
      </c>
      <c r="AE41" s="16">
        <f t="shared" si="36"/>
        <v>0</v>
      </c>
      <c r="AF41" s="16">
        <f t="shared" si="37"/>
        <v>0</v>
      </c>
      <c r="AG41" s="21"/>
    </row>
    <row r="42" spans="2:35">
      <c r="B42" s="50"/>
      <c r="C42" s="23">
        <v>1</v>
      </c>
      <c r="D42" s="23">
        <f>4+5.9+0.5+5.35+0.5+3.25+4.5</f>
        <v>24</v>
      </c>
      <c r="E42" s="23">
        <v>0.3</v>
      </c>
      <c r="F42" s="52">
        <v>0.65</v>
      </c>
      <c r="G42" s="73">
        <f>C42*D42*E42</f>
        <v>7.1999999999999993</v>
      </c>
      <c r="H42" s="74">
        <f>F42*G42</f>
        <v>4.68</v>
      </c>
      <c r="I42" s="23"/>
      <c r="J42" s="23">
        <f>5.9+5.35+3.25</f>
        <v>14.5</v>
      </c>
      <c r="K42" s="23">
        <v>0.3</v>
      </c>
      <c r="L42" s="75">
        <f>J42*K42</f>
        <v>4.3499999999999996</v>
      </c>
      <c r="M42" s="23"/>
      <c r="N42" s="159" t="s">
        <v>156</v>
      </c>
      <c r="O42" s="23">
        <v>2</v>
      </c>
      <c r="P42" s="23"/>
      <c r="Q42" s="23"/>
      <c r="R42" s="23"/>
      <c r="S42" s="37" t="s">
        <v>146</v>
      </c>
      <c r="T42" s="23">
        <f>1.5+(5.9+0.5+5.35+0.5+3.25)+1.5</f>
        <v>18.5</v>
      </c>
      <c r="U42" s="16">
        <f t="shared" si="26"/>
        <v>0</v>
      </c>
      <c r="V42" s="16">
        <f t="shared" si="27"/>
        <v>0</v>
      </c>
      <c r="W42" s="16">
        <f t="shared" si="28"/>
        <v>0</v>
      </c>
      <c r="X42" s="18">
        <f t="shared" si="29"/>
        <v>0</v>
      </c>
      <c r="Y42" s="16">
        <f t="shared" si="30"/>
        <v>0</v>
      </c>
      <c r="Z42" s="16">
        <f t="shared" si="31"/>
        <v>0</v>
      </c>
      <c r="AA42" s="16">
        <f t="shared" si="32"/>
        <v>0</v>
      </c>
      <c r="AB42" s="16">
        <f t="shared" si="33"/>
        <v>0</v>
      </c>
      <c r="AC42" s="16">
        <f t="shared" si="34"/>
        <v>82.88000000000001</v>
      </c>
      <c r="AD42" s="16">
        <f t="shared" si="35"/>
        <v>0</v>
      </c>
      <c r="AE42" s="16">
        <f t="shared" si="36"/>
        <v>0</v>
      </c>
      <c r="AF42" s="16">
        <f t="shared" si="37"/>
        <v>0</v>
      </c>
      <c r="AG42" s="21"/>
    </row>
    <row r="43" spans="2:35">
      <c r="B43" s="50"/>
      <c r="C43" s="23"/>
      <c r="D43" s="23"/>
      <c r="E43" s="23"/>
      <c r="F43" s="52"/>
      <c r="G43" s="52"/>
      <c r="H43" s="51"/>
      <c r="I43" s="23"/>
      <c r="J43" s="23">
        <f>5.9+5.35+3.25</f>
        <v>14.5</v>
      </c>
      <c r="K43" s="23">
        <f>0.65-0.15</f>
        <v>0.5</v>
      </c>
      <c r="L43" s="75">
        <f>J43*K43</f>
        <v>7.25</v>
      </c>
      <c r="M43" s="23"/>
      <c r="N43" s="159" t="s">
        <v>157</v>
      </c>
      <c r="O43" s="23">
        <v>2</v>
      </c>
      <c r="P43" s="23"/>
      <c r="Q43" s="23"/>
      <c r="R43" s="23"/>
      <c r="S43" s="37" t="s">
        <v>151</v>
      </c>
      <c r="T43" s="23">
        <f>1.5+1.5+0.5</f>
        <v>3.5</v>
      </c>
      <c r="U43" s="16">
        <f t="shared" si="26"/>
        <v>0</v>
      </c>
      <c r="V43" s="16">
        <f t="shared" si="27"/>
        <v>0</v>
      </c>
      <c r="W43" s="16">
        <f t="shared" si="28"/>
        <v>0</v>
      </c>
      <c r="X43" s="18">
        <f t="shared" si="29"/>
        <v>0</v>
      </c>
      <c r="Y43" s="16">
        <f t="shared" si="30"/>
        <v>0</v>
      </c>
      <c r="Z43" s="16">
        <f t="shared" si="31"/>
        <v>0</v>
      </c>
      <c r="AA43" s="16">
        <f t="shared" si="32"/>
        <v>0</v>
      </c>
      <c r="AB43" s="16">
        <f t="shared" si="33"/>
        <v>0</v>
      </c>
      <c r="AC43" s="16">
        <f t="shared" si="34"/>
        <v>0</v>
      </c>
      <c r="AD43" s="16">
        <f t="shared" si="35"/>
        <v>27.790000000000003</v>
      </c>
      <c r="AE43" s="16">
        <f t="shared" si="36"/>
        <v>0</v>
      </c>
      <c r="AF43" s="16">
        <f t="shared" si="37"/>
        <v>0</v>
      </c>
      <c r="AG43" s="21"/>
    </row>
    <row r="44" spans="2:35">
      <c r="B44" s="50"/>
      <c r="C44" s="23"/>
      <c r="D44" s="23"/>
      <c r="E44" s="23"/>
      <c r="F44" s="52"/>
      <c r="G44" s="52"/>
      <c r="H44" s="51"/>
      <c r="I44" s="23"/>
      <c r="J44" s="23">
        <f>5.9+5.35+3.25</f>
        <v>14.5</v>
      </c>
      <c r="K44" s="23">
        <f>0.65-0.15</f>
        <v>0.5</v>
      </c>
      <c r="L44" s="75">
        <f>J44*K44</f>
        <v>7.25</v>
      </c>
      <c r="M44" s="23"/>
      <c r="N44" s="159" t="s">
        <v>157</v>
      </c>
      <c r="O44" s="23">
        <v>2</v>
      </c>
      <c r="P44" s="23"/>
      <c r="Q44" s="23"/>
      <c r="R44" s="23"/>
      <c r="S44" s="37" t="s">
        <v>146</v>
      </c>
      <c r="T44" s="23">
        <v>4.3</v>
      </c>
      <c r="U44" s="16">
        <f t="shared" si="26"/>
        <v>0</v>
      </c>
      <c r="V44" s="16">
        <f t="shared" si="27"/>
        <v>0</v>
      </c>
      <c r="W44" s="16">
        <f t="shared" si="28"/>
        <v>0</v>
      </c>
      <c r="X44" s="18">
        <f t="shared" si="29"/>
        <v>0</v>
      </c>
      <c r="Y44" s="16">
        <f t="shared" si="30"/>
        <v>0</v>
      </c>
      <c r="Z44" s="16">
        <f t="shared" si="31"/>
        <v>0</v>
      </c>
      <c r="AA44" s="16">
        <f t="shared" si="32"/>
        <v>0</v>
      </c>
      <c r="AB44" s="16">
        <f t="shared" si="33"/>
        <v>0</v>
      </c>
      <c r="AC44" s="16">
        <f t="shared" si="34"/>
        <v>19.263999999999999</v>
      </c>
      <c r="AD44" s="16">
        <f t="shared" si="35"/>
        <v>0</v>
      </c>
      <c r="AE44" s="16">
        <f t="shared" si="36"/>
        <v>0</v>
      </c>
      <c r="AF44" s="16">
        <f t="shared" si="37"/>
        <v>0</v>
      </c>
      <c r="AG44" s="21"/>
    </row>
    <row r="45" spans="2:35">
      <c r="B45" s="50"/>
      <c r="C45" s="23"/>
      <c r="D45" s="23"/>
      <c r="E45" s="23"/>
      <c r="F45" s="52"/>
      <c r="G45" s="52"/>
      <c r="H45" s="51"/>
      <c r="I45" s="23"/>
      <c r="J45" s="23"/>
      <c r="K45" s="23"/>
      <c r="L45" s="18"/>
      <c r="M45" s="23"/>
      <c r="N45" s="159" t="s">
        <v>157</v>
      </c>
      <c r="O45" s="23">
        <v>2</v>
      </c>
      <c r="P45" s="23"/>
      <c r="Q45" s="23"/>
      <c r="R45" s="23"/>
      <c r="S45" s="37" t="s">
        <v>146</v>
      </c>
      <c r="T45" s="23">
        <v>3.5</v>
      </c>
      <c r="U45" s="16">
        <f t="shared" si="26"/>
        <v>0</v>
      </c>
      <c r="V45" s="16">
        <f t="shared" si="27"/>
        <v>0</v>
      </c>
      <c r="W45" s="16">
        <f t="shared" si="28"/>
        <v>0</v>
      </c>
      <c r="X45" s="18">
        <f t="shared" si="29"/>
        <v>0</v>
      </c>
      <c r="Y45" s="16">
        <f t="shared" si="30"/>
        <v>0</v>
      </c>
      <c r="Z45" s="16">
        <f t="shared" si="31"/>
        <v>0</v>
      </c>
      <c r="AA45" s="16">
        <f t="shared" si="32"/>
        <v>0</v>
      </c>
      <c r="AB45" s="16">
        <f t="shared" si="33"/>
        <v>0</v>
      </c>
      <c r="AC45" s="16">
        <f t="shared" si="34"/>
        <v>15.680000000000001</v>
      </c>
      <c r="AD45" s="16">
        <f t="shared" si="35"/>
        <v>0</v>
      </c>
      <c r="AE45" s="16">
        <f t="shared" si="36"/>
        <v>0</v>
      </c>
      <c r="AF45" s="16">
        <f t="shared" si="37"/>
        <v>0</v>
      </c>
      <c r="AG45" s="21"/>
    </row>
    <row r="46" spans="2:35">
      <c r="B46" s="50"/>
      <c r="C46" s="23"/>
      <c r="D46" s="23"/>
      <c r="E46" s="23"/>
      <c r="F46" s="52"/>
      <c r="G46" s="52"/>
      <c r="H46" s="51"/>
      <c r="I46" s="23"/>
      <c r="J46" s="23"/>
      <c r="K46" s="23"/>
      <c r="L46" s="18"/>
      <c r="M46" s="23"/>
      <c r="N46" s="159" t="s">
        <v>157</v>
      </c>
      <c r="O46" s="23">
        <v>3</v>
      </c>
      <c r="P46" s="23"/>
      <c r="Q46" s="23"/>
      <c r="R46" s="23"/>
      <c r="S46" s="37" t="s">
        <v>151</v>
      </c>
      <c r="T46" s="23">
        <f>1.5+0.8+0.4</f>
        <v>2.6999999999999997</v>
      </c>
      <c r="U46" s="16">
        <f t="shared" si="26"/>
        <v>0</v>
      </c>
      <c r="V46" s="16">
        <f t="shared" si="27"/>
        <v>0</v>
      </c>
      <c r="W46" s="16">
        <f t="shared" si="28"/>
        <v>0</v>
      </c>
      <c r="X46" s="18">
        <f t="shared" si="29"/>
        <v>0</v>
      </c>
      <c r="Y46" s="16">
        <f t="shared" si="30"/>
        <v>0</v>
      </c>
      <c r="Z46" s="16">
        <f t="shared" si="31"/>
        <v>0</v>
      </c>
      <c r="AA46" s="16">
        <f t="shared" si="32"/>
        <v>0</v>
      </c>
      <c r="AB46" s="16">
        <f t="shared" si="33"/>
        <v>0</v>
      </c>
      <c r="AC46" s="16">
        <f t="shared" si="34"/>
        <v>0</v>
      </c>
      <c r="AD46" s="16">
        <f t="shared" si="35"/>
        <v>32.157000000000004</v>
      </c>
      <c r="AE46" s="16">
        <f t="shared" si="36"/>
        <v>0</v>
      </c>
      <c r="AF46" s="16">
        <f t="shared" si="37"/>
        <v>0</v>
      </c>
      <c r="AG46" s="21"/>
    </row>
    <row r="47" spans="2:35">
      <c r="B47" s="50"/>
      <c r="C47" s="23"/>
      <c r="D47" s="23"/>
      <c r="E47" s="23"/>
      <c r="F47" s="52"/>
      <c r="G47" s="52"/>
      <c r="H47" s="51"/>
      <c r="I47" s="23"/>
      <c r="J47" s="23"/>
      <c r="K47" s="23"/>
      <c r="L47" s="18"/>
      <c r="M47" s="23"/>
      <c r="N47" s="159" t="s">
        <v>157</v>
      </c>
      <c r="O47" s="23">
        <v>2</v>
      </c>
      <c r="P47" s="23"/>
      <c r="Q47" s="23"/>
      <c r="R47" s="23"/>
      <c r="S47" s="37" t="s">
        <v>151</v>
      </c>
      <c r="T47" s="23">
        <v>3</v>
      </c>
      <c r="U47" s="16">
        <f t="shared" si="26"/>
        <v>0</v>
      </c>
      <c r="V47" s="16">
        <f t="shared" si="27"/>
        <v>0</v>
      </c>
      <c r="W47" s="16">
        <f t="shared" si="28"/>
        <v>0</v>
      </c>
      <c r="X47" s="18">
        <f t="shared" si="29"/>
        <v>0</v>
      </c>
      <c r="Y47" s="16">
        <f t="shared" si="30"/>
        <v>0</v>
      </c>
      <c r="Z47" s="16">
        <f t="shared" si="31"/>
        <v>0</v>
      </c>
      <c r="AA47" s="16">
        <f t="shared" si="32"/>
        <v>0</v>
      </c>
      <c r="AB47" s="16">
        <f t="shared" si="33"/>
        <v>0</v>
      </c>
      <c r="AC47" s="16">
        <f t="shared" si="34"/>
        <v>0</v>
      </c>
      <c r="AD47" s="16">
        <f t="shared" si="35"/>
        <v>23.82</v>
      </c>
      <c r="AE47" s="16">
        <f t="shared" si="36"/>
        <v>0</v>
      </c>
      <c r="AF47" s="16">
        <f t="shared" si="37"/>
        <v>0</v>
      </c>
      <c r="AG47" s="21"/>
    </row>
    <row r="48" spans="2:35">
      <c r="B48" s="50"/>
      <c r="C48" s="23"/>
      <c r="D48" s="23"/>
      <c r="E48" s="23"/>
      <c r="F48" s="52"/>
      <c r="G48" s="52"/>
      <c r="H48" s="51"/>
      <c r="I48" s="23"/>
      <c r="J48" s="23"/>
      <c r="K48" s="23"/>
      <c r="L48" s="18"/>
      <c r="M48" s="23"/>
      <c r="N48" s="159" t="s">
        <v>157</v>
      </c>
      <c r="O48" s="23">
        <v>2</v>
      </c>
      <c r="P48" s="23"/>
      <c r="Q48" s="23"/>
      <c r="R48" s="23"/>
      <c r="S48" s="37" t="s">
        <v>151</v>
      </c>
      <c r="T48" s="23">
        <f>1.5+0.8+0.4</f>
        <v>2.6999999999999997</v>
      </c>
      <c r="U48" s="16">
        <f t="shared" si="26"/>
        <v>0</v>
      </c>
      <c r="V48" s="16">
        <f t="shared" si="27"/>
        <v>0</v>
      </c>
      <c r="W48" s="16">
        <f t="shared" si="28"/>
        <v>0</v>
      </c>
      <c r="X48" s="18">
        <f t="shared" si="29"/>
        <v>0</v>
      </c>
      <c r="Y48" s="16">
        <f t="shared" si="30"/>
        <v>0</v>
      </c>
      <c r="Z48" s="16">
        <f t="shared" si="31"/>
        <v>0</v>
      </c>
      <c r="AA48" s="16">
        <f t="shared" si="32"/>
        <v>0</v>
      </c>
      <c r="AB48" s="16">
        <f t="shared" si="33"/>
        <v>0</v>
      </c>
      <c r="AC48" s="16">
        <f t="shared" si="34"/>
        <v>0</v>
      </c>
      <c r="AD48" s="16">
        <f t="shared" si="35"/>
        <v>21.437999999999999</v>
      </c>
      <c r="AE48" s="16">
        <f t="shared" si="36"/>
        <v>0</v>
      </c>
      <c r="AF48" s="16">
        <f t="shared" si="37"/>
        <v>0</v>
      </c>
      <c r="AG48" s="21"/>
    </row>
    <row r="49" spans="2:35">
      <c r="B49" s="50"/>
      <c r="C49" s="23"/>
      <c r="D49" s="23"/>
      <c r="E49" s="23"/>
      <c r="F49" s="52"/>
      <c r="G49" s="52"/>
      <c r="H49" s="51"/>
      <c r="I49" s="23"/>
      <c r="J49" s="23"/>
      <c r="K49" s="23"/>
      <c r="L49" s="18"/>
      <c r="M49" s="23"/>
      <c r="N49" s="159" t="s">
        <v>158</v>
      </c>
      <c r="O49" s="23">
        <v>2</v>
      </c>
      <c r="P49" s="23"/>
      <c r="Q49" s="23"/>
      <c r="R49" s="23"/>
      <c r="S49" s="37" t="s">
        <v>146</v>
      </c>
      <c r="T49" s="23">
        <f>1.5+(5.9+0.5+5.35+0.5+3.25)+1.5</f>
        <v>18.5</v>
      </c>
      <c r="U49" s="16">
        <f t="shared" si="26"/>
        <v>0</v>
      </c>
      <c r="V49" s="16">
        <f t="shared" si="27"/>
        <v>0</v>
      </c>
      <c r="W49" s="16">
        <f t="shared" si="28"/>
        <v>0</v>
      </c>
      <c r="X49" s="18">
        <f t="shared" si="29"/>
        <v>0</v>
      </c>
      <c r="Y49" s="16">
        <f t="shared" si="30"/>
        <v>0</v>
      </c>
      <c r="Z49" s="16">
        <f t="shared" si="31"/>
        <v>0</v>
      </c>
      <c r="AA49" s="16">
        <f t="shared" si="32"/>
        <v>0</v>
      </c>
      <c r="AB49" s="16">
        <f t="shared" si="33"/>
        <v>0</v>
      </c>
      <c r="AC49" s="16">
        <f t="shared" si="34"/>
        <v>82.88000000000001</v>
      </c>
      <c r="AD49" s="16">
        <f t="shared" si="35"/>
        <v>0</v>
      </c>
      <c r="AE49" s="16">
        <f t="shared" si="36"/>
        <v>0</v>
      </c>
      <c r="AF49" s="16">
        <f t="shared" si="37"/>
        <v>0</v>
      </c>
      <c r="AG49" s="21"/>
    </row>
    <row r="50" spans="2:35">
      <c r="B50" s="50"/>
      <c r="C50" s="23"/>
      <c r="D50" s="23"/>
      <c r="E50" s="23"/>
      <c r="F50" s="52"/>
      <c r="G50" s="52"/>
      <c r="H50" s="51"/>
      <c r="I50" s="23"/>
      <c r="J50" s="23"/>
      <c r="K50" s="23"/>
      <c r="L50" s="18"/>
      <c r="M50" s="23"/>
      <c r="N50" s="159" t="s">
        <v>159</v>
      </c>
      <c r="O50" s="23">
        <v>2</v>
      </c>
      <c r="P50" s="23"/>
      <c r="Q50" s="23"/>
      <c r="R50" s="23"/>
      <c r="S50" s="37" t="s">
        <v>137</v>
      </c>
      <c r="T50" s="23">
        <v>3</v>
      </c>
      <c r="U50" s="16">
        <f t="shared" si="26"/>
        <v>0</v>
      </c>
      <c r="V50" s="16">
        <f t="shared" si="27"/>
        <v>0</v>
      </c>
      <c r="W50" s="16">
        <f t="shared" si="28"/>
        <v>0</v>
      </c>
      <c r="X50" s="18">
        <f t="shared" si="29"/>
        <v>0</v>
      </c>
      <c r="Y50" s="16">
        <f t="shared" si="30"/>
        <v>0</v>
      </c>
      <c r="Z50" s="16">
        <f t="shared" si="31"/>
        <v>0</v>
      </c>
      <c r="AA50" s="16">
        <f t="shared" si="32"/>
        <v>0</v>
      </c>
      <c r="AB50" s="16">
        <f t="shared" si="33"/>
        <v>9.3000000000000007</v>
      </c>
      <c r="AC50" s="16">
        <f t="shared" si="34"/>
        <v>0</v>
      </c>
      <c r="AD50" s="16">
        <f t="shared" si="35"/>
        <v>0</v>
      </c>
      <c r="AE50" s="16">
        <f t="shared" si="36"/>
        <v>0</v>
      </c>
      <c r="AF50" s="16">
        <f t="shared" si="37"/>
        <v>0</v>
      </c>
      <c r="AG50" s="21"/>
    </row>
    <row r="51" spans="2:35">
      <c r="B51" s="50"/>
      <c r="C51" s="23"/>
      <c r="D51" s="23"/>
      <c r="E51" s="23"/>
      <c r="F51" s="52"/>
      <c r="G51" s="52"/>
      <c r="H51" s="51"/>
      <c r="I51" s="23"/>
      <c r="J51" s="23"/>
      <c r="K51" s="23"/>
      <c r="L51" s="18"/>
      <c r="M51" s="23"/>
      <c r="N51" s="159" t="s">
        <v>159</v>
      </c>
      <c r="O51" s="23">
        <v>2</v>
      </c>
      <c r="P51" s="23"/>
      <c r="Q51" s="23"/>
      <c r="R51" s="23"/>
      <c r="S51" s="37" t="s">
        <v>151</v>
      </c>
      <c r="T51" s="23">
        <v>3.5</v>
      </c>
      <c r="U51" s="16">
        <f t="shared" si="26"/>
        <v>0</v>
      </c>
      <c r="V51" s="16">
        <f t="shared" si="27"/>
        <v>0</v>
      </c>
      <c r="W51" s="16">
        <f t="shared" si="28"/>
        <v>0</v>
      </c>
      <c r="X51" s="18">
        <f t="shared" si="29"/>
        <v>0</v>
      </c>
      <c r="Y51" s="16">
        <f t="shared" si="30"/>
        <v>0</v>
      </c>
      <c r="Z51" s="16">
        <f t="shared" si="31"/>
        <v>0</v>
      </c>
      <c r="AA51" s="16">
        <f t="shared" si="32"/>
        <v>0</v>
      </c>
      <c r="AB51" s="16">
        <f t="shared" si="33"/>
        <v>0</v>
      </c>
      <c r="AC51" s="16">
        <f t="shared" si="34"/>
        <v>0</v>
      </c>
      <c r="AD51" s="16">
        <f t="shared" si="35"/>
        <v>27.790000000000003</v>
      </c>
      <c r="AE51" s="16">
        <f t="shared" si="36"/>
        <v>0</v>
      </c>
      <c r="AF51" s="16">
        <f t="shared" si="37"/>
        <v>0</v>
      </c>
      <c r="AG51" s="21"/>
    </row>
    <row r="52" spans="2:35">
      <c r="B52" s="50"/>
      <c r="C52" s="23"/>
      <c r="D52" s="23"/>
      <c r="E52" s="23"/>
      <c r="F52" s="52"/>
      <c r="G52" s="52"/>
      <c r="H52" s="51"/>
      <c r="I52" s="23"/>
      <c r="J52" s="23"/>
      <c r="K52" s="23"/>
      <c r="L52" s="18"/>
      <c r="M52" s="23"/>
      <c r="N52" s="159" t="s">
        <v>159</v>
      </c>
      <c r="O52" s="23">
        <v>2</v>
      </c>
      <c r="P52" s="23"/>
      <c r="Q52" s="23"/>
      <c r="R52" s="23"/>
      <c r="S52" s="37" t="s">
        <v>151</v>
      </c>
      <c r="T52" s="23">
        <f>0.8+1.5</f>
        <v>2.2999999999999998</v>
      </c>
      <c r="U52" s="16">
        <f t="shared" si="26"/>
        <v>0</v>
      </c>
      <c r="V52" s="16">
        <f t="shared" si="27"/>
        <v>0</v>
      </c>
      <c r="W52" s="16">
        <f t="shared" si="28"/>
        <v>0</v>
      </c>
      <c r="X52" s="18">
        <f t="shared" si="29"/>
        <v>0</v>
      </c>
      <c r="Y52" s="16">
        <f t="shared" si="30"/>
        <v>0</v>
      </c>
      <c r="Z52" s="16">
        <f t="shared" si="31"/>
        <v>0</v>
      </c>
      <c r="AA52" s="16">
        <f t="shared" si="32"/>
        <v>0</v>
      </c>
      <c r="AB52" s="16">
        <f t="shared" si="33"/>
        <v>0</v>
      </c>
      <c r="AC52" s="16">
        <f t="shared" si="34"/>
        <v>0</v>
      </c>
      <c r="AD52" s="16">
        <f t="shared" si="35"/>
        <v>18.262</v>
      </c>
      <c r="AE52" s="16">
        <f t="shared" si="36"/>
        <v>0</v>
      </c>
      <c r="AF52" s="16">
        <f t="shared" si="37"/>
        <v>0</v>
      </c>
      <c r="AG52" s="21"/>
    </row>
    <row r="53" spans="2:35">
      <c r="B53" s="50"/>
      <c r="C53" s="23"/>
      <c r="D53" s="23"/>
      <c r="E53" s="23"/>
      <c r="F53" s="52"/>
      <c r="G53" s="52"/>
      <c r="H53" s="51"/>
      <c r="I53" s="23"/>
      <c r="J53" s="23"/>
      <c r="K53" s="23"/>
      <c r="L53" s="18"/>
      <c r="M53" s="23"/>
      <c r="N53" s="159" t="s">
        <v>140</v>
      </c>
      <c r="O53" s="23">
        <f>ROUNDUP((5.9-2.7)/0.25+28,0)</f>
        <v>41</v>
      </c>
      <c r="P53" s="23"/>
      <c r="Q53" s="23"/>
      <c r="R53" s="23"/>
      <c r="S53" s="37" t="s">
        <v>138</v>
      </c>
      <c r="T53" s="23">
        <f>+(0.3-0.05+0.65-0.05)*2+0.1+0.1</f>
        <v>1.9000000000000001</v>
      </c>
      <c r="U53" s="16">
        <f t="shared" si="26"/>
        <v>0</v>
      </c>
      <c r="V53" s="16">
        <f t="shared" si="27"/>
        <v>0</v>
      </c>
      <c r="W53" s="16">
        <f t="shared" si="28"/>
        <v>0</v>
      </c>
      <c r="X53" s="18">
        <f t="shared" si="29"/>
        <v>0</v>
      </c>
      <c r="Y53" s="16">
        <f t="shared" si="30"/>
        <v>0</v>
      </c>
      <c r="Z53" s="16">
        <f t="shared" si="31"/>
        <v>43.624000000000009</v>
      </c>
      <c r="AA53" s="16">
        <f t="shared" si="32"/>
        <v>0</v>
      </c>
      <c r="AB53" s="16">
        <f t="shared" si="33"/>
        <v>0</v>
      </c>
      <c r="AC53" s="16">
        <f t="shared" si="34"/>
        <v>0</v>
      </c>
      <c r="AD53" s="16">
        <f t="shared" si="35"/>
        <v>0</v>
      </c>
      <c r="AE53" s="16">
        <f t="shared" si="36"/>
        <v>0</v>
      </c>
      <c r="AF53" s="16">
        <f t="shared" si="37"/>
        <v>0</v>
      </c>
      <c r="AG53" s="21"/>
    </row>
    <row r="54" spans="2:35">
      <c r="B54" s="50"/>
      <c r="C54" s="23"/>
      <c r="D54" s="23"/>
      <c r="E54" s="23"/>
      <c r="F54" s="52"/>
      <c r="G54" s="52"/>
      <c r="H54" s="51"/>
      <c r="I54" s="23"/>
      <c r="J54" s="23"/>
      <c r="K54" s="23"/>
      <c r="L54" s="18"/>
      <c r="M54" s="23"/>
      <c r="N54" s="159" t="s">
        <v>140</v>
      </c>
      <c r="O54" s="23">
        <f>ROUNDUP((5.35-2.7)/0.25+28,0)</f>
        <v>39</v>
      </c>
      <c r="P54" s="23"/>
      <c r="Q54" s="23"/>
      <c r="R54" s="23"/>
      <c r="S54" s="37" t="s">
        <v>138</v>
      </c>
      <c r="T54" s="23">
        <f>+(0.3-0.05+0.65-0.05)*2+0.1+0.1</f>
        <v>1.9000000000000001</v>
      </c>
      <c r="U54" s="16">
        <f t="shared" si="26"/>
        <v>0</v>
      </c>
      <c r="V54" s="16">
        <f t="shared" si="27"/>
        <v>0</v>
      </c>
      <c r="W54" s="16">
        <f t="shared" si="28"/>
        <v>0</v>
      </c>
      <c r="X54" s="18">
        <f t="shared" si="29"/>
        <v>0</v>
      </c>
      <c r="Y54" s="16">
        <f t="shared" si="30"/>
        <v>0</v>
      </c>
      <c r="Z54" s="16">
        <f t="shared" si="31"/>
        <v>41.496000000000009</v>
      </c>
      <c r="AA54" s="16">
        <f t="shared" si="32"/>
        <v>0</v>
      </c>
      <c r="AB54" s="16">
        <f t="shared" si="33"/>
        <v>0</v>
      </c>
      <c r="AC54" s="16">
        <f t="shared" si="34"/>
        <v>0</v>
      </c>
      <c r="AD54" s="16">
        <f t="shared" si="35"/>
        <v>0</v>
      </c>
      <c r="AE54" s="16">
        <f t="shared" si="36"/>
        <v>0</v>
      </c>
      <c r="AF54" s="16">
        <f t="shared" si="37"/>
        <v>0</v>
      </c>
      <c r="AG54" s="21"/>
    </row>
    <row r="55" spans="2:35">
      <c r="B55" s="50"/>
      <c r="C55" s="23"/>
      <c r="D55" s="23"/>
      <c r="E55" s="23"/>
      <c r="F55" s="52"/>
      <c r="G55" s="52"/>
      <c r="H55" s="51"/>
      <c r="I55" s="23"/>
      <c r="J55" s="23"/>
      <c r="K55" s="23"/>
      <c r="L55" s="18"/>
      <c r="M55" s="23"/>
      <c r="N55" s="159" t="s">
        <v>140</v>
      </c>
      <c r="O55" s="23">
        <f>ROUNDUP((3.25-2.7)/0.25+28,0)</f>
        <v>31</v>
      </c>
      <c r="P55" s="23"/>
      <c r="Q55" s="23"/>
      <c r="R55" s="23"/>
      <c r="S55" s="37" t="s">
        <v>138</v>
      </c>
      <c r="T55" s="23">
        <f>+(0.3-0.05+0.65-0.05)*2+0.1+0.1</f>
        <v>1.9000000000000001</v>
      </c>
      <c r="U55" s="16">
        <f t="shared" si="26"/>
        <v>0</v>
      </c>
      <c r="V55" s="16">
        <f t="shared" si="27"/>
        <v>0</v>
      </c>
      <c r="W55" s="16">
        <f t="shared" si="28"/>
        <v>0</v>
      </c>
      <c r="X55" s="18">
        <f t="shared" si="29"/>
        <v>0</v>
      </c>
      <c r="Y55" s="16">
        <f t="shared" si="30"/>
        <v>0</v>
      </c>
      <c r="Z55" s="16">
        <f t="shared" si="31"/>
        <v>32.984000000000009</v>
      </c>
      <c r="AA55" s="16">
        <f t="shared" si="32"/>
        <v>0</v>
      </c>
      <c r="AB55" s="16">
        <f t="shared" si="33"/>
        <v>0</v>
      </c>
      <c r="AC55" s="16">
        <f t="shared" si="34"/>
        <v>0</v>
      </c>
      <c r="AD55" s="16">
        <f t="shared" si="35"/>
        <v>0</v>
      </c>
      <c r="AE55" s="16">
        <f t="shared" si="36"/>
        <v>0</v>
      </c>
      <c r="AF55" s="16">
        <f t="shared" si="37"/>
        <v>0</v>
      </c>
      <c r="AG55" s="21"/>
    </row>
    <row r="56" spans="2:35">
      <c r="B56" s="50"/>
      <c r="C56" s="23"/>
      <c r="D56" s="23"/>
      <c r="E56" s="23"/>
      <c r="F56" s="52"/>
      <c r="G56" s="52"/>
      <c r="H56" s="51"/>
      <c r="I56" s="23"/>
      <c r="J56" s="23"/>
      <c r="K56" s="23"/>
      <c r="L56" s="18"/>
      <c r="M56" s="23"/>
      <c r="N56" s="159"/>
      <c r="O56" s="23"/>
      <c r="P56" s="23"/>
      <c r="Q56" s="23"/>
      <c r="R56" s="23"/>
      <c r="S56" s="37"/>
      <c r="T56" s="23"/>
      <c r="U56" s="16">
        <f t="shared" si="26"/>
        <v>0</v>
      </c>
      <c r="V56" s="16">
        <f t="shared" si="27"/>
        <v>0</v>
      </c>
      <c r="W56" s="16">
        <f t="shared" si="28"/>
        <v>0</v>
      </c>
      <c r="X56" s="18">
        <f t="shared" si="29"/>
        <v>0</v>
      </c>
      <c r="Y56" s="16">
        <f t="shared" si="30"/>
        <v>0</v>
      </c>
      <c r="Z56" s="16">
        <f t="shared" si="31"/>
        <v>0</v>
      </c>
      <c r="AA56" s="16">
        <f t="shared" si="32"/>
        <v>0</v>
      </c>
      <c r="AB56" s="16">
        <f t="shared" si="33"/>
        <v>0</v>
      </c>
      <c r="AC56" s="16">
        <f t="shared" si="34"/>
        <v>0</v>
      </c>
      <c r="AD56" s="16">
        <f t="shared" si="35"/>
        <v>0</v>
      </c>
      <c r="AE56" s="16">
        <f t="shared" si="36"/>
        <v>0</v>
      </c>
      <c r="AF56" s="16">
        <f t="shared" si="37"/>
        <v>0</v>
      </c>
      <c r="AG56" s="21"/>
    </row>
    <row r="57" spans="2:35">
      <c r="B57" s="46" t="s">
        <v>163</v>
      </c>
      <c r="C57" s="55"/>
      <c r="D57" s="55"/>
      <c r="E57" s="65"/>
      <c r="F57" s="66"/>
      <c r="G57" s="66"/>
      <c r="H57" s="66"/>
      <c r="I57" s="56">
        <f>SUM(H40:H57)</f>
        <v>4.68</v>
      </c>
      <c r="J57" s="65"/>
      <c r="K57" s="65"/>
      <c r="L57" s="69"/>
      <c r="M57" s="56">
        <f>SUM(L40:L57)</f>
        <v>18.850000000000001</v>
      </c>
      <c r="N57" s="67"/>
      <c r="O57" s="65"/>
      <c r="P57" s="65"/>
      <c r="Q57" s="65"/>
      <c r="R57" s="65"/>
      <c r="S57" s="68"/>
      <c r="T57" s="65"/>
      <c r="U57" s="69">
        <f t="shared" ref="U57:AF57" si="38">SUM(U41:U56)</f>
        <v>0</v>
      </c>
      <c r="V57" s="69">
        <f t="shared" si="38"/>
        <v>0</v>
      </c>
      <c r="W57" s="69">
        <f t="shared" si="38"/>
        <v>0</v>
      </c>
      <c r="X57" s="69">
        <f t="shared" si="38"/>
        <v>0</v>
      </c>
      <c r="Y57" s="69">
        <f t="shared" si="38"/>
        <v>0</v>
      </c>
      <c r="Z57" s="69">
        <f t="shared" si="38"/>
        <v>118.10400000000003</v>
      </c>
      <c r="AA57" s="69">
        <f t="shared" si="38"/>
        <v>0</v>
      </c>
      <c r="AB57" s="69">
        <f t="shared" si="38"/>
        <v>9.3000000000000007</v>
      </c>
      <c r="AC57" s="69">
        <f t="shared" si="38"/>
        <v>200.70400000000001</v>
      </c>
      <c r="AD57" s="69">
        <f t="shared" si="38"/>
        <v>151.25700000000001</v>
      </c>
      <c r="AE57" s="69">
        <f t="shared" si="38"/>
        <v>0</v>
      </c>
      <c r="AF57" s="69">
        <f t="shared" si="38"/>
        <v>0</v>
      </c>
      <c r="AG57" s="56">
        <f>SUM(U57:AF57)</f>
        <v>479.36500000000007</v>
      </c>
      <c r="AI57" s="57">
        <f>AG57/I57</f>
        <v>102.42841880341882</v>
      </c>
    </row>
    <row r="58" spans="2:35">
      <c r="B58" s="50"/>
      <c r="C58" s="23"/>
      <c r="D58" s="23"/>
      <c r="E58" s="23"/>
      <c r="F58" s="52"/>
      <c r="G58" s="52"/>
      <c r="H58" s="51"/>
      <c r="I58" s="21"/>
      <c r="J58" s="21"/>
      <c r="K58" s="21"/>
      <c r="L58" s="16"/>
      <c r="M58" s="21"/>
      <c r="N58" s="54"/>
      <c r="O58" s="23"/>
      <c r="P58" s="23"/>
      <c r="Q58" s="23"/>
      <c r="R58" s="23"/>
      <c r="S58" s="37"/>
      <c r="T58" s="23"/>
      <c r="U58" s="16">
        <f t="shared" ref="U58:U68" si="39">IF(S58="R",O58*T58*$U$7,0)</f>
        <v>0</v>
      </c>
      <c r="V58" s="16">
        <f t="shared" ref="V58:V68" si="40">IF(S58="6mm",O58*T58*$V$7,0)</f>
        <v>0</v>
      </c>
      <c r="W58" s="16">
        <f t="shared" ref="W58:W68" si="41">IF(S58="8mm",O58*T58*$W$7,0)</f>
        <v>0</v>
      </c>
      <c r="X58" s="18">
        <f t="shared" ref="X58:X68" si="42">IF(S58="#1",O58*T58*$X$7,0)</f>
        <v>0</v>
      </c>
      <c r="Y58" s="16">
        <f t="shared" ref="Y58:Y68" si="43">IF(S58="#2",O58*T58*$Y$7,0)</f>
        <v>0</v>
      </c>
      <c r="Z58" s="16">
        <f t="shared" ref="Z58:Z68" si="44">IF(S58="#3",O58*T58*$Z$7,0)</f>
        <v>0</v>
      </c>
      <c r="AA58" s="16">
        <f t="shared" ref="AA58:AA68" si="45">IF(S58="#4",O58*T58*$AA$7,0)</f>
        <v>0</v>
      </c>
      <c r="AB58" s="16">
        <f t="shared" ref="AB58:AB68" si="46">IF(S58="#5",O58*T58*$AB$7,0)</f>
        <v>0</v>
      </c>
      <c r="AC58" s="16">
        <f t="shared" ref="AC58:AC68" si="47">IF(S58="#6",O58*T58*$AC$7,0)</f>
        <v>0</v>
      </c>
      <c r="AD58" s="16">
        <f t="shared" ref="AD58:AD68" si="48">IF(S58="#8",O58*T58*$AD$7,0)</f>
        <v>0</v>
      </c>
      <c r="AE58" s="16">
        <f t="shared" ref="AE58:AE68" si="49">IF(S58="#11",O58*T58*$AE$7,0)</f>
        <v>0</v>
      </c>
      <c r="AF58" s="16">
        <f t="shared" ref="AF58:AF68" si="50">IF(S58="#12",O58*T58*$AF$7,0)</f>
        <v>0</v>
      </c>
      <c r="AG58" s="21"/>
    </row>
    <row r="59" spans="2:35">
      <c r="B59" s="50"/>
      <c r="C59" s="23"/>
      <c r="D59" s="23"/>
      <c r="E59" s="23"/>
      <c r="F59" s="52"/>
      <c r="G59" s="52"/>
      <c r="H59" s="51">
        <f>F59*G59</f>
        <v>0</v>
      </c>
      <c r="I59" s="23"/>
      <c r="J59" s="23"/>
      <c r="K59" s="23"/>
      <c r="L59" s="18">
        <f>J59*K59</f>
        <v>0</v>
      </c>
      <c r="M59" s="23"/>
      <c r="N59" s="159"/>
      <c r="O59" s="23"/>
      <c r="P59" s="23"/>
      <c r="Q59" s="23"/>
      <c r="R59" s="23"/>
      <c r="S59" s="37"/>
      <c r="T59" s="23"/>
      <c r="U59" s="16">
        <f t="shared" si="39"/>
        <v>0</v>
      </c>
      <c r="V59" s="16">
        <f t="shared" si="40"/>
        <v>0</v>
      </c>
      <c r="W59" s="16">
        <f t="shared" si="41"/>
        <v>0</v>
      </c>
      <c r="X59" s="18">
        <f t="shared" si="42"/>
        <v>0</v>
      </c>
      <c r="Y59" s="16">
        <f t="shared" si="43"/>
        <v>0</v>
      </c>
      <c r="Z59" s="16">
        <f t="shared" si="44"/>
        <v>0</v>
      </c>
      <c r="AA59" s="16">
        <f t="shared" si="45"/>
        <v>0</v>
      </c>
      <c r="AB59" s="16">
        <f t="shared" si="46"/>
        <v>0</v>
      </c>
      <c r="AC59" s="16">
        <f t="shared" si="47"/>
        <v>0</v>
      </c>
      <c r="AD59" s="16">
        <f t="shared" si="48"/>
        <v>0</v>
      </c>
      <c r="AE59" s="16">
        <f t="shared" si="49"/>
        <v>0</v>
      </c>
      <c r="AF59" s="16">
        <f t="shared" si="50"/>
        <v>0</v>
      </c>
      <c r="AG59" s="21"/>
    </row>
    <row r="60" spans="2:35" ht="15.75">
      <c r="B60" s="183" t="s">
        <v>160</v>
      </c>
      <c r="C60" s="184"/>
      <c r="D60" s="184"/>
      <c r="E60" s="185"/>
      <c r="F60" s="52"/>
      <c r="G60" s="52"/>
      <c r="H60" s="51"/>
      <c r="I60" s="21"/>
      <c r="J60" s="21"/>
      <c r="K60" s="21"/>
      <c r="L60" s="16"/>
      <c r="M60" s="21"/>
      <c r="N60" s="54"/>
      <c r="O60" s="23"/>
      <c r="P60" s="23"/>
      <c r="Q60" s="23"/>
      <c r="R60" s="23"/>
      <c r="S60" s="37"/>
      <c r="T60" s="23"/>
      <c r="U60" s="16">
        <f t="shared" si="39"/>
        <v>0</v>
      </c>
      <c r="V60" s="16">
        <f t="shared" si="40"/>
        <v>0</v>
      </c>
      <c r="W60" s="16">
        <f t="shared" si="41"/>
        <v>0</v>
      </c>
      <c r="X60" s="18">
        <f t="shared" si="42"/>
        <v>0</v>
      </c>
      <c r="Y60" s="16">
        <f t="shared" si="43"/>
        <v>0</v>
      </c>
      <c r="Z60" s="16">
        <f t="shared" si="44"/>
        <v>0</v>
      </c>
      <c r="AA60" s="16">
        <f t="shared" si="45"/>
        <v>0</v>
      </c>
      <c r="AB60" s="16">
        <f t="shared" si="46"/>
        <v>0</v>
      </c>
      <c r="AC60" s="16">
        <f t="shared" si="47"/>
        <v>0</v>
      </c>
      <c r="AD60" s="16">
        <f t="shared" si="48"/>
        <v>0</v>
      </c>
      <c r="AE60" s="16">
        <f t="shared" si="49"/>
        <v>0</v>
      </c>
      <c r="AF60" s="16">
        <f t="shared" si="50"/>
        <v>0</v>
      </c>
      <c r="AG60" s="21"/>
    </row>
    <row r="61" spans="2:35">
      <c r="B61" s="50"/>
      <c r="C61" s="23"/>
      <c r="D61" s="23"/>
      <c r="E61" s="23"/>
      <c r="F61" s="52"/>
      <c r="G61" s="52"/>
      <c r="H61" s="51"/>
      <c r="I61" s="23"/>
      <c r="J61" s="23"/>
      <c r="K61" s="23"/>
      <c r="L61" s="18"/>
      <c r="M61" s="23"/>
      <c r="N61" s="159"/>
      <c r="O61" s="23"/>
      <c r="P61" s="23"/>
      <c r="Q61" s="23"/>
      <c r="R61" s="23"/>
      <c r="S61" s="37"/>
      <c r="T61" s="23"/>
      <c r="U61" s="16">
        <f t="shared" si="39"/>
        <v>0</v>
      </c>
      <c r="V61" s="16">
        <f t="shared" si="40"/>
        <v>0</v>
      </c>
      <c r="W61" s="16">
        <f t="shared" si="41"/>
        <v>0</v>
      </c>
      <c r="X61" s="18">
        <f t="shared" si="42"/>
        <v>0</v>
      </c>
      <c r="Y61" s="16">
        <f t="shared" si="43"/>
        <v>0</v>
      </c>
      <c r="Z61" s="16">
        <f t="shared" si="44"/>
        <v>0</v>
      </c>
      <c r="AA61" s="16">
        <f t="shared" si="45"/>
        <v>0</v>
      </c>
      <c r="AB61" s="16">
        <f t="shared" si="46"/>
        <v>0</v>
      </c>
      <c r="AC61" s="16">
        <f t="shared" si="47"/>
        <v>0</v>
      </c>
      <c r="AD61" s="16">
        <f t="shared" si="48"/>
        <v>0</v>
      </c>
      <c r="AE61" s="16">
        <f t="shared" si="49"/>
        <v>0</v>
      </c>
      <c r="AF61" s="16">
        <f t="shared" si="50"/>
        <v>0</v>
      </c>
      <c r="AG61" s="21"/>
    </row>
    <row r="62" spans="2:35">
      <c r="B62" s="50"/>
      <c r="C62" s="23">
        <v>1</v>
      </c>
      <c r="D62" s="23">
        <v>5.5</v>
      </c>
      <c r="E62" s="23">
        <v>5.85</v>
      </c>
      <c r="F62" s="52">
        <v>0.15</v>
      </c>
      <c r="G62" s="73">
        <f>C62*D62*E62</f>
        <v>32.174999999999997</v>
      </c>
      <c r="H62" s="74">
        <f>F62*G62</f>
        <v>4.826249999999999</v>
      </c>
      <c r="I62" s="23"/>
      <c r="J62" s="23">
        <v>5.5</v>
      </c>
      <c r="K62" s="23">
        <v>5.85</v>
      </c>
      <c r="L62" s="75">
        <f>J62*K62</f>
        <v>32.174999999999997</v>
      </c>
      <c r="M62" s="23"/>
      <c r="N62" s="159" t="s">
        <v>142</v>
      </c>
      <c r="O62" s="23">
        <f>ROUNDUP((5.85/0.25),0)*2</f>
        <v>48</v>
      </c>
      <c r="P62" s="23"/>
      <c r="Q62" s="23"/>
      <c r="R62" s="23"/>
      <c r="S62" s="37" t="s">
        <v>138</v>
      </c>
      <c r="T62" s="23">
        <v>5.5</v>
      </c>
      <c r="U62" s="16">
        <f t="shared" si="39"/>
        <v>0</v>
      </c>
      <c r="V62" s="16">
        <f t="shared" si="40"/>
        <v>0</v>
      </c>
      <c r="W62" s="16">
        <f t="shared" si="41"/>
        <v>0</v>
      </c>
      <c r="X62" s="18">
        <f t="shared" si="42"/>
        <v>0</v>
      </c>
      <c r="Y62" s="16">
        <f t="shared" si="43"/>
        <v>0</v>
      </c>
      <c r="Z62" s="16">
        <f t="shared" si="44"/>
        <v>147.84</v>
      </c>
      <c r="AA62" s="16">
        <f t="shared" si="45"/>
        <v>0</v>
      </c>
      <c r="AB62" s="16">
        <f t="shared" si="46"/>
        <v>0</v>
      </c>
      <c r="AC62" s="16">
        <f t="shared" si="47"/>
        <v>0</v>
      </c>
      <c r="AD62" s="16">
        <f t="shared" si="48"/>
        <v>0</v>
      </c>
      <c r="AE62" s="16">
        <f t="shared" si="49"/>
        <v>0</v>
      </c>
      <c r="AF62" s="16">
        <f t="shared" si="50"/>
        <v>0</v>
      </c>
      <c r="AG62" s="21"/>
    </row>
    <row r="63" spans="2:35">
      <c r="B63" s="50"/>
      <c r="C63" s="23"/>
      <c r="D63" s="23"/>
      <c r="E63" s="23"/>
      <c r="F63" s="52"/>
      <c r="G63" s="52"/>
      <c r="H63" s="51"/>
      <c r="I63" s="23"/>
      <c r="J63" s="23"/>
      <c r="K63" s="23"/>
      <c r="L63" s="18"/>
      <c r="M63" s="23"/>
      <c r="N63" s="159" t="s">
        <v>142</v>
      </c>
      <c r="O63" s="23">
        <f>ROUNDUP((5.5/0.25),0)*2</f>
        <v>44</v>
      </c>
      <c r="P63" s="23"/>
      <c r="Q63" s="23"/>
      <c r="R63" s="23"/>
      <c r="S63" s="37" t="s">
        <v>138</v>
      </c>
      <c r="T63" s="23">
        <v>5.85</v>
      </c>
      <c r="U63" s="16">
        <f t="shared" si="39"/>
        <v>0</v>
      </c>
      <c r="V63" s="16">
        <f t="shared" si="40"/>
        <v>0</v>
      </c>
      <c r="W63" s="16">
        <f t="shared" si="41"/>
        <v>0</v>
      </c>
      <c r="X63" s="18">
        <f t="shared" si="42"/>
        <v>0</v>
      </c>
      <c r="Y63" s="16">
        <f t="shared" si="43"/>
        <v>0</v>
      </c>
      <c r="Z63" s="16">
        <f t="shared" si="44"/>
        <v>144.14400000000001</v>
      </c>
      <c r="AA63" s="16">
        <f t="shared" si="45"/>
        <v>0</v>
      </c>
      <c r="AB63" s="16">
        <f t="shared" si="46"/>
        <v>0</v>
      </c>
      <c r="AC63" s="16">
        <f t="shared" si="47"/>
        <v>0</v>
      </c>
      <c r="AD63" s="16">
        <f t="shared" si="48"/>
        <v>0</v>
      </c>
      <c r="AE63" s="16">
        <f t="shared" si="49"/>
        <v>0</v>
      </c>
      <c r="AF63" s="16">
        <f t="shared" si="50"/>
        <v>0</v>
      </c>
      <c r="AG63" s="21"/>
    </row>
    <row r="64" spans="2:35">
      <c r="B64" s="50"/>
      <c r="C64" s="23"/>
      <c r="D64" s="23"/>
      <c r="E64" s="23"/>
      <c r="F64" s="52"/>
      <c r="G64" s="52"/>
      <c r="H64" s="51"/>
      <c r="I64" s="23"/>
      <c r="J64" s="23"/>
      <c r="K64" s="23"/>
      <c r="L64" s="18"/>
      <c r="M64" s="23"/>
      <c r="N64" s="159" t="s">
        <v>161</v>
      </c>
      <c r="O64" s="23">
        <f>ROUNDUP((5.85/0.25),0)*2</f>
        <v>48</v>
      </c>
      <c r="P64" s="23"/>
      <c r="Q64" s="23"/>
      <c r="R64" s="23"/>
      <c r="S64" s="37" t="s">
        <v>138</v>
      </c>
      <c r="T64" s="23">
        <v>3.3</v>
      </c>
      <c r="U64" s="16">
        <f t="shared" si="39"/>
        <v>0</v>
      </c>
      <c r="V64" s="16">
        <f t="shared" si="40"/>
        <v>0</v>
      </c>
      <c r="W64" s="16">
        <f t="shared" si="41"/>
        <v>0</v>
      </c>
      <c r="X64" s="18">
        <f t="shared" si="42"/>
        <v>0</v>
      </c>
      <c r="Y64" s="16">
        <f t="shared" si="43"/>
        <v>0</v>
      </c>
      <c r="Z64" s="16">
        <f t="shared" si="44"/>
        <v>88.703999999999994</v>
      </c>
      <c r="AA64" s="16">
        <f t="shared" si="45"/>
        <v>0</v>
      </c>
      <c r="AB64" s="16">
        <f t="shared" si="46"/>
        <v>0</v>
      </c>
      <c r="AC64" s="16">
        <f t="shared" si="47"/>
        <v>0</v>
      </c>
      <c r="AD64" s="16">
        <f t="shared" si="48"/>
        <v>0</v>
      </c>
      <c r="AE64" s="16">
        <f t="shared" si="49"/>
        <v>0</v>
      </c>
      <c r="AF64" s="16">
        <f t="shared" si="50"/>
        <v>0</v>
      </c>
      <c r="AG64" s="21"/>
    </row>
    <row r="65" spans="2:35">
      <c r="B65" s="50"/>
      <c r="C65" s="23"/>
      <c r="D65" s="23"/>
      <c r="E65" s="23"/>
      <c r="F65" s="52"/>
      <c r="G65" s="52"/>
      <c r="H65" s="51"/>
      <c r="I65" s="23"/>
      <c r="J65" s="23"/>
      <c r="K65" s="23"/>
      <c r="L65" s="18"/>
      <c r="M65" s="23"/>
      <c r="N65" s="159" t="s">
        <v>161</v>
      </c>
      <c r="O65" s="23">
        <f>ROUNDUP((5.5/0.25),0)*2</f>
        <v>44</v>
      </c>
      <c r="P65" s="23"/>
      <c r="Q65" s="23"/>
      <c r="R65" s="23"/>
      <c r="S65" s="37" t="s">
        <v>138</v>
      </c>
      <c r="T65" s="23">
        <v>3.3</v>
      </c>
      <c r="U65" s="16">
        <f t="shared" si="39"/>
        <v>0</v>
      </c>
      <c r="V65" s="16">
        <f t="shared" si="40"/>
        <v>0</v>
      </c>
      <c r="W65" s="16">
        <f t="shared" si="41"/>
        <v>0</v>
      </c>
      <c r="X65" s="18">
        <f t="shared" si="42"/>
        <v>0</v>
      </c>
      <c r="Y65" s="16">
        <f t="shared" si="43"/>
        <v>0</v>
      </c>
      <c r="Z65" s="16">
        <f t="shared" si="44"/>
        <v>81.311999999999998</v>
      </c>
      <c r="AA65" s="16">
        <f t="shared" si="45"/>
        <v>0</v>
      </c>
      <c r="AB65" s="16">
        <f t="shared" si="46"/>
        <v>0</v>
      </c>
      <c r="AC65" s="16">
        <f t="shared" si="47"/>
        <v>0</v>
      </c>
      <c r="AD65" s="16">
        <f t="shared" si="48"/>
        <v>0</v>
      </c>
      <c r="AE65" s="16">
        <f t="shared" si="49"/>
        <v>0</v>
      </c>
      <c r="AF65" s="16">
        <f t="shared" si="50"/>
        <v>0</v>
      </c>
      <c r="AG65" s="21"/>
    </row>
    <row r="66" spans="2:35">
      <c r="B66" s="50"/>
      <c r="C66" s="23"/>
      <c r="D66" s="23"/>
      <c r="E66" s="23"/>
      <c r="F66" s="52"/>
      <c r="G66" s="52"/>
      <c r="H66" s="51"/>
      <c r="I66" s="23"/>
      <c r="J66" s="23"/>
      <c r="K66" s="23"/>
      <c r="L66" s="18"/>
      <c r="M66" s="23"/>
      <c r="N66" s="159"/>
      <c r="O66" s="23"/>
      <c r="P66" s="23"/>
      <c r="Q66" s="23"/>
      <c r="R66" s="23"/>
      <c r="S66" s="37"/>
      <c r="T66" s="23"/>
      <c r="U66" s="16">
        <f t="shared" si="39"/>
        <v>0</v>
      </c>
      <c r="V66" s="16">
        <f t="shared" si="40"/>
        <v>0</v>
      </c>
      <c r="W66" s="16">
        <f t="shared" si="41"/>
        <v>0</v>
      </c>
      <c r="X66" s="18">
        <f t="shared" si="42"/>
        <v>0</v>
      </c>
      <c r="Y66" s="16">
        <f t="shared" si="43"/>
        <v>0</v>
      </c>
      <c r="Z66" s="16">
        <f t="shared" si="44"/>
        <v>0</v>
      </c>
      <c r="AA66" s="16">
        <f t="shared" si="45"/>
        <v>0</v>
      </c>
      <c r="AB66" s="16">
        <f t="shared" si="46"/>
        <v>0</v>
      </c>
      <c r="AC66" s="16">
        <f t="shared" si="47"/>
        <v>0</v>
      </c>
      <c r="AD66" s="16">
        <f t="shared" si="48"/>
        <v>0</v>
      </c>
      <c r="AE66" s="16">
        <f t="shared" si="49"/>
        <v>0</v>
      </c>
      <c r="AF66" s="16">
        <f t="shared" si="50"/>
        <v>0</v>
      </c>
      <c r="AG66" s="21"/>
    </row>
    <row r="67" spans="2:35">
      <c r="B67" s="50"/>
      <c r="C67" s="23"/>
      <c r="D67" s="23"/>
      <c r="E67" s="23"/>
      <c r="F67" s="52"/>
      <c r="G67" s="52"/>
      <c r="H67" s="51"/>
      <c r="I67" s="23"/>
      <c r="J67" s="23"/>
      <c r="K67" s="23"/>
      <c r="L67" s="18"/>
      <c r="M67" s="23"/>
      <c r="N67" s="159"/>
      <c r="O67" s="23"/>
      <c r="P67" s="23"/>
      <c r="Q67" s="23"/>
      <c r="R67" s="23"/>
      <c r="S67" s="37"/>
      <c r="T67" s="23"/>
      <c r="U67" s="16">
        <f t="shared" si="39"/>
        <v>0</v>
      </c>
      <c r="V67" s="16">
        <f t="shared" si="40"/>
        <v>0</v>
      </c>
      <c r="W67" s="16">
        <f t="shared" si="41"/>
        <v>0</v>
      </c>
      <c r="X67" s="18">
        <f t="shared" si="42"/>
        <v>0</v>
      </c>
      <c r="Y67" s="16">
        <f t="shared" si="43"/>
        <v>0</v>
      </c>
      <c r="Z67" s="16">
        <f t="shared" si="44"/>
        <v>0</v>
      </c>
      <c r="AA67" s="16">
        <f t="shared" si="45"/>
        <v>0</v>
      </c>
      <c r="AB67" s="16">
        <f t="shared" si="46"/>
        <v>0</v>
      </c>
      <c r="AC67" s="16">
        <f t="shared" si="47"/>
        <v>0</v>
      </c>
      <c r="AD67" s="16">
        <f t="shared" si="48"/>
        <v>0</v>
      </c>
      <c r="AE67" s="16">
        <f t="shared" si="49"/>
        <v>0</v>
      </c>
      <c r="AF67" s="16">
        <f t="shared" si="50"/>
        <v>0</v>
      </c>
      <c r="AG67" s="21"/>
    </row>
    <row r="68" spans="2:35">
      <c r="B68" s="50"/>
      <c r="C68" s="23"/>
      <c r="D68" s="23"/>
      <c r="E68" s="23"/>
      <c r="F68" s="52"/>
      <c r="G68" s="52"/>
      <c r="H68" s="51"/>
      <c r="I68" s="23"/>
      <c r="J68" s="23"/>
      <c r="K68" s="23"/>
      <c r="L68" s="18"/>
      <c r="M68" s="23"/>
      <c r="N68" s="159"/>
      <c r="O68" s="23"/>
      <c r="P68" s="23"/>
      <c r="Q68" s="23"/>
      <c r="R68" s="23"/>
      <c r="S68" s="37"/>
      <c r="T68" s="23"/>
      <c r="U68" s="16">
        <f t="shared" si="39"/>
        <v>0</v>
      </c>
      <c r="V68" s="16">
        <f t="shared" si="40"/>
        <v>0</v>
      </c>
      <c r="W68" s="16">
        <f t="shared" si="41"/>
        <v>0</v>
      </c>
      <c r="X68" s="18">
        <f t="shared" si="42"/>
        <v>0</v>
      </c>
      <c r="Y68" s="16">
        <f t="shared" si="43"/>
        <v>0</v>
      </c>
      <c r="Z68" s="16">
        <f t="shared" si="44"/>
        <v>0</v>
      </c>
      <c r="AA68" s="16">
        <f t="shared" si="45"/>
        <v>0</v>
      </c>
      <c r="AB68" s="16">
        <f t="shared" si="46"/>
        <v>0</v>
      </c>
      <c r="AC68" s="16">
        <f t="shared" si="47"/>
        <v>0</v>
      </c>
      <c r="AD68" s="16">
        <f t="shared" si="48"/>
        <v>0</v>
      </c>
      <c r="AE68" s="16">
        <f t="shared" si="49"/>
        <v>0</v>
      </c>
      <c r="AF68" s="16">
        <f t="shared" si="50"/>
        <v>0</v>
      </c>
      <c r="AG68" s="21"/>
    </row>
    <row r="69" spans="2:35">
      <c r="B69" s="46" t="s">
        <v>164</v>
      </c>
      <c r="C69" s="55"/>
      <c r="D69" s="55"/>
      <c r="E69" s="65"/>
      <c r="F69" s="66"/>
      <c r="G69" s="66"/>
      <c r="H69" s="66"/>
      <c r="I69" s="56">
        <f>SUM(H60:H69)</f>
        <v>4.826249999999999</v>
      </c>
      <c r="J69" s="65"/>
      <c r="K69" s="65"/>
      <c r="L69" s="69"/>
      <c r="M69" s="56">
        <f>SUM(L60:L69)</f>
        <v>32.174999999999997</v>
      </c>
      <c r="N69" s="67"/>
      <c r="O69" s="65"/>
      <c r="P69" s="65"/>
      <c r="Q69" s="65"/>
      <c r="R69" s="65"/>
      <c r="S69" s="68"/>
      <c r="T69" s="65"/>
      <c r="U69" s="69">
        <f t="shared" ref="U69:AF69" si="51">SUM(U61:U68)</f>
        <v>0</v>
      </c>
      <c r="V69" s="69">
        <f t="shared" si="51"/>
        <v>0</v>
      </c>
      <c r="W69" s="69">
        <f t="shared" si="51"/>
        <v>0</v>
      </c>
      <c r="X69" s="69">
        <f t="shared" si="51"/>
        <v>0</v>
      </c>
      <c r="Y69" s="69">
        <f t="shared" si="51"/>
        <v>0</v>
      </c>
      <c r="Z69" s="69">
        <f t="shared" si="51"/>
        <v>462.00000000000006</v>
      </c>
      <c r="AA69" s="69">
        <f t="shared" si="51"/>
        <v>0</v>
      </c>
      <c r="AB69" s="69">
        <f t="shared" si="51"/>
        <v>0</v>
      </c>
      <c r="AC69" s="69">
        <f t="shared" si="51"/>
        <v>0</v>
      </c>
      <c r="AD69" s="69">
        <f t="shared" si="51"/>
        <v>0</v>
      </c>
      <c r="AE69" s="69">
        <f t="shared" si="51"/>
        <v>0</v>
      </c>
      <c r="AF69" s="69">
        <f t="shared" si="51"/>
        <v>0</v>
      </c>
      <c r="AG69" s="56">
        <f>SUM(U69:AF69)</f>
        <v>462.00000000000006</v>
      </c>
      <c r="AI69" s="57">
        <f>AG69/I69</f>
        <v>95.726495726495756</v>
      </c>
    </row>
    <row r="70" spans="2:35">
      <c r="B70" s="50"/>
      <c r="C70" s="23"/>
      <c r="D70" s="23"/>
      <c r="E70" s="23"/>
      <c r="F70" s="52"/>
      <c r="G70" s="52"/>
      <c r="H70" s="51"/>
      <c r="I70" s="21"/>
      <c r="J70" s="21"/>
      <c r="K70" s="21"/>
      <c r="L70" s="16"/>
      <c r="M70" s="21"/>
      <c r="N70" s="54"/>
      <c r="O70" s="23"/>
      <c r="P70" s="23"/>
      <c r="Q70" s="23"/>
      <c r="R70" s="23"/>
      <c r="S70" s="37"/>
      <c r="T70" s="23"/>
      <c r="U70" s="16">
        <f>IF(S70="R",O70*T70*$U$7,0)</f>
        <v>0</v>
      </c>
      <c r="V70" s="16">
        <f>IF(S70="6mm",O70*T70*$V$7,0)</f>
        <v>0</v>
      </c>
      <c r="W70" s="16">
        <f>IF(S70="8mm",O70*T70*$W$7,0)</f>
        <v>0</v>
      </c>
      <c r="X70" s="18">
        <f>IF(S70="#1",O70*T70*$X$7,0)</f>
        <v>0</v>
      </c>
      <c r="Y70" s="16">
        <f>IF(S70="#2",O70*T70*$Y$7,0)</f>
        <v>0</v>
      </c>
      <c r="Z70" s="16">
        <f>IF(S70="#3",O70*T70*$Z$7,0)</f>
        <v>0</v>
      </c>
      <c r="AA70" s="16">
        <f>IF(S70="#4",O70*T70*$AA$7,0)</f>
        <v>0</v>
      </c>
      <c r="AB70" s="16">
        <f>IF(S70="#5",O70*T70*$AB$7,0)</f>
        <v>0</v>
      </c>
      <c r="AC70" s="16">
        <f>IF(S70="#6",O70*T70*$AC$7,0)</f>
        <v>0</v>
      </c>
      <c r="AD70" s="16">
        <f>IF(S70="#8",O70*T70*$AD$7,0)</f>
        <v>0</v>
      </c>
      <c r="AE70" s="16">
        <f>IF(S70="#11",O70*T70*$AE$7,0)</f>
        <v>0</v>
      </c>
      <c r="AF70" s="16">
        <f>IF(S70="#12",O70*T70*$AF$7,0)</f>
        <v>0</v>
      </c>
      <c r="AG70" s="21"/>
    </row>
  </sheetData>
  <autoFilter ref="A1:AG7" xr:uid="{00000000-0009-0000-0000-000003000000}"/>
  <mergeCells count="19">
    <mergeCell ref="A4:C4"/>
    <mergeCell ref="A5:A6"/>
    <mergeCell ref="B10:E10"/>
    <mergeCell ref="B20:E20"/>
    <mergeCell ref="J4:M4"/>
    <mergeCell ref="J5:K5"/>
    <mergeCell ref="L5:L6"/>
    <mergeCell ref="C5:C6"/>
    <mergeCell ref="D5:F5"/>
    <mergeCell ref="B60:E60"/>
    <mergeCell ref="Q5:Q6"/>
    <mergeCell ref="R5:R6"/>
    <mergeCell ref="M5:M6"/>
    <mergeCell ref="O5:O6"/>
    <mergeCell ref="P5:P6"/>
    <mergeCell ref="G5:G6"/>
    <mergeCell ref="I5:I6"/>
    <mergeCell ref="B40:E40"/>
    <mergeCell ref="B5:B6"/>
  </mergeCells>
  <phoneticPr fontId="6" type="noConversion"/>
  <pageMargins left="0.23622047244094491" right="0.23622047244094491" top="0.55118110236220474" bottom="0.27559055118110237" header="0.39370078740157483" footer="0"/>
  <pageSetup paperSize="9" scale="51" fitToHeight="21" orientation="portrait" r:id="rId1"/>
  <headerFooter alignWithMargins="0">
    <oddHeader>&amp;LPág. &amp;P de &amp;N&amp;C&amp;F: &amp;A&amp;R&amp;D &amp;T</oddHeader>
    <oddFooter>&amp;L&amp;Z&amp;F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U308"/>
  <sheetViews>
    <sheetView zoomScale="85" zoomScaleNormal="85" workbookViewId="0">
      <pane ySplit="5" topLeftCell="A6" activePane="bottomLeft" state="frozen"/>
      <selection activeCell="B27" sqref="B27"/>
      <selection pane="bottomLeft" activeCell="B27" sqref="B27"/>
    </sheetView>
  </sheetViews>
  <sheetFormatPr baseColWidth="10" defaultRowHeight="12.75" outlineLevelRow="1"/>
  <cols>
    <col min="1" max="1" width="12" customWidth="1"/>
    <col min="2" max="2" width="24" customWidth="1"/>
    <col min="3" max="3" width="8.85546875" bestFit="1" customWidth="1"/>
    <col min="4" max="5" width="9.7109375" customWidth="1"/>
    <col min="7" max="7" width="8.5703125" customWidth="1"/>
    <col min="8" max="8" width="8.28515625" customWidth="1"/>
    <col min="9" max="9" width="8.140625" style="1" customWidth="1"/>
    <col min="10" max="10" width="9" customWidth="1"/>
    <col min="11" max="11" width="9.7109375" customWidth="1"/>
    <col min="12" max="12" width="12.140625" customWidth="1"/>
    <col min="13" max="14" width="9.85546875" customWidth="1"/>
    <col min="15" max="15" width="10.5703125" style="35" customWidth="1"/>
    <col min="16" max="16" width="12.28515625" bestFit="1" customWidth="1"/>
    <col min="17" max="18" width="8.5703125" customWidth="1"/>
    <col min="19" max="19" width="9.7109375" style="24" customWidth="1"/>
    <col min="20" max="20" width="9.7109375" customWidth="1"/>
    <col min="21" max="21" width="9.5703125" bestFit="1" customWidth="1"/>
    <col min="22" max="25" width="8.7109375" customWidth="1"/>
    <col min="26" max="26" width="12.5703125" customWidth="1"/>
    <col min="27" max="27" width="9.5703125" bestFit="1" customWidth="1"/>
    <col min="28" max="28" width="13.28515625" customWidth="1"/>
    <col min="29" max="29" width="10.28515625" customWidth="1"/>
    <col min="30" max="30" width="10.7109375" customWidth="1"/>
    <col min="31" max="31" width="8.7109375" customWidth="1"/>
    <col min="32" max="32" width="7" customWidth="1"/>
    <col min="33" max="33" width="15.140625" customWidth="1"/>
    <col min="38" max="38" width="11.7109375" bestFit="1" customWidth="1"/>
  </cols>
  <sheetData>
    <row r="1" spans="1:19">
      <c r="A1" s="76" t="s">
        <v>52</v>
      </c>
      <c r="B1" s="77"/>
      <c r="C1" s="78"/>
      <c r="D1" s="79"/>
      <c r="E1" s="79"/>
      <c r="F1" s="79"/>
      <c r="G1" s="77"/>
      <c r="H1" s="77"/>
      <c r="I1" s="77"/>
      <c r="J1" s="77"/>
      <c r="K1" s="80"/>
      <c r="L1" s="77"/>
      <c r="M1" s="77"/>
      <c r="N1" s="77"/>
      <c r="O1" s="77"/>
      <c r="P1" s="81"/>
    </row>
    <row r="2" spans="1:19">
      <c r="A2" s="146"/>
      <c r="C2" s="12"/>
      <c r="D2" s="82"/>
      <c r="E2" s="82"/>
      <c r="F2" s="82"/>
      <c r="G2" s="4"/>
      <c r="H2" s="4"/>
      <c r="I2" s="4"/>
      <c r="J2" s="4"/>
      <c r="M2" s="4"/>
      <c r="N2" s="4"/>
      <c r="O2" s="83" t="s">
        <v>37</v>
      </c>
      <c r="P2" s="84">
        <v>40449</v>
      </c>
      <c r="S2"/>
    </row>
    <row r="3" spans="1:19" ht="13.5" thickBot="1">
      <c r="A3" s="196"/>
      <c r="B3" s="197"/>
      <c r="C3" s="197"/>
      <c r="D3" s="197"/>
      <c r="E3" s="197"/>
      <c r="F3" s="197"/>
      <c r="G3" s="198"/>
      <c r="H3" s="85" t="s">
        <v>53</v>
      </c>
      <c r="I3" s="86"/>
      <c r="J3" s="86"/>
      <c r="K3" s="86"/>
      <c r="L3" s="86"/>
      <c r="M3" s="86"/>
      <c r="N3" s="87"/>
      <c r="O3" s="87"/>
      <c r="P3" s="88"/>
      <c r="S3"/>
    </row>
    <row r="4" spans="1:19">
      <c r="A4" s="199" t="s">
        <v>2</v>
      </c>
      <c r="B4" s="199" t="s">
        <v>54</v>
      </c>
      <c r="C4" s="199" t="s">
        <v>55</v>
      </c>
      <c r="D4" s="89" t="s">
        <v>3</v>
      </c>
      <c r="E4" s="90"/>
      <c r="F4" s="91"/>
      <c r="G4" s="201" t="s">
        <v>4</v>
      </c>
      <c r="H4" s="208" t="s">
        <v>5</v>
      </c>
      <c r="I4" s="209"/>
      <c r="J4" s="209"/>
      <c r="K4" s="210"/>
      <c r="L4" s="201" t="s">
        <v>56</v>
      </c>
      <c r="M4" s="92" t="s">
        <v>7</v>
      </c>
      <c r="N4" s="92" t="s">
        <v>7</v>
      </c>
      <c r="O4" s="92" t="s">
        <v>25</v>
      </c>
      <c r="P4" s="92" t="s">
        <v>25</v>
      </c>
      <c r="S4"/>
    </row>
    <row r="5" spans="1:19" ht="12.75" customHeight="1">
      <c r="A5" s="200"/>
      <c r="B5" s="200"/>
      <c r="C5" s="200"/>
      <c r="D5" s="202"/>
      <c r="E5" s="203"/>
      <c r="F5" s="204"/>
      <c r="G5" s="179"/>
      <c r="H5" s="15" t="s">
        <v>13</v>
      </c>
      <c r="I5" s="15" t="s">
        <v>14</v>
      </c>
      <c r="J5" s="15" t="s">
        <v>15</v>
      </c>
      <c r="K5" s="15" t="s">
        <v>57</v>
      </c>
      <c r="L5" s="179"/>
      <c r="M5" s="41" t="s">
        <v>36</v>
      </c>
      <c r="N5" s="41" t="s">
        <v>58</v>
      </c>
      <c r="O5" s="41" t="s">
        <v>58</v>
      </c>
      <c r="P5" s="41" t="s">
        <v>36</v>
      </c>
      <c r="S5"/>
    </row>
    <row r="6" spans="1:19">
      <c r="A6" s="93"/>
      <c r="B6" s="93"/>
      <c r="C6" s="93"/>
      <c r="D6" s="94" t="s">
        <v>59</v>
      </c>
      <c r="E6" s="94"/>
      <c r="F6" s="94"/>
      <c r="G6" s="95"/>
      <c r="H6" s="95"/>
      <c r="I6" s="95"/>
      <c r="J6" s="95"/>
      <c r="K6" s="96"/>
      <c r="L6" s="95"/>
      <c r="M6" s="95"/>
      <c r="N6" s="95"/>
      <c r="O6" s="95"/>
      <c r="P6" s="97">
        <f>SUM(M5:M9)</f>
        <v>197.40600000000001</v>
      </c>
      <c r="S6"/>
    </row>
    <row r="7" spans="1:19" s="33" customFormat="1" ht="11.45" customHeight="1">
      <c r="A7" s="98"/>
      <c r="B7" s="99" t="s">
        <v>82</v>
      </c>
      <c r="C7" s="99" t="str">
        <f>+IF(K7&lt;=30,"A",+IF(K7&gt;30,+IF(K7&lt;60,"B",+IF(K7&gt;60,"C"))))</f>
        <v>C</v>
      </c>
      <c r="D7" s="205" t="s">
        <v>90</v>
      </c>
      <c r="E7" s="206"/>
      <c r="F7" s="207"/>
      <c r="G7" s="111">
        <v>17</v>
      </c>
      <c r="H7" s="142">
        <v>0.3</v>
      </c>
      <c r="I7" s="102">
        <v>0.2</v>
      </c>
      <c r="J7" s="102"/>
      <c r="K7" s="150">
        <v>99.7</v>
      </c>
      <c r="L7" s="100" t="s">
        <v>61</v>
      </c>
      <c r="M7" s="141">
        <f>+G7*H7*K7*I7</f>
        <v>101.694</v>
      </c>
      <c r="N7" s="103"/>
      <c r="O7" s="103"/>
      <c r="P7" s="104"/>
    </row>
    <row r="8" spans="1:19" s="33" customFormat="1" ht="11.45" customHeight="1">
      <c r="A8" s="98"/>
      <c r="B8" s="99" t="s">
        <v>82</v>
      </c>
      <c r="C8" s="99" t="str">
        <f>+IF(K8&lt;=30,"A",+IF(K8&gt;30,+IF(K8&lt;60,"B",+IF(K8&gt;60,"C"))))</f>
        <v>C</v>
      </c>
      <c r="D8" s="205" t="s">
        <v>91</v>
      </c>
      <c r="E8" s="206"/>
      <c r="F8" s="207"/>
      <c r="G8" s="111">
        <v>11</v>
      </c>
      <c r="H8" s="142">
        <v>0.3</v>
      </c>
      <c r="I8" s="102">
        <v>0.2</v>
      </c>
      <c r="J8" s="102"/>
      <c r="K8" s="150">
        <v>99.7</v>
      </c>
      <c r="L8" s="100" t="s">
        <v>61</v>
      </c>
      <c r="M8" s="141">
        <f>+G8*H8*K8*I8</f>
        <v>65.802000000000007</v>
      </c>
      <c r="N8" s="103"/>
      <c r="O8" s="103"/>
      <c r="P8" s="104"/>
    </row>
    <row r="9" spans="1:19" s="33" customFormat="1" ht="11.45" customHeight="1">
      <c r="A9" s="98"/>
      <c r="B9" s="99" t="s">
        <v>82</v>
      </c>
      <c r="C9" s="99" t="str">
        <f>+IF(K9&lt;=30,"A",+IF(K9&gt;30,+IF(K9&lt;60,"B",+IF(K9&gt;60,"C"))))</f>
        <v>C</v>
      </c>
      <c r="D9" s="205" t="s">
        <v>94</v>
      </c>
      <c r="E9" s="206"/>
      <c r="F9" s="207"/>
      <c r="G9" s="111">
        <v>5</v>
      </c>
      <c r="H9" s="142">
        <v>0.3</v>
      </c>
      <c r="I9" s="102">
        <v>0.2</v>
      </c>
      <c r="J9" s="102"/>
      <c r="K9" s="150">
        <v>99.7</v>
      </c>
      <c r="L9" s="100" t="s">
        <v>61</v>
      </c>
      <c r="M9" s="141">
        <f>+G9*H9*K9*I9</f>
        <v>29.910000000000004</v>
      </c>
      <c r="N9" s="103"/>
      <c r="O9" s="103"/>
      <c r="P9" s="104"/>
    </row>
    <row r="10" spans="1:19" ht="11.45" customHeight="1">
      <c r="A10" s="98"/>
      <c r="B10" s="99"/>
      <c r="C10" s="99"/>
      <c r="D10" s="193"/>
      <c r="E10" s="194"/>
      <c r="F10" s="195"/>
      <c r="G10" s="100"/>
      <c r="H10" s="101"/>
      <c r="I10" s="102"/>
      <c r="J10" s="102"/>
      <c r="K10" s="103"/>
      <c r="L10" s="100"/>
      <c r="M10" s="103">
        <f>+G10*H10*K10*I10</f>
        <v>0</v>
      </c>
      <c r="N10" s="103"/>
      <c r="O10" s="103"/>
      <c r="P10" s="104">
        <f>SUM(M7:M9)</f>
        <v>197.40600000000001</v>
      </c>
      <c r="S10"/>
    </row>
    <row r="11" spans="1:19" ht="11.45" customHeight="1">
      <c r="A11" s="95"/>
      <c r="B11" s="93"/>
      <c r="C11" s="93"/>
      <c r="D11" s="108" t="s">
        <v>99</v>
      </c>
      <c r="E11" s="109"/>
      <c r="F11" s="110"/>
      <c r="G11" s="95"/>
      <c r="H11" s="95"/>
      <c r="I11" s="95"/>
      <c r="J11" s="95"/>
      <c r="K11" s="96"/>
      <c r="L11" s="95"/>
      <c r="M11" s="95"/>
      <c r="N11" s="95"/>
      <c r="O11" s="95"/>
      <c r="P11" s="97">
        <f>SUM(M12:M29)</f>
        <v>620.28899999999999</v>
      </c>
      <c r="Q11" s="45"/>
      <c r="S11"/>
    </row>
    <row r="12" spans="1:19" ht="11.45" customHeight="1">
      <c r="A12" s="98"/>
      <c r="B12" s="99" t="s">
        <v>82</v>
      </c>
      <c r="C12" s="99" t="str">
        <f t="shared" ref="C12:C27" si="0">+IF(K12&lt;=30,"A",+IF(K12&gt;30,+IF(K12&lt;60,"B",+IF(K12&gt;60,"C"))))</f>
        <v>A</v>
      </c>
      <c r="D12" s="193" t="s">
        <v>83</v>
      </c>
      <c r="E12" s="194"/>
      <c r="F12" s="195"/>
      <c r="G12" s="111">
        <v>5</v>
      </c>
      <c r="H12" s="142">
        <v>5.05</v>
      </c>
      <c r="I12" s="103"/>
      <c r="J12" s="103"/>
      <c r="K12" s="141">
        <v>4.38</v>
      </c>
      <c r="L12" s="100"/>
      <c r="M12" s="141">
        <f t="shared" ref="M12:M25" si="1">+G12*H12*K12</f>
        <v>110.595</v>
      </c>
      <c r="N12" s="103"/>
      <c r="O12" s="103"/>
      <c r="P12" s="104"/>
      <c r="Q12" s="45"/>
      <c r="S12"/>
    </row>
    <row r="13" spans="1:19" ht="11.45" customHeight="1">
      <c r="A13" s="98"/>
      <c r="B13" s="99" t="s">
        <v>82</v>
      </c>
      <c r="C13" s="99" t="str">
        <f t="shared" si="0"/>
        <v>A</v>
      </c>
      <c r="D13" s="193" t="s">
        <v>83</v>
      </c>
      <c r="E13" s="194"/>
      <c r="F13" s="195"/>
      <c r="G13" s="111">
        <v>1</v>
      </c>
      <c r="H13" s="142">
        <v>3.4</v>
      </c>
      <c r="I13" s="103"/>
      <c r="J13" s="103"/>
      <c r="K13" s="141">
        <v>4.38</v>
      </c>
      <c r="L13" s="100"/>
      <c r="M13" s="141">
        <f t="shared" si="1"/>
        <v>14.891999999999999</v>
      </c>
      <c r="N13" s="103"/>
      <c r="O13" s="103"/>
      <c r="P13" s="104"/>
      <c r="Q13" s="45"/>
      <c r="S13"/>
    </row>
    <row r="14" spans="1:19" ht="11.45" customHeight="1">
      <c r="A14" s="98"/>
      <c r="B14" s="99" t="s">
        <v>82</v>
      </c>
      <c r="C14" s="99" t="str">
        <f t="shared" si="0"/>
        <v>A</v>
      </c>
      <c r="D14" s="193" t="s">
        <v>83</v>
      </c>
      <c r="E14" s="194"/>
      <c r="F14" s="195"/>
      <c r="G14" s="111">
        <v>4</v>
      </c>
      <c r="H14" s="142">
        <v>8.15</v>
      </c>
      <c r="I14" s="103"/>
      <c r="J14" s="103"/>
      <c r="K14" s="141">
        <v>4.38</v>
      </c>
      <c r="L14" s="100"/>
      <c r="M14" s="141">
        <f>+G14*H14*K14</f>
        <v>142.78800000000001</v>
      </c>
      <c r="N14" s="103"/>
      <c r="O14" s="103"/>
      <c r="P14" s="104"/>
      <c r="Q14" s="45"/>
      <c r="S14"/>
    </row>
    <row r="15" spans="1:19" ht="11.45" customHeight="1">
      <c r="A15" s="98"/>
      <c r="B15" s="99" t="s">
        <v>82</v>
      </c>
      <c r="C15" s="99" t="str">
        <f t="shared" si="0"/>
        <v>A</v>
      </c>
      <c r="D15" s="193" t="s">
        <v>84</v>
      </c>
      <c r="E15" s="194"/>
      <c r="F15" s="195"/>
      <c r="G15" s="111">
        <v>1</v>
      </c>
      <c r="H15" s="142">
        <v>4.3</v>
      </c>
      <c r="I15" s="103"/>
      <c r="J15" s="103"/>
      <c r="K15" s="141">
        <v>4.38</v>
      </c>
      <c r="L15" s="111"/>
      <c r="M15" s="141">
        <f t="shared" si="1"/>
        <v>18.834</v>
      </c>
      <c r="N15" s="103"/>
      <c r="O15" s="103"/>
      <c r="P15" s="104"/>
      <c r="Q15" s="45"/>
      <c r="S15"/>
    </row>
    <row r="16" spans="1:19" ht="11.45" customHeight="1">
      <c r="A16" s="98"/>
      <c r="B16" s="99" t="s">
        <v>82</v>
      </c>
      <c r="C16" s="99" t="str">
        <f t="shared" si="0"/>
        <v>A</v>
      </c>
      <c r="D16" s="193" t="s">
        <v>84</v>
      </c>
      <c r="E16" s="194"/>
      <c r="F16" s="195"/>
      <c r="G16" s="111">
        <v>1</v>
      </c>
      <c r="H16" s="142">
        <v>7.45</v>
      </c>
      <c r="I16" s="103"/>
      <c r="J16" s="103"/>
      <c r="K16" s="141">
        <v>4.38</v>
      </c>
      <c r="L16" s="111"/>
      <c r="M16" s="141">
        <f t="shared" si="1"/>
        <v>32.631</v>
      </c>
      <c r="N16" s="103"/>
      <c r="O16" s="103"/>
      <c r="P16" s="104"/>
      <c r="Q16" s="45"/>
      <c r="S16"/>
    </row>
    <row r="17" spans="1:19" ht="11.45" customHeight="1">
      <c r="A17" s="98"/>
      <c r="B17" s="99" t="s">
        <v>82</v>
      </c>
      <c r="C17" s="99" t="str">
        <f t="shared" si="0"/>
        <v>A</v>
      </c>
      <c r="D17" s="193" t="s">
        <v>84</v>
      </c>
      <c r="E17" s="194"/>
      <c r="F17" s="195"/>
      <c r="G17" s="111">
        <v>1</v>
      </c>
      <c r="H17" s="142">
        <v>6.45</v>
      </c>
      <c r="I17" s="103"/>
      <c r="J17" s="103"/>
      <c r="K17" s="141">
        <v>4.38</v>
      </c>
      <c r="L17" s="111"/>
      <c r="M17" s="141">
        <f t="shared" si="1"/>
        <v>28.251000000000001</v>
      </c>
      <c r="N17" s="103"/>
      <c r="O17" s="103"/>
      <c r="P17" s="104"/>
      <c r="Q17" s="45"/>
      <c r="S17"/>
    </row>
    <row r="18" spans="1:19" ht="11.45" customHeight="1">
      <c r="A18" s="98"/>
      <c r="B18" s="99" t="s">
        <v>82</v>
      </c>
      <c r="C18" s="99" t="str">
        <f t="shared" si="0"/>
        <v>A</v>
      </c>
      <c r="D18" s="193" t="s">
        <v>84</v>
      </c>
      <c r="E18" s="194"/>
      <c r="F18" s="195"/>
      <c r="G18" s="111">
        <v>1</v>
      </c>
      <c r="H18" s="142">
        <v>6.35</v>
      </c>
      <c r="I18" s="103"/>
      <c r="J18" s="103"/>
      <c r="K18" s="141">
        <v>4.38</v>
      </c>
      <c r="L18" s="111"/>
      <c r="M18" s="141">
        <f>+G18*H18*K18</f>
        <v>27.812999999999999</v>
      </c>
      <c r="N18" s="103"/>
      <c r="O18" s="103"/>
      <c r="P18" s="104"/>
      <c r="Q18" s="45"/>
      <c r="S18"/>
    </row>
    <row r="19" spans="1:19" ht="11.45" customHeight="1">
      <c r="A19" s="98"/>
      <c r="B19" s="99" t="s">
        <v>82</v>
      </c>
      <c r="C19" s="99" t="str">
        <f t="shared" si="0"/>
        <v>A</v>
      </c>
      <c r="D19" s="193" t="s">
        <v>84</v>
      </c>
      <c r="E19" s="194"/>
      <c r="F19" s="195"/>
      <c r="G19" s="111">
        <v>1</v>
      </c>
      <c r="H19" s="142">
        <v>1.1000000000000001</v>
      </c>
      <c r="I19" s="103"/>
      <c r="J19" s="103"/>
      <c r="K19" s="141">
        <v>4.38</v>
      </c>
      <c r="L19" s="111"/>
      <c r="M19" s="141">
        <f>+G19*H19*K19</f>
        <v>4.8180000000000005</v>
      </c>
      <c r="N19" s="103"/>
      <c r="O19" s="103"/>
      <c r="P19" s="104"/>
      <c r="Q19" s="45"/>
      <c r="S19"/>
    </row>
    <row r="20" spans="1:19" ht="11.45" customHeight="1">
      <c r="A20" s="98"/>
      <c r="B20" s="99" t="s">
        <v>82</v>
      </c>
      <c r="C20" s="99" t="str">
        <f t="shared" si="0"/>
        <v>A</v>
      </c>
      <c r="D20" s="193" t="s">
        <v>85</v>
      </c>
      <c r="E20" s="194"/>
      <c r="F20" s="195"/>
      <c r="G20" s="111">
        <v>1</v>
      </c>
      <c r="H20" s="142">
        <v>5.05</v>
      </c>
      <c r="I20" s="103"/>
      <c r="J20" s="103"/>
      <c r="K20" s="141">
        <v>4.38</v>
      </c>
      <c r="L20" s="111"/>
      <c r="M20" s="141">
        <f t="shared" si="1"/>
        <v>22.119</v>
      </c>
      <c r="N20" s="103"/>
      <c r="O20" s="103"/>
      <c r="P20" s="104"/>
      <c r="Q20" s="45"/>
      <c r="S20"/>
    </row>
    <row r="21" spans="1:19" ht="11.45" customHeight="1">
      <c r="A21" s="98"/>
      <c r="B21" s="99" t="s">
        <v>82</v>
      </c>
      <c r="C21" s="99" t="str">
        <f t="shared" si="0"/>
        <v>A</v>
      </c>
      <c r="D21" s="193" t="s">
        <v>85</v>
      </c>
      <c r="E21" s="194"/>
      <c r="F21" s="195"/>
      <c r="G21" s="111">
        <v>2</v>
      </c>
      <c r="H21" s="142">
        <v>1.65</v>
      </c>
      <c r="I21" s="103"/>
      <c r="J21" s="103"/>
      <c r="K21" s="141">
        <v>4.38</v>
      </c>
      <c r="L21" s="111"/>
      <c r="M21" s="141">
        <f>+G21*H21*K21</f>
        <v>14.453999999999999</v>
      </c>
      <c r="N21" s="103"/>
      <c r="O21" s="103"/>
      <c r="P21" s="104"/>
      <c r="Q21" s="45"/>
      <c r="S21"/>
    </row>
    <row r="22" spans="1:19" ht="11.45" customHeight="1">
      <c r="A22" s="98"/>
      <c r="B22" s="99" t="s">
        <v>82</v>
      </c>
      <c r="C22" s="99" t="str">
        <f t="shared" si="0"/>
        <v>A</v>
      </c>
      <c r="D22" s="193" t="s">
        <v>85</v>
      </c>
      <c r="E22" s="194"/>
      <c r="F22" s="195"/>
      <c r="G22" s="111">
        <v>1</v>
      </c>
      <c r="H22" s="142">
        <v>3.1</v>
      </c>
      <c r="I22" s="103"/>
      <c r="J22" s="103"/>
      <c r="K22" s="141">
        <v>4.38</v>
      </c>
      <c r="L22" s="111"/>
      <c r="M22" s="141">
        <f>+G22*H22*K22</f>
        <v>13.577999999999999</v>
      </c>
      <c r="N22" s="103"/>
      <c r="O22" s="103"/>
      <c r="P22" s="104"/>
      <c r="Q22" s="45"/>
      <c r="S22"/>
    </row>
    <row r="23" spans="1:19" ht="11.45" customHeight="1">
      <c r="A23" s="98"/>
      <c r="B23" s="99" t="s">
        <v>82</v>
      </c>
      <c r="C23" s="99" t="str">
        <f t="shared" si="0"/>
        <v>A</v>
      </c>
      <c r="D23" s="193" t="s">
        <v>85</v>
      </c>
      <c r="E23" s="194"/>
      <c r="F23" s="195"/>
      <c r="G23" s="111">
        <v>1</v>
      </c>
      <c r="H23" s="142">
        <v>8.15</v>
      </c>
      <c r="I23" s="103"/>
      <c r="J23" s="103"/>
      <c r="K23" s="141">
        <v>4.38</v>
      </c>
      <c r="L23" s="111"/>
      <c r="M23" s="141">
        <f>+G23*H23*K23</f>
        <v>35.697000000000003</v>
      </c>
      <c r="N23" s="103"/>
      <c r="O23" s="103"/>
      <c r="P23" s="104"/>
      <c r="Q23" s="45"/>
      <c r="S23"/>
    </row>
    <row r="24" spans="1:19" ht="11.45" customHeight="1">
      <c r="A24" s="98"/>
      <c r="B24" s="99" t="s">
        <v>82</v>
      </c>
      <c r="C24" s="99" t="str">
        <f t="shared" si="0"/>
        <v>A</v>
      </c>
      <c r="D24" s="193" t="s">
        <v>86</v>
      </c>
      <c r="E24" s="194"/>
      <c r="F24" s="195"/>
      <c r="G24" s="111">
        <v>14</v>
      </c>
      <c r="H24" s="142">
        <v>0.5</v>
      </c>
      <c r="I24" s="103"/>
      <c r="J24" s="103"/>
      <c r="K24" s="141">
        <v>13.89</v>
      </c>
      <c r="L24" s="111"/>
      <c r="M24" s="141">
        <f t="shared" si="1"/>
        <v>97.23</v>
      </c>
      <c r="N24" s="103"/>
      <c r="O24" s="103"/>
      <c r="P24" s="104"/>
      <c r="Q24" s="45"/>
      <c r="S24"/>
    </row>
    <row r="25" spans="1:19" ht="11.45" customHeight="1">
      <c r="A25" s="98"/>
      <c r="B25" s="99" t="s">
        <v>82</v>
      </c>
      <c r="C25" s="99" t="str">
        <f t="shared" si="0"/>
        <v>A</v>
      </c>
      <c r="D25" s="193" t="s">
        <v>86</v>
      </c>
      <c r="E25" s="194"/>
      <c r="F25" s="195"/>
      <c r="G25" s="111">
        <v>3</v>
      </c>
      <c r="H25" s="142">
        <v>1.1000000000000001</v>
      </c>
      <c r="I25" s="103"/>
      <c r="J25" s="103"/>
      <c r="K25" s="141">
        <v>13.89</v>
      </c>
      <c r="L25" s="111"/>
      <c r="M25" s="141">
        <f t="shared" si="1"/>
        <v>45.837000000000003</v>
      </c>
      <c r="N25" s="103"/>
      <c r="O25" s="103"/>
      <c r="P25" s="104"/>
      <c r="Q25" s="45"/>
      <c r="S25"/>
    </row>
    <row r="26" spans="1:19" ht="11.45" customHeight="1">
      <c r="A26" s="98"/>
      <c r="B26" s="99" t="s">
        <v>82</v>
      </c>
      <c r="C26" s="99" t="str">
        <f t="shared" si="0"/>
        <v>A</v>
      </c>
      <c r="D26" s="193" t="s">
        <v>87</v>
      </c>
      <c r="E26" s="194"/>
      <c r="F26" s="195"/>
      <c r="G26" s="111">
        <v>1</v>
      </c>
      <c r="H26" s="142">
        <f>4.3+1.1+7.45</f>
        <v>12.850000000000001</v>
      </c>
      <c r="I26" s="103"/>
      <c r="J26" s="103"/>
      <c r="K26" s="141">
        <v>0.56000000000000005</v>
      </c>
      <c r="L26" s="111"/>
      <c r="M26" s="141">
        <f>+G26*H26*K26</f>
        <v>7.1960000000000015</v>
      </c>
      <c r="N26" s="103"/>
      <c r="O26" s="103"/>
      <c r="P26" s="104"/>
      <c r="Q26" s="45"/>
      <c r="S26"/>
    </row>
    <row r="27" spans="1:19" ht="11.45" customHeight="1">
      <c r="A27" s="98"/>
      <c r="B27" s="99" t="s">
        <v>82</v>
      </c>
      <c r="C27" s="99" t="str">
        <f t="shared" si="0"/>
        <v>A</v>
      </c>
      <c r="D27" s="105" t="s">
        <v>87</v>
      </c>
      <c r="E27" s="106"/>
      <c r="F27" s="107"/>
      <c r="G27" s="111">
        <v>1</v>
      </c>
      <c r="H27" s="142">
        <v>6.35</v>
      </c>
      <c r="I27" s="103"/>
      <c r="J27" s="103"/>
      <c r="K27" s="141">
        <v>0.56000000000000005</v>
      </c>
      <c r="L27" s="111"/>
      <c r="M27" s="141">
        <f>+G27*H27*K27</f>
        <v>3.556</v>
      </c>
      <c r="N27" s="103"/>
      <c r="O27" s="103"/>
      <c r="P27" s="104"/>
      <c r="Q27" s="45"/>
      <c r="S27"/>
    </row>
    <row r="28" spans="1:19" ht="11.45" customHeight="1">
      <c r="A28" s="98"/>
      <c r="B28" s="99" t="s">
        <v>82</v>
      </c>
      <c r="C28" s="99" t="s">
        <v>72</v>
      </c>
      <c r="D28" s="193" t="s">
        <v>88</v>
      </c>
      <c r="E28" s="194"/>
      <c r="F28" s="195"/>
      <c r="G28" s="111">
        <v>1</v>
      </c>
      <c r="H28" s="142">
        <v>82.45</v>
      </c>
      <c r="I28" s="111"/>
      <c r="J28" s="111"/>
      <c r="K28" s="103"/>
      <c r="L28" s="111"/>
      <c r="M28" s="103"/>
      <c r="N28" s="141">
        <f>H28*G28</f>
        <v>82.45</v>
      </c>
      <c r="O28" s="141" t="s">
        <v>38</v>
      </c>
      <c r="P28" s="104"/>
      <c r="Q28" s="45"/>
      <c r="S28"/>
    </row>
    <row r="29" spans="1:19" ht="11.45" customHeight="1">
      <c r="A29" s="98"/>
      <c r="B29" s="99"/>
      <c r="C29" s="99"/>
      <c r="D29" s="105"/>
      <c r="E29" s="106"/>
      <c r="F29" s="107"/>
      <c r="G29" s="100"/>
      <c r="H29" s="101"/>
      <c r="I29" s="111"/>
      <c r="J29" s="111"/>
      <c r="K29" s="103"/>
      <c r="L29" s="100"/>
      <c r="M29" s="103">
        <f>+G29*H29*K29</f>
        <v>0</v>
      </c>
      <c r="N29" s="103"/>
      <c r="O29" s="103"/>
      <c r="P29" s="104">
        <f>SUM(M11:M29)</f>
        <v>620.28899999999999</v>
      </c>
      <c r="Q29" s="45"/>
      <c r="S29"/>
    </row>
    <row r="30" spans="1:19">
      <c r="A30" s="95"/>
      <c r="B30" s="93"/>
      <c r="C30" s="93"/>
      <c r="D30" s="108" t="s">
        <v>89</v>
      </c>
      <c r="E30" s="109"/>
      <c r="F30" s="110"/>
      <c r="G30" s="95"/>
      <c r="H30" s="95"/>
      <c r="I30" s="95"/>
      <c r="J30" s="95"/>
      <c r="K30" s="96"/>
      <c r="L30" s="95"/>
      <c r="M30" s="95"/>
      <c r="N30" s="95"/>
      <c r="O30" s="95"/>
      <c r="P30" s="97">
        <f>SUM(M31:M35)</f>
        <v>157.04400000000001</v>
      </c>
      <c r="Q30" s="45"/>
      <c r="S30"/>
    </row>
    <row r="31" spans="1:19">
      <c r="A31" s="98"/>
      <c r="B31" s="99" t="s">
        <v>82</v>
      </c>
      <c r="C31" s="99" t="str">
        <f>+IF(K31&lt;=30,"A",+IF(K31&gt;30,+IF(K31&lt;60,"B",+IF(K31&gt;60,"C"))))</f>
        <v>A</v>
      </c>
      <c r="D31" s="193" t="s">
        <v>83</v>
      </c>
      <c r="E31" s="194"/>
      <c r="F31" s="195"/>
      <c r="G31" s="111">
        <v>4</v>
      </c>
      <c r="H31" s="142">
        <v>2.5</v>
      </c>
      <c r="I31" s="103"/>
      <c r="J31" s="103"/>
      <c r="K31" s="141">
        <v>4.38</v>
      </c>
      <c r="L31" s="111"/>
      <c r="M31" s="141">
        <f>+G31*H31*K31</f>
        <v>43.8</v>
      </c>
      <c r="N31" s="103"/>
      <c r="O31" s="103"/>
      <c r="P31" s="104"/>
      <c r="Q31" s="45"/>
      <c r="S31"/>
    </row>
    <row r="32" spans="1:19">
      <c r="A32" s="98"/>
      <c r="B32" s="99" t="s">
        <v>82</v>
      </c>
      <c r="C32" s="99" t="str">
        <f>+IF(K32&lt;=30,"A",+IF(K32&gt;30,+IF(K32&lt;60,"B",+IF(K32&gt;60,"C"))))</f>
        <v>A</v>
      </c>
      <c r="D32" s="193" t="s">
        <v>85</v>
      </c>
      <c r="E32" s="194"/>
      <c r="F32" s="195"/>
      <c r="G32" s="111">
        <v>2</v>
      </c>
      <c r="H32" s="142">
        <v>2.5</v>
      </c>
      <c r="I32" s="103"/>
      <c r="J32" s="103"/>
      <c r="K32" s="141">
        <v>4.38</v>
      </c>
      <c r="L32" s="111"/>
      <c r="M32" s="141">
        <f>+G32*H32*K32</f>
        <v>21.9</v>
      </c>
      <c r="N32" s="103"/>
      <c r="O32" s="103"/>
      <c r="P32" s="104"/>
      <c r="Q32" s="45"/>
      <c r="S32"/>
    </row>
    <row r="33" spans="1:21">
      <c r="A33" s="98"/>
      <c r="B33" s="99" t="s">
        <v>82</v>
      </c>
      <c r="C33" s="99" t="str">
        <f>+IF(K33&lt;=30,"A",+IF(K33&gt;30,+IF(K33&lt;60,"B",+IF(K33&gt;60,"C"))))</f>
        <v>A</v>
      </c>
      <c r="D33" s="193" t="s">
        <v>86</v>
      </c>
      <c r="E33" s="194"/>
      <c r="F33" s="195"/>
      <c r="G33" s="111">
        <v>4</v>
      </c>
      <c r="H33" s="142">
        <v>1.1000000000000001</v>
      </c>
      <c r="I33" s="111"/>
      <c r="J33" s="111"/>
      <c r="K33" s="141">
        <v>20.48</v>
      </c>
      <c r="L33" s="111"/>
      <c r="M33" s="141">
        <f>+G33*H33*K33</f>
        <v>90.112000000000009</v>
      </c>
      <c r="N33" s="103"/>
      <c r="O33" s="103"/>
      <c r="P33" s="104"/>
      <c r="Q33" s="45"/>
      <c r="S33"/>
    </row>
    <row r="34" spans="1:21">
      <c r="A34" s="98"/>
      <c r="B34" s="99" t="s">
        <v>82</v>
      </c>
      <c r="C34" s="99" t="str">
        <f>+IF(K34&lt;=30,"A",+IF(K34&gt;30,+IF(K34&lt;60,"B",+IF(K34&gt;60,"C"))))</f>
        <v>A</v>
      </c>
      <c r="D34" s="105" t="s">
        <v>87</v>
      </c>
      <c r="E34" s="106"/>
      <c r="F34" s="107"/>
      <c r="G34" s="111">
        <v>2</v>
      </c>
      <c r="H34" s="142">
        <v>1.1000000000000001</v>
      </c>
      <c r="I34" s="103"/>
      <c r="J34" s="103"/>
      <c r="K34" s="141">
        <v>0.56000000000000005</v>
      </c>
      <c r="L34" s="111"/>
      <c r="M34" s="141">
        <f>+G34*H34*K34</f>
        <v>1.2320000000000002</v>
      </c>
      <c r="N34" s="103"/>
      <c r="O34" s="103"/>
      <c r="P34" s="104"/>
      <c r="Q34" s="45"/>
      <c r="S34"/>
    </row>
    <row r="35" spans="1:21">
      <c r="A35" s="98"/>
      <c r="B35" s="99" t="s">
        <v>82</v>
      </c>
      <c r="C35" s="99" t="s">
        <v>72</v>
      </c>
      <c r="D35" s="193" t="s">
        <v>88</v>
      </c>
      <c r="E35" s="194"/>
      <c r="F35" s="195"/>
      <c r="G35" s="111">
        <v>2</v>
      </c>
      <c r="H35" s="142">
        <v>2.6949999999999998</v>
      </c>
      <c r="I35" s="111"/>
      <c r="J35" s="111"/>
      <c r="K35" s="103"/>
      <c r="L35" s="111"/>
      <c r="M35" s="103"/>
      <c r="N35" s="141">
        <f>G35*H35</f>
        <v>5.39</v>
      </c>
      <c r="O35" s="141" t="s">
        <v>38</v>
      </c>
      <c r="P35" s="104"/>
      <c r="Q35" s="45"/>
      <c r="S35"/>
    </row>
    <row r="36" spans="1:21">
      <c r="A36" s="98"/>
      <c r="B36" s="99"/>
      <c r="C36" s="99"/>
      <c r="D36" s="143"/>
      <c r="E36" s="144"/>
      <c r="F36" s="145"/>
      <c r="G36" s="111"/>
      <c r="H36" s="142"/>
      <c r="I36" s="111"/>
      <c r="J36" s="111"/>
      <c r="K36" s="103"/>
      <c r="L36" s="111"/>
      <c r="M36" s="103"/>
      <c r="N36" s="103"/>
      <c r="O36" s="103"/>
      <c r="P36" s="104">
        <f>SUM(M31:M34)</f>
        <v>157.04400000000001</v>
      </c>
      <c r="Q36" s="45"/>
      <c r="S36"/>
    </row>
    <row r="37" spans="1:21">
      <c r="A37" s="95"/>
      <c r="B37" s="93"/>
      <c r="C37" s="93"/>
      <c r="D37" s="108" t="s">
        <v>93</v>
      </c>
      <c r="E37" s="109"/>
      <c r="F37" s="110"/>
      <c r="G37" s="95"/>
      <c r="H37" s="95"/>
      <c r="I37" s="95"/>
      <c r="J37" s="95"/>
      <c r="K37" s="96"/>
      <c r="L37" s="95"/>
      <c r="M37" s="95"/>
      <c r="N37" s="95"/>
      <c r="O37" s="95"/>
      <c r="P37" s="97">
        <f>SUM(M37:M44)</f>
        <v>205.01500000000001</v>
      </c>
      <c r="Q37" s="45"/>
      <c r="S37"/>
      <c r="U37" s="139"/>
    </row>
    <row r="38" spans="1:21">
      <c r="A38" s="98"/>
      <c r="B38" s="99" t="s">
        <v>82</v>
      </c>
      <c r="C38" s="99" t="str">
        <f>+IF(K38&lt;=30,"A",+IF(K38&gt;30,+IF(K38&lt;60,"B",+IF(K38&gt;60,"C"))))</f>
        <v>A</v>
      </c>
      <c r="D38" s="193" t="s">
        <v>83</v>
      </c>
      <c r="E38" s="194"/>
      <c r="F38" s="195"/>
      <c r="G38" s="111">
        <v>2</v>
      </c>
      <c r="H38" s="142">
        <v>8.85</v>
      </c>
      <c r="I38" s="103"/>
      <c r="J38" s="103"/>
      <c r="K38" s="141">
        <v>4.38</v>
      </c>
      <c r="L38" s="111"/>
      <c r="M38" s="141">
        <f>+G38*H38*K38</f>
        <v>77.525999999999996</v>
      </c>
      <c r="N38" s="103"/>
      <c r="O38" s="103"/>
      <c r="P38" s="104"/>
      <c r="Q38" s="45"/>
      <c r="S38" s="139"/>
    </row>
    <row r="39" spans="1:21">
      <c r="A39" s="98"/>
      <c r="B39" s="99" t="s">
        <v>82</v>
      </c>
      <c r="C39" s="99" t="str">
        <f>+IF(K39&lt;=30,"A",+IF(K39&gt;30,+IF(K39&lt;60,"B",+IF(K39&gt;60,"C"))))</f>
        <v>A</v>
      </c>
      <c r="D39" s="193" t="s">
        <v>84</v>
      </c>
      <c r="E39" s="194"/>
      <c r="F39" s="195"/>
      <c r="G39" s="111">
        <v>2</v>
      </c>
      <c r="H39" s="142">
        <v>1.85</v>
      </c>
      <c r="I39" s="103"/>
      <c r="J39" s="103"/>
      <c r="K39" s="141">
        <v>4.38</v>
      </c>
      <c r="L39" s="111"/>
      <c r="M39" s="141">
        <f>+G39*H39*K39</f>
        <v>16.206</v>
      </c>
      <c r="N39" s="103"/>
      <c r="O39" s="103"/>
      <c r="P39" s="104"/>
      <c r="Q39" s="45"/>
      <c r="S39"/>
    </row>
    <row r="40" spans="1:21">
      <c r="A40" s="98"/>
      <c r="B40" s="99" t="s">
        <v>82</v>
      </c>
      <c r="C40" s="99" t="str">
        <f>+IF(K40&lt;=30,"A",+IF(K40&gt;30,+IF(K40&lt;60,"B",+IF(K40&gt;60,"C"))))</f>
        <v>A</v>
      </c>
      <c r="D40" s="193" t="s">
        <v>85</v>
      </c>
      <c r="E40" s="194"/>
      <c r="F40" s="195"/>
      <c r="G40" s="111">
        <v>1</v>
      </c>
      <c r="H40" s="142">
        <v>8.85</v>
      </c>
      <c r="I40" s="103"/>
      <c r="J40" s="103"/>
      <c r="K40" s="141">
        <v>4.38</v>
      </c>
      <c r="L40" s="111"/>
      <c r="M40" s="141">
        <f>+G40*H40*K40</f>
        <v>38.762999999999998</v>
      </c>
      <c r="N40" s="103"/>
      <c r="O40" s="103"/>
      <c r="P40" s="104"/>
      <c r="Q40" s="45"/>
      <c r="S40"/>
    </row>
    <row r="41" spans="1:21">
      <c r="A41" s="98"/>
      <c r="B41" s="99" t="s">
        <v>82</v>
      </c>
      <c r="C41" s="99" t="str">
        <f>+IF(K41&lt;=30,"A",+IF(K41&gt;30,+IF(K41&lt;60,"B",+IF(K41&gt;60,"C"))))</f>
        <v>A</v>
      </c>
      <c r="D41" s="193" t="s">
        <v>86</v>
      </c>
      <c r="E41" s="194"/>
      <c r="F41" s="195"/>
      <c r="G41" s="111">
        <v>7</v>
      </c>
      <c r="H41" s="142">
        <v>0.5</v>
      </c>
      <c r="I41" s="103"/>
      <c r="J41" s="103"/>
      <c r="K41" s="141">
        <v>20.48</v>
      </c>
      <c r="L41" s="111"/>
      <c r="M41" s="141">
        <f>+G41*H41*K41</f>
        <v>71.680000000000007</v>
      </c>
      <c r="N41" s="103"/>
      <c r="O41" s="103"/>
      <c r="P41" s="104"/>
      <c r="Q41" s="45"/>
      <c r="S41"/>
    </row>
    <row r="42" spans="1:21">
      <c r="A42" s="98"/>
      <c r="B42" s="99" t="s">
        <v>82</v>
      </c>
      <c r="C42" s="99" t="str">
        <f>+IF(K42&lt;=30,"A",+IF(K42&gt;30,+IF(K42&lt;60,"B",+IF(K42&gt;60,"C"))))</f>
        <v>A</v>
      </c>
      <c r="D42" s="193" t="s">
        <v>87</v>
      </c>
      <c r="E42" s="194"/>
      <c r="F42" s="195"/>
      <c r="G42" s="111">
        <v>1</v>
      </c>
      <c r="H42" s="142">
        <v>1.5</v>
      </c>
      <c r="I42" s="103"/>
      <c r="J42" s="103"/>
      <c r="K42" s="141">
        <v>0.56000000000000005</v>
      </c>
      <c r="L42" s="111"/>
      <c r="M42" s="141">
        <f>+G42*H42*K42</f>
        <v>0.84000000000000008</v>
      </c>
      <c r="N42" s="103"/>
      <c r="O42" s="103"/>
      <c r="P42" s="104"/>
      <c r="Q42" s="45"/>
      <c r="S42"/>
    </row>
    <row r="43" spans="1:21">
      <c r="A43" s="98"/>
      <c r="B43" s="99" t="s">
        <v>82</v>
      </c>
      <c r="C43" s="99" t="s">
        <v>72</v>
      </c>
      <c r="D43" s="193" t="s">
        <v>88</v>
      </c>
      <c r="E43" s="194"/>
      <c r="F43" s="195"/>
      <c r="G43" s="111">
        <v>1</v>
      </c>
      <c r="H43" s="142">
        <v>13.525</v>
      </c>
      <c r="I43" s="111"/>
      <c r="J43" s="111"/>
      <c r="K43" s="103"/>
      <c r="L43" s="111"/>
      <c r="M43" s="103"/>
      <c r="N43" s="141">
        <f>G43*H43</f>
        <v>13.525</v>
      </c>
      <c r="O43" s="141" t="s">
        <v>38</v>
      </c>
      <c r="P43" s="104"/>
      <c r="Q43" s="45"/>
      <c r="S43"/>
    </row>
    <row r="44" spans="1:21">
      <c r="A44" s="98"/>
      <c r="B44" s="99"/>
      <c r="C44" s="99"/>
      <c r="D44" s="143"/>
      <c r="E44" s="144"/>
      <c r="F44" s="145"/>
      <c r="G44" s="111"/>
      <c r="H44" s="142"/>
      <c r="I44" s="111"/>
      <c r="J44" s="111"/>
      <c r="K44" s="103"/>
      <c r="L44" s="111"/>
      <c r="M44" s="103"/>
      <c r="N44" s="103"/>
      <c r="O44" s="103"/>
      <c r="P44" s="104">
        <f>SUM(M38:M43)</f>
        <v>205.01500000000001</v>
      </c>
      <c r="Q44" s="45"/>
      <c r="S44"/>
    </row>
    <row r="45" spans="1:21">
      <c r="A45" s="95"/>
      <c r="B45" s="93"/>
      <c r="C45" s="93"/>
      <c r="D45" s="108" t="s">
        <v>92</v>
      </c>
      <c r="E45" s="109"/>
      <c r="F45" s="110"/>
      <c r="G45" s="95"/>
      <c r="H45" s="95"/>
      <c r="I45" s="95"/>
      <c r="J45" s="95"/>
      <c r="K45" s="96"/>
      <c r="L45" s="95"/>
      <c r="M45" s="95"/>
      <c r="N45" s="95"/>
      <c r="O45" s="95"/>
      <c r="P45" s="97">
        <f>SUM(M45:M52)</f>
        <v>200.72</v>
      </c>
      <c r="S45"/>
    </row>
    <row r="46" spans="1:21" ht="13.9" customHeight="1">
      <c r="A46" s="98"/>
      <c r="B46" s="99" t="s">
        <v>82</v>
      </c>
      <c r="C46" s="99" t="str">
        <f>+IF(K46&lt;=30,"A",+IF(K46&gt;30,+IF(K46&lt;60,"B",+IF(K46&gt;60,"C"))))</f>
        <v>A</v>
      </c>
      <c r="D46" s="193" t="s">
        <v>83</v>
      </c>
      <c r="E46" s="194"/>
      <c r="F46" s="195"/>
      <c r="G46" s="111">
        <v>3</v>
      </c>
      <c r="H46" s="142">
        <v>7.35</v>
      </c>
      <c r="I46" s="103"/>
      <c r="J46" s="103"/>
      <c r="K46" s="141">
        <v>4.38</v>
      </c>
      <c r="L46" s="111"/>
      <c r="M46" s="141">
        <f>+G46*H46*K46</f>
        <v>96.578999999999979</v>
      </c>
      <c r="N46" s="103"/>
      <c r="O46" s="103"/>
      <c r="P46" s="104"/>
      <c r="S46"/>
    </row>
    <row r="47" spans="1:21">
      <c r="A47" s="98"/>
      <c r="B47" s="99" t="s">
        <v>82</v>
      </c>
      <c r="C47" s="99" t="str">
        <f>+IF(K47&lt;=30,"A",+IF(K47&gt;30,+IF(K47&lt;60,"B",+IF(K47&gt;60,"C"))))</f>
        <v>A</v>
      </c>
      <c r="D47" s="193" t="s">
        <v>84</v>
      </c>
      <c r="E47" s="194"/>
      <c r="F47" s="195"/>
      <c r="G47" s="111">
        <v>2</v>
      </c>
      <c r="H47" s="142">
        <v>2.1</v>
      </c>
      <c r="I47" s="103"/>
      <c r="J47" s="103"/>
      <c r="K47" s="141">
        <v>4.38</v>
      </c>
      <c r="L47" s="111"/>
      <c r="M47" s="141">
        <f>+G47*H47*K47</f>
        <v>18.396000000000001</v>
      </c>
      <c r="N47" s="103"/>
      <c r="O47" s="103"/>
      <c r="P47" s="104"/>
      <c r="S47" s="139"/>
    </row>
    <row r="48" spans="1:21">
      <c r="A48" s="98"/>
      <c r="B48" s="99" t="s">
        <v>82</v>
      </c>
      <c r="C48" s="99" t="str">
        <f>+IF(K48&lt;=30,"A",+IF(K48&gt;30,+IF(K48&lt;60,"B",+IF(K48&gt;60,"C"))))</f>
        <v>A</v>
      </c>
      <c r="D48" s="193" t="s">
        <v>85</v>
      </c>
      <c r="E48" s="194"/>
      <c r="F48" s="195"/>
      <c r="G48" s="111">
        <v>1</v>
      </c>
      <c r="H48" s="142">
        <v>7.35</v>
      </c>
      <c r="I48" s="103"/>
      <c r="J48" s="103"/>
      <c r="K48" s="141">
        <v>4.38</v>
      </c>
      <c r="L48" s="111"/>
      <c r="M48" s="141">
        <f>+G48*H48*K48</f>
        <v>32.192999999999998</v>
      </c>
      <c r="N48" s="103"/>
      <c r="O48" s="103"/>
      <c r="P48" s="104"/>
      <c r="S48"/>
    </row>
    <row r="49" spans="1:19">
      <c r="A49" s="98"/>
      <c r="B49" s="99" t="s">
        <v>82</v>
      </c>
      <c r="C49" s="99" t="str">
        <f>+IF(K49&lt;=30,"A",+IF(K49&gt;30,+IF(K49&lt;60,"B",+IF(K49&gt;60,"C"))))</f>
        <v>A</v>
      </c>
      <c r="D49" s="193" t="s">
        <v>86</v>
      </c>
      <c r="E49" s="194"/>
      <c r="F49" s="195"/>
      <c r="G49" s="111">
        <v>5</v>
      </c>
      <c r="H49" s="142">
        <v>0.5</v>
      </c>
      <c r="I49" s="103"/>
      <c r="J49" s="103"/>
      <c r="K49" s="141">
        <v>20.48</v>
      </c>
      <c r="L49" s="111"/>
      <c r="M49" s="141">
        <f>+G49*H49*K49</f>
        <v>51.2</v>
      </c>
      <c r="N49" s="103"/>
      <c r="O49" s="103"/>
      <c r="P49" s="104"/>
      <c r="S49"/>
    </row>
    <row r="50" spans="1:19">
      <c r="A50" s="98"/>
      <c r="B50" s="99" t="s">
        <v>82</v>
      </c>
      <c r="C50" s="99" t="str">
        <f>+IF(K50&lt;=30,"A",+IF(K50&gt;30,+IF(K50&lt;60,"B",+IF(K50&gt;60,"C"))))</f>
        <v>A</v>
      </c>
      <c r="D50" s="193" t="s">
        <v>87</v>
      </c>
      <c r="E50" s="194"/>
      <c r="F50" s="195"/>
      <c r="G50" s="111">
        <v>2</v>
      </c>
      <c r="H50" s="142">
        <v>2.1</v>
      </c>
      <c r="I50" s="103"/>
      <c r="J50" s="103"/>
      <c r="K50" s="141">
        <v>0.56000000000000005</v>
      </c>
      <c r="L50" s="111"/>
      <c r="M50" s="141">
        <f>+G50*H50*K50</f>
        <v>2.3520000000000003</v>
      </c>
      <c r="N50" s="103"/>
      <c r="O50" s="103"/>
      <c r="P50" s="104"/>
      <c r="S50"/>
    </row>
    <row r="51" spans="1:19">
      <c r="A51" s="98"/>
      <c r="B51" s="99" t="s">
        <v>82</v>
      </c>
      <c r="C51" s="99" t="s">
        <v>72</v>
      </c>
      <c r="D51" s="193" t="s">
        <v>88</v>
      </c>
      <c r="E51" s="194"/>
      <c r="F51" s="195"/>
      <c r="G51" s="111">
        <v>1</v>
      </c>
      <c r="H51" s="142">
        <v>22.34</v>
      </c>
      <c r="I51" s="111"/>
      <c r="J51" s="111"/>
      <c r="K51" s="103"/>
      <c r="L51" s="111"/>
      <c r="M51" s="103"/>
      <c r="N51" s="141">
        <f>H51*G51</f>
        <v>22.34</v>
      </c>
      <c r="O51" s="141" t="s">
        <v>38</v>
      </c>
      <c r="P51" s="104"/>
      <c r="S51"/>
    </row>
    <row r="52" spans="1:19">
      <c r="A52" s="98"/>
      <c r="B52" s="99"/>
      <c r="C52" s="99"/>
      <c r="D52" s="143"/>
      <c r="E52" s="144"/>
      <c r="F52" s="145"/>
      <c r="G52" s="111"/>
      <c r="H52" s="142"/>
      <c r="I52" s="111"/>
      <c r="J52" s="111"/>
      <c r="K52" s="103"/>
      <c r="L52" s="111"/>
      <c r="M52" s="111"/>
      <c r="N52" s="111"/>
      <c r="O52" s="111"/>
      <c r="P52" s="104">
        <f>M46+M47+M48+M49+M50</f>
        <v>200.72</v>
      </c>
      <c r="Q52" s="45"/>
      <c r="S52"/>
    </row>
    <row r="53" spans="1:19">
      <c r="A53" s="95"/>
      <c r="B53" s="93"/>
      <c r="C53" s="93"/>
      <c r="D53" s="108" t="s">
        <v>70</v>
      </c>
      <c r="E53" s="109"/>
      <c r="F53" s="110"/>
      <c r="G53" s="95"/>
      <c r="H53" s="95"/>
      <c r="I53" s="95"/>
      <c r="J53" s="95"/>
      <c r="K53" s="96"/>
      <c r="L53" s="95"/>
      <c r="M53" s="95"/>
      <c r="N53" s="95"/>
      <c r="O53" s="95"/>
      <c r="P53" s="97">
        <f>SUM(M53:M57)</f>
        <v>207.07109999999997</v>
      </c>
      <c r="S53"/>
    </row>
    <row r="54" spans="1:19">
      <c r="A54" s="98"/>
      <c r="B54" s="99"/>
      <c r="C54" s="99"/>
      <c r="D54" s="105"/>
      <c r="E54" s="106"/>
      <c r="F54" s="107"/>
      <c r="G54" s="100"/>
      <c r="H54" s="100"/>
      <c r="I54" s="103"/>
      <c r="J54" s="112"/>
      <c r="K54" s="103"/>
      <c r="L54" s="100"/>
      <c r="M54" s="103"/>
      <c r="N54" s="103"/>
      <c r="O54" s="103"/>
      <c r="P54" s="104">
        <f>SUM(M54:M54)</f>
        <v>0</v>
      </c>
      <c r="S54"/>
    </row>
    <row r="55" spans="1:19">
      <c r="A55" s="98"/>
      <c r="B55" s="99" t="s">
        <v>71</v>
      </c>
      <c r="C55" s="99" t="s">
        <v>95</v>
      </c>
      <c r="D55" s="105" t="s">
        <v>73</v>
      </c>
      <c r="E55" s="106"/>
      <c r="F55" s="107"/>
      <c r="G55" s="100">
        <v>1</v>
      </c>
      <c r="H55" s="113">
        <v>0.15</v>
      </c>
      <c r="I55" s="103"/>
      <c r="J55" s="112"/>
      <c r="K55" s="148">
        <f>P6+P11+P30+P37+P45</f>
        <v>1380.4739999999999</v>
      </c>
      <c r="L55" s="100"/>
      <c r="M55" s="141">
        <f>+G55*H55*K55</f>
        <v>207.07109999999997</v>
      </c>
      <c r="N55" s="103"/>
      <c r="O55" s="103"/>
      <c r="P55" s="104"/>
      <c r="S55"/>
    </row>
    <row r="56" spans="1:19">
      <c r="A56" s="98"/>
      <c r="B56" s="99"/>
      <c r="C56" s="99"/>
      <c r="D56" s="105"/>
      <c r="E56" s="106"/>
      <c r="F56" s="107"/>
      <c r="G56" s="100"/>
      <c r="H56" s="113"/>
      <c r="I56" s="103"/>
      <c r="J56" s="112"/>
      <c r="K56" s="103"/>
      <c r="L56" s="100"/>
      <c r="M56" s="103"/>
      <c r="N56" s="103"/>
      <c r="O56" s="103"/>
      <c r="P56" s="104">
        <f>SUM(M55:M56)</f>
        <v>207.07109999999997</v>
      </c>
      <c r="S56"/>
    </row>
    <row r="57" spans="1:19">
      <c r="A57" s="98"/>
      <c r="B57" s="99"/>
      <c r="C57" s="99"/>
      <c r="D57" s="105"/>
      <c r="E57" s="106"/>
      <c r="F57" s="107"/>
      <c r="G57" s="100"/>
      <c r="H57" s="100"/>
      <c r="I57" s="103"/>
      <c r="J57" s="112"/>
      <c r="K57" s="103"/>
      <c r="L57" s="100"/>
      <c r="M57" s="103"/>
      <c r="N57" s="103"/>
      <c r="O57" s="103"/>
      <c r="P57" s="104">
        <f>SUM(M57:M57)</f>
        <v>0</v>
      </c>
      <c r="S57"/>
    </row>
    <row r="58" spans="1:19">
      <c r="A58" s="114"/>
      <c r="B58" s="95"/>
      <c r="C58" s="95"/>
      <c r="D58" s="115" t="s">
        <v>97</v>
      </c>
      <c r="E58" s="115"/>
      <c r="F58" s="115"/>
      <c r="G58" s="114"/>
      <c r="H58" s="114"/>
      <c r="I58" s="114"/>
      <c r="J58" s="116"/>
      <c r="K58" s="114"/>
      <c r="L58" s="114"/>
      <c r="M58" s="114"/>
      <c r="N58" s="114"/>
      <c r="O58" s="114"/>
      <c r="P58" s="117">
        <f>SUM(M6:M58)</f>
        <v>1587.5450999999996</v>
      </c>
      <c r="S58" s="139"/>
    </row>
    <row r="59" spans="1:19">
      <c r="A59" s="118"/>
      <c r="B59" s="118"/>
      <c r="C59" s="119"/>
      <c r="D59" s="120"/>
      <c r="E59" s="120"/>
      <c r="F59" s="120"/>
      <c r="G59" s="121"/>
      <c r="H59" s="121"/>
      <c r="I59" s="118"/>
      <c r="J59" s="122"/>
      <c r="K59" s="118"/>
      <c r="L59" s="121"/>
      <c r="M59" s="121"/>
      <c r="N59" s="121"/>
      <c r="O59" s="121"/>
      <c r="P59" s="123"/>
      <c r="S59"/>
    </row>
    <row r="60" spans="1:19" ht="20.45" customHeight="1">
      <c r="A60" s="118"/>
      <c r="B60" s="118"/>
      <c r="C60" s="124" t="s">
        <v>55</v>
      </c>
      <c r="D60" s="125" t="s">
        <v>98</v>
      </c>
      <c r="E60" s="125"/>
      <c r="F60" s="125"/>
      <c r="G60" s="126" t="s">
        <v>74</v>
      </c>
      <c r="H60" s="126" t="s">
        <v>75</v>
      </c>
      <c r="I60" s="118"/>
      <c r="J60" s="122"/>
      <c r="K60" s="118"/>
      <c r="L60" s="121"/>
      <c r="M60" s="121"/>
      <c r="N60" s="121"/>
      <c r="O60" s="121"/>
      <c r="P60" s="123"/>
      <c r="S60"/>
    </row>
    <row r="61" spans="1:19">
      <c r="A61" s="118"/>
      <c r="B61" s="118"/>
      <c r="C61" s="127" t="s">
        <v>47</v>
      </c>
      <c r="D61" s="128" t="s">
        <v>76</v>
      </c>
      <c r="E61" s="129"/>
      <c r="F61" s="130"/>
      <c r="G61" s="131">
        <f>SUMIF($C$7:$C$55,"A",$M$7:$M$55)</f>
        <v>1183.068</v>
      </c>
      <c r="H61" s="132" t="s">
        <v>36</v>
      </c>
      <c r="I61" s="118"/>
      <c r="J61" s="122"/>
      <c r="K61" s="118"/>
      <c r="L61" s="133"/>
      <c r="M61" s="121"/>
      <c r="N61" s="121"/>
      <c r="O61" s="121"/>
      <c r="P61" s="123"/>
      <c r="S61"/>
    </row>
    <row r="62" spans="1:19">
      <c r="A62" s="118"/>
      <c r="B62" s="118"/>
      <c r="C62" s="127" t="s">
        <v>62</v>
      </c>
      <c r="D62" s="128" t="s">
        <v>77</v>
      </c>
      <c r="E62" s="129"/>
      <c r="F62" s="130"/>
      <c r="G62" s="131">
        <f>SUMIF($C$7:$C$55,"B",$M$7:$M$55)</f>
        <v>0</v>
      </c>
      <c r="H62" s="132" t="s">
        <v>36</v>
      </c>
      <c r="I62" s="118"/>
      <c r="J62" s="122"/>
      <c r="K62" s="118"/>
      <c r="L62" s="121"/>
      <c r="M62" s="134"/>
      <c r="N62" s="121"/>
      <c r="O62" s="121"/>
      <c r="P62" s="123"/>
      <c r="S62"/>
    </row>
    <row r="63" spans="1:19">
      <c r="A63" s="118"/>
      <c r="B63" s="118"/>
      <c r="C63" s="127" t="s">
        <v>60</v>
      </c>
      <c r="D63" s="128" t="s">
        <v>78</v>
      </c>
      <c r="E63" s="129"/>
      <c r="F63" s="130"/>
      <c r="G63" s="131">
        <f>SUMIF($C$7:$C$55,"C",$M$7:$M$55)</f>
        <v>197.40600000000001</v>
      </c>
      <c r="H63" s="132" t="s">
        <v>36</v>
      </c>
      <c r="I63" s="118"/>
      <c r="J63" s="122"/>
      <c r="K63" s="118"/>
      <c r="L63" s="135"/>
      <c r="M63" s="121"/>
      <c r="N63" s="121"/>
      <c r="O63" s="121"/>
      <c r="P63" s="123"/>
      <c r="S63"/>
    </row>
    <row r="64" spans="1:19">
      <c r="A64" s="118"/>
      <c r="B64" s="118"/>
      <c r="C64" s="127" t="s">
        <v>65</v>
      </c>
      <c r="D64" s="128" t="s">
        <v>79</v>
      </c>
      <c r="E64" s="129"/>
      <c r="F64" s="130"/>
      <c r="G64" s="131">
        <f>SUMIF($C$7:$C$55,"D",$M$7:$M$55)</f>
        <v>0</v>
      </c>
      <c r="H64" s="132" t="s">
        <v>36</v>
      </c>
      <c r="I64" s="118"/>
      <c r="J64" s="122"/>
      <c r="K64" s="118"/>
      <c r="L64" s="121"/>
      <c r="M64" s="121"/>
      <c r="N64" s="121"/>
      <c r="O64" s="121"/>
      <c r="P64" s="123"/>
      <c r="S64"/>
    </row>
    <row r="65" spans="1:19">
      <c r="A65" s="118"/>
      <c r="B65" s="118"/>
      <c r="C65" s="127" t="s">
        <v>63</v>
      </c>
      <c r="D65" s="128" t="s">
        <v>64</v>
      </c>
      <c r="E65" s="129"/>
      <c r="F65" s="130"/>
      <c r="G65" s="131">
        <f>SUMIF($C$7:$C$55,"E",$M$7:$M$55)</f>
        <v>0</v>
      </c>
      <c r="H65" s="132" t="s">
        <v>36</v>
      </c>
      <c r="I65" s="118"/>
      <c r="J65" s="122"/>
      <c r="K65" s="118"/>
      <c r="L65" s="121"/>
      <c r="M65" s="121"/>
      <c r="N65" s="121"/>
      <c r="O65" s="121"/>
      <c r="P65" s="123"/>
      <c r="S65"/>
    </row>
    <row r="66" spans="1:19">
      <c r="A66" s="118"/>
      <c r="B66" s="118"/>
      <c r="C66" s="127" t="s">
        <v>66</v>
      </c>
      <c r="D66" s="128" t="s">
        <v>80</v>
      </c>
      <c r="E66" s="129"/>
      <c r="F66" s="130"/>
      <c r="G66" s="131">
        <f>SUMIF($C$7:$C$55,"F",$M$7:$M$55)</f>
        <v>0</v>
      </c>
      <c r="H66" s="132" t="s">
        <v>67</v>
      </c>
      <c r="I66" s="118"/>
      <c r="J66" s="122"/>
      <c r="K66" s="118"/>
      <c r="L66" s="121"/>
      <c r="M66" s="121"/>
      <c r="N66" s="121"/>
      <c r="O66" s="121"/>
      <c r="P66" s="123"/>
      <c r="S66"/>
    </row>
    <row r="67" spans="1:19">
      <c r="A67" s="118"/>
      <c r="B67" s="118"/>
      <c r="C67" s="127" t="s">
        <v>68</v>
      </c>
      <c r="D67" s="128" t="s">
        <v>69</v>
      </c>
      <c r="E67" s="129"/>
      <c r="F67" s="130"/>
      <c r="G67" s="131">
        <f>SUMIF($C$7:$C$55,"G",$M$7:$M$55)</f>
        <v>0</v>
      </c>
      <c r="H67" s="132" t="s">
        <v>67</v>
      </c>
      <c r="I67" s="118"/>
      <c r="J67" s="122"/>
      <c r="K67" s="118"/>
      <c r="L67" s="121"/>
      <c r="M67" s="121"/>
      <c r="N67" s="121"/>
      <c r="O67" s="121"/>
      <c r="P67" s="123"/>
      <c r="S67"/>
    </row>
    <row r="68" spans="1:19" ht="14.25" customHeight="1">
      <c r="C68" s="136" t="s">
        <v>72</v>
      </c>
      <c r="D68" s="128" t="s">
        <v>88</v>
      </c>
      <c r="E68" s="137"/>
      <c r="F68" s="138"/>
      <c r="G68" s="131">
        <f>SUMIF($C$7:$C$55,"H",$N$7:$N$55)</f>
        <v>123.70500000000001</v>
      </c>
      <c r="H68" s="132" t="s">
        <v>38</v>
      </c>
      <c r="I68" s="139"/>
      <c r="O68"/>
      <c r="S68"/>
    </row>
    <row r="69" spans="1:19">
      <c r="C69" s="136" t="s">
        <v>95</v>
      </c>
      <c r="D69" s="128" t="s">
        <v>81</v>
      </c>
      <c r="E69" s="137"/>
      <c r="F69" s="138"/>
      <c r="G69" s="131">
        <f>SUMIF($C$7:$C$55,"I",$M$7:$M$55)</f>
        <v>207.07109999999997</v>
      </c>
      <c r="H69" s="132" t="s">
        <v>36</v>
      </c>
      <c r="I69" s="139"/>
      <c r="O69"/>
      <c r="S69"/>
    </row>
    <row r="70" spans="1:19">
      <c r="C70" s="24"/>
      <c r="D70" s="140"/>
      <c r="E70" s="140"/>
      <c r="F70" s="140"/>
      <c r="I70"/>
      <c r="O70"/>
      <c r="S70"/>
    </row>
    <row r="71" spans="1:19">
      <c r="C71" s="24"/>
      <c r="D71" s="140"/>
      <c r="E71" s="140"/>
      <c r="F71" s="140"/>
      <c r="I71"/>
      <c r="O71"/>
      <c r="S71"/>
    </row>
    <row r="72" spans="1:19">
      <c r="C72" s="24"/>
      <c r="D72" s="140"/>
      <c r="E72" s="140"/>
      <c r="F72" s="140"/>
      <c r="I72"/>
      <c r="O72"/>
      <c r="S72"/>
    </row>
    <row r="73" spans="1:19" s="38" customFormat="1">
      <c r="A73"/>
      <c r="B73"/>
      <c r="C73" s="24"/>
      <c r="D73" s="140"/>
      <c r="E73" s="140"/>
      <c r="F73" s="140"/>
      <c r="G73"/>
      <c r="H73"/>
      <c r="I73"/>
      <c r="J73"/>
      <c r="K73"/>
      <c r="L73"/>
      <c r="M73"/>
      <c r="N73"/>
      <c r="O73"/>
      <c r="P73"/>
    </row>
    <row r="74" spans="1:19">
      <c r="C74" s="24"/>
      <c r="D74" s="140"/>
      <c r="E74" s="140"/>
      <c r="F74" s="140"/>
      <c r="I74"/>
      <c r="O74"/>
      <c r="S74"/>
    </row>
    <row r="75" spans="1:19">
      <c r="C75" s="24"/>
      <c r="D75" s="140"/>
      <c r="E75" s="140"/>
      <c r="F75" s="140"/>
      <c r="I75"/>
      <c r="O75"/>
      <c r="S75"/>
    </row>
    <row r="76" spans="1:19">
      <c r="C76" s="24"/>
      <c r="D76" s="140"/>
      <c r="E76" s="140"/>
      <c r="F76" s="140"/>
      <c r="I76"/>
      <c r="O76"/>
      <c r="S76"/>
    </row>
    <row r="77" spans="1:19">
      <c r="C77" s="24"/>
      <c r="D77" s="140"/>
      <c r="E77" s="140"/>
      <c r="F77" s="140"/>
      <c r="I77"/>
      <c r="O77"/>
      <c r="S77"/>
    </row>
    <row r="78" spans="1:19">
      <c r="C78" s="24"/>
      <c r="D78" s="140"/>
      <c r="E78" s="140"/>
      <c r="F78" s="140"/>
      <c r="I78"/>
      <c r="O78"/>
      <c r="S78"/>
    </row>
    <row r="79" spans="1:19">
      <c r="C79" s="24"/>
      <c r="D79" s="140"/>
      <c r="E79" s="140"/>
      <c r="F79" s="140"/>
      <c r="I79"/>
      <c r="O79"/>
      <c r="S79"/>
    </row>
    <row r="80" spans="1:19">
      <c r="C80" s="24"/>
      <c r="D80" s="140"/>
      <c r="E80" s="140"/>
      <c r="F80" s="140"/>
      <c r="I80"/>
      <c r="O80"/>
      <c r="S80"/>
    </row>
    <row r="81" spans="3:19" ht="13.9" customHeight="1" outlineLevel="1">
      <c r="C81" s="24"/>
      <c r="D81" s="140"/>
      <c r="E81" s="140"/>
      <c r="F81" s="140"/>
      <c r="I81"/>
      <c r="O81"/>
      <c r="S81"/>
    </row>
    <row r="82" spans="3:19" outlineLevel="1">
      <c r="C82" s="24"/>
      <c r="D82" s="140"/>
      <c r="E82" s="140"/>
      <c r="F82" s="140"/>
      <c r="I82"/>
      <c r="O82"/>
      <c r="S82"/>
    </row>
    <row r="83" spans="3:19" outlineLevel="1">
      <c r="C83" s="24"/>
      <c r="D83" s="140"/>
      <c r="E83" s="140"/>
      <c r="F83" s="140"/>
      <c r="I83"/>
      <c r="O83"/>
      <c r="S83"/>
    </row>
    <row r="84" spans="3:19" outlineLevel="1">
      <c r="C84" s="24"/>
      <c r="D84" s="140"/>
      <c r="E84" s="140"/>
      <c r="F84" s="140"/>
      <c r="I84"/>
      <c r="O84"/>
      <c r="S84"/>
    </row>
    <row r="85" spans="3:19" outlineLevel="1">
      <c r="C85" s="24"/>
      <c r="D85" s="140"/>
      <c r="E85" s="140"/>
      <c r="F85" s="140"/>
      <c r="I85"/>
      <c r="O85"/>
      <c r="S85"/>
    </row>
    <row r="86" spans="3:19" outlineLevel="1">
      <c r="C86" s="24"/>
      <c r="D86" s="140"/>
      <c r="E86" s="140"/>
      <c r="F86" s="140"/>
      <c r="I86"/>
      <c r="O86"/>
      <c r="S86"/>
    </row>
    <row r="87" spans="3:19" outlineLevel="1">
      <c r="C87" s="24"/>
      <c r="D87" s="140"/>
      <c r="E87" s="140"/>
      <c r="F87" s="140"/>
      <c r="I87"/>
      <c r="O87"/>
      <c r="S87"/>
    </row>
    <row r="88" spans="3:19" outlineLevel="1">
      <c r="C88" s="24"/>
      <c r="D88" s="140"/>
      <c r="E88" s="140"/>
      <c r="F88" s="140"/>
      <c r="I88"/>
      <c r="O88"/>
      <c r="S88"/>
    </row>
    <row r="89" spans="3:19" outlineLevel="1">
      <c r="I89"/>
      <c r="O89"/>
      <c r="S89"/>
    </row>
    <row r="90" spans="3:19" outlineLevel="1">
      <c r="I90"/>
      <c r="O90"/>
      <c r="S90"/>
    </row>
    <row r="91" spans="3:19" outlineLevel="1">
      <c r="I91"/>
      <c r="O91"/>
      <c r="S91"/>
    </row>
    <row r="92" spans="3:19" outlineLevel="1">
      <c r="I92"/>
      <c r="O92"/>
      <c r="S92"/>
    </row>
    <row r="93" spans="3:19" outlineLevel="1">
      <c r="I93"/>
      <c r="O93"/>
      <c r="S93"/>
    </row>
    <row r="94" spans="3:19" outlineLevel="1">
      <c r="I94"/>
      <c r="O94"/>
      <c r="S94"/>
    </row>
    <row r="95" spans="3:19" outlineLevel="1">
      <c r="I95"/>
      <c r="O95"/>
      <c r="S95"/>
    </row>
    <row r="96" spans="3:19" outlineLevel="1">
      <c r="I96"/>
      <c r="O96"/>
      <c r="S96"/>
    </row>
    <row r="97" customFormat="1" outlineLevel="1"/>
    <row r="98" customFormat="1" outlineLevel="1"/>
    <row r="99" customFormat="1" outlineLevel="1"/>
    <row r="100" customFormat="1" outlineLevel="1"/>
    <row r="101" customFormat="1" outlineLevel="1"/>
    <row r="102" customFormat="1" outlineLevel="1"/>
    <row r="103" s="38" customFormat="1"/>
    <row r="104" customFormat="1" outlineLevel="1"/>
    <row r="105" customFormat="1"/>
    <row r="106" customFormat="1" outlineLevel="1"/>
    <row r="107" customFormat="1" outlineLevel="1"/>
    <row r="108" customFormat="1" outlineLevel="1"/>
    <row r="109" customFormat="1" outlineLevel="1"/>
    <row r="110" customFormat="1" outlineLevel="1"/>
    <row r="111" customFormat="1" outlineLevel="1"/>
    <row r="112" customFormat="1" outlineLevel="1"/>
    <row r="113" customFormat="1" outlineLevel="1"/>
    <row r="114" customFormat="1" outlineLevel="1"/>
    <row r="115" customFormat="1" outlineLevel="1"/>
    <row r="116" customFormat="1" outlineLevel="1"/>
    <row r="117" customFormat="1" outlineLevel="1"/>
    <row r="118" customFormat="1" outlineLevel="1"/>
    <row r="119" customFormat="1" outlineLevel="1"/>
    <row r="120" customFormat="1" outlineLevel="1"/>
    <row r="121" customFormat="1" outlineLevel="1"/>
    <row r="122" customFormat="1" outlineLevel="1"/>
    <row r="123" customFormat="1" outlineLevel="1"/>
    <row r="124" s="38" customFormat="1"/>
    <row r="125" customFormat="1" outlineLevel="1"/>
    <row r="126" customFormat="1"/>
    <row r="127" customFormat="1" outlineLevel="1"/>
    <row r="128" customFormat="1" outlineLevel="1"/>
    <row r="129" customFormat="1" outlineLevel="1"/>
    <row r="130" customFormat="1" outlineLevel="1"/>
    <row r="131" s="38" customFormat="1"/>
    <row r="132" customFormat="1" outlineLevel="1"/>
    <row r="133" customFormat="1"/>
    <row r="134" customFormat="1" outlineLevel="1"/>
    <row r="135" customFormat="1" outlineLevel="1"/>
    <row r="136" customFormat="1" outlineLevel="1"/>
    <row r="137" customFormat="1" outlineLevel="1"/>
    <row r="138" customFormat="1" outlineLevel="1"/>
    <row r="139" customFormat="1" outlineLevel="1"/>
    <row r="140" customFormat="1" outlineLevel="1"/>
    <row r="141" customFormat="1" outlineLevel="1"/>
    <row r="142" customFormat="1" outlineLevel="1"/>
    <row r="143" customFormat="1" outlineLevel="1"/>
    <row r="144" customFormat="1" outlineLevel="1"/>
    <row r="145" customFormat="1" outlineLevel="1"/>
    <row r="146" customFormat="1" outlineLevel="1"/>
    <row r="147" s="38" customFormat="1"/>
    <row r="148" customFormat="1" outlineLevel="1"/>
    <row r="149" customFormat="1"/>
    <row r="150" customFormat="1" outlineLevel="1"/>
    <row r="151" customFormat="1" outlineLevel="1"/>
    <row r="152" customFormat="1" outlineLevel="1"/>
    <row r="153" customFormat="1" outlineLevel="1"/>
    <row r="154" customFormat="1" outlineLevel="1"/>
    <row r="155" customFormat="1" outlineLevel="1"/>
    <row r="156" customFormat="1" outlineLevel="1"/>
    <row r="157" customFormat="1" outlineLevel="1"/>
    <row r="158" s="38" customFormat="1"/>
    <row r="159" customFormat="1" outlineLevel="1"/>
    <row r="160" customFormat="1"/>
    <row r="161" customFormat="1" outlineLevel="1"/>
    <row r="162" customFormat="1" outlineLevel="1"/>
    <row r="163" customFormat="1" outlineLevel="1"/>
    <row r="164" customFormat="1" outlineLevel="1"/>
    <row r="165" customFormat="1" outlineLevel="1"/>
    <row r="166" customFormat="1" outlineLevel="1"/>
    <row r="167" customFormat="1" outlineLevel="1"/>
    <row r="168" customFormat="1" outlineLevel="1"/>
    <row r="169" s="38" customFormat="1"/>
    <row r="170" customFormat="1" outlineLevel="1"/>
    <row r="171" customFormat="1"/>
    <row r="172" customFormat="1"/>
    <row r="173" customFormat="1" outlineLevel="1"/>
    <row r="174" customFormat="1" outlineLevel="1"/>
    <row r="175" customFormat="1" outlineLevel="1"/>
    <row r="176" customFormat="1" outlineLevel="1"/>
    <row r="177" customFormat="1" outlineLevel="1"/>
    <row r="178" customFormat="1" outlineLevel="1"/>
    <row r="179" customFormat="1" outlineLevel="1"/>
    <row r="180" customFormat="1" outlineLevel="1"/>
    <row r="181" customFormat="1" outlineLevel="1"/>
    <row r="182" customFormat="1" outlineLevel="1"/>
    <row r="183" customFormat="1" outlineLevel="1"/>
    <row r="184" customFormat="1" outlineLevel="1"/>
    <row r="185" customFormat="1" outlineLevel="1"/>
    <row r="186" customFormat="1" outlineLevel="1"/>
    <row r="187" customFormat="1" outlineLevel="1"/>
    <row r="188" customFormat="1" outlineLevel="1"/>
    <row r="189" customFormat="1" outlineLevel="1"/>
    <row r="190" customFormat="1" outlineLevel="1"/>
    <row r="191" customFormat="1" outlineLevel="1"/>
    <row r="192" customFormat="1" outlineLevel="1"/>
    <row r="193" customFormat="1" outlineLevel="1"/>
    <row r="194" customFormat="1" outlineLevel="1"/>
    <row r="195" customFormat="1" outlineLevel="1"/>
    <row r="196" customFormat="1" outlineLevel="1"/>
    <row r="197" customFormat="1" outlineLevel="1"/>
    <row r="198" customFormat="1" outlineLevel="1"/>
    <row r="199" customFormat="1" outlineLevel="1"/>
    <row r="200" customFormat="1" outlineLevel="1"/>
    <row r="201" customFormat="1" outlineLevel="1"/>
    <row r="202" customFormat="1" outlineLevel="1"/>
    <row r="203" customFormat="1" outlineLevel="1"/>
    <row r="204" customFormat="1" outlineLevel="1"/>
    <row r="205" customFormat="1" outlineLevel="1"/>
    <row r="206" customFormat="1" outlineLevel="1"/>
    <row r="207" customFormat="1" outlineLevel="1"/>
    <row r="208" customFormat="1" outlineLevel="1"/>
    <row r="209" customFormat="1" outlineLevel="1"/>
    <row r="210" customFormat="1" outlineLevel="1"/>
    <row r="211" s="38" customFormat="1"/>
    <row r="212" customFormat="1" outlineLevel="1"/>
    <row r="213" customFormat="1"/>
    <row r="214" customFormat="1"/>
    <row r="215" customFormat="1" outlineLevel="1"/>
    <row r="216" customFormat="1" outlineLevel="1"/>
    <row r="217" customFormat="1" outlineLevel="1"/>
    <row r="218" customFormat="1" outlineLevel="1"/>
    <row r="219" customFormat="1" outlineLevel="1"/>
    <row r="220" customFormat="1" outlineLevel="1"/>
    <row r="221" customFormat="1" outlineLevel="1"/>
    <row r="222" customFormat="1" outlineLevel="1"/>
    <row r="223" customFormat="1" outlineLevel="1"/>
    <row r="224" customFormat="1" outlineLevel="1"/>
    <row r="225" customFormat="1" outlineLevel="1"/>
    <row r="226" customFormat="1" outlineLevel="1"/>
    <row r="227" customFormat="1" outlineLevel="1"/>
    <row r="228" customFormat="1" outlineLevel="1"/>
    <row r="229" customFormat="1" outlineLevel="1"/>
    <row r="230" customFormat="1" outlineLevel="1"/>
    <row r="231" customFormat="1" outlineLevel="1"/>
    <row r="232" customFormat="1" outlineLevel="1"/>
    <row r="233" customFormat="1" outlineLevel="1"/>
    <row r="234" customFormat="1" outlineLevel="1"/>
    <row r="235" customFormat="1" outlineLevel="1"/>
    <row r="236" customFormat="1" outlineLevel="1"/>
    <row r="237" customFormat="1" outlineLevel="1"/>
    <row r="238" customFormat="1" outlineLevel="1"/>
    <row r="239" customFormat="1" outlineLevel="1"/>
    <row r="240" customFormat="1" outlineLevel="1"/>
    <row r="241" customFormat="1" outlineLevel="1"/>
    <row r="242" customFormat="1" outlineLevel="1"/>
    <row r="243" customFormat="1" outlineLevel="1"/>
    <row r="244" customFormat="1" outlineLevel="1"/>
    <row r="245" customFormat="1" outlineLevel="1"/>
    <row r="246" customFormat="1" outlineLevel="1"/>
    <row r="247" customFormat="1" outlineLevel="1"/>
    <row r="248" customFormat="1" outlineLevel="1"/>
    <row r="249" customFormat="1" outlineLevel="1"/>
    <row r="250" customFormat="1" outlineLevel="1"/>
    <row r="251" customFormat="1" outlineLevel="1"/>
    <row r="252" customFormat="1" outlineLevel="1"/>
    <row r="253" customFormat="1" outlineLevel="1"/>
    <row r="254" s="38" customFormat="1"/>
    <row r="255" customFormat="1" outlineLevel="1"/>
    <row r="256" customFormat="1"/>
    <row r="257" customFormat="1"/>
    <row r="258" customFormat="1" outlineLevel="1"/>
    <row r="259" customFormat="1" outlineLevel="1"/>
    <row r="260" customFormat="1" outlineLevel="1"/>
    <row r="261" customFormat="1" outlineLevel="1"/>
    <row r="262" customFormat="1" outlineLevel="1"/>
    <row r="263" customFormat="1" outlineLevel="1"/>
    <row r="264" customFormat="1" outlineLevel="1"/>
    <row r="265" customFormat="1" outlineLevel="1"/>
    <row r="266" customFormat="1" outlineLevel="1"/>
    <row r="267" customFormat="1" outlineLevel="1"/>
    <row r="268" customFormat="1" outlineLevel="1"/>
    <row r="269" customFormat="1" outlineLevel="1"/>
    <row r="270" customFormat="1" outlineLevel="1"/>
    <row r="271" customFormat="1" outlineLevel="1"/>
    <row r="272" customFormat="1" outlineLevel="1"/>
    <row r="273" customFormat="1" outlineLevel="1"/>
    <row r="274" customFormat="1" outlineLevel="1"/>
    <row r="275" customFormat="1" outlineLevel="1"/>
    <row r="276" customFormat="1" outlineLevel="1"/>
    <row r="277" customFormat="1" outlineLevel="1"/>
    <row r="278" customFormat="1" outlineLevel="1"/>
    <row r="279" customFormat="1" outlineLevel="1"/>
    <row r="280" customFormat="1" outlineLevel="1"/>
    <row r="281" customFormat="1" outlineLevel="1"/>
    <row r="282" customFormat="1" outlineLevel="1"/>
    <row r="283" customFormat="1" outlineLevel="1"/>
    <row r="284" customFormat="1" outlineLevel="1"/>
    <row r="285" customFormat="1" outlineLevel="1"/>
    <row r="286" s="38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</sheetData>
  <autoFilter ref="A1:AG2" xr:uid="{00000000-0009-0000-0000-000004000000}"/>
  <mergeCells count="44">
    <mergeCell ref="D49:F49"/>
    <mergeCell ref="D50:F50"/>
    <mergeCell ref="D51:F51"/>
    <mergeCell ref="D38:F38"/>
    <mergeCell ref="D39:F39"/>
    <mergeCell ref="D40:F40"/>
    <mergeCell ref="D41:F41"/>
    <mergeCell ref="D42:F42"/>
    <mergeCell ref="D43:F43"/>
    <mergeCell ref="D48:F48"/>
    <mergeCell ref="D46:F46"/>
    <mergeCell ref="D47:F47"/>
    <mergeCell ref="L4:L5"/>
    <mergeCell ref="D12:F12"/>
    <mergeCell ref="D16:F16"/>
    <mergeCell ref="D15:F15"/>
    <mergeCell ref="D13:F13"/>
    <mergeCell ref="D5:F5"/>
    <mergeCell ref="D8:F8"/>
    <mergeCell ref="D9:F9"/>
    <mergeCell ref="H4:K4"/>
    <mergeCell ref="D10:F10"/>
    <mergeCell ref="D7:F7"/>
    <mergeCell ref="D14:F14"/>
    <mergeCell ref="A3:G3"/>
    <mergeCell ref="A4:A5"/>
    <mergeCell ref="B4:B5"/>
    <mergeCell ref="C4:C5"/>
    <mergeCell ref="G4:G5"/>
    <mergeCell ref="D26:F26"/>
    <mergeCell ref="D25:F25"/>
    <mergeCell ref="D24:F24"/>
    <mergeCell ref="D17:F17"/>
    <mergeCell ref="D20:F20"/>
    <mergeCell ref="D21:F21"/>
    <mergeCell ref="D22:F22"/>
    <mergeCell ref="D23:F23"/>
    <mergeCell ref="D18:F18"/>
    <mergeCell ref="D19:F19"/>
    <mergeCell ref="D35:F35"/>
    <mergeCell ref="D28:F28"/>
    <mergeCell ref="D33:F33"/>
    <mergeCell ref="D31:F31"/>
    <mergeCell ref="D32:F32"/>
  </mergeCells>
  <phoneticPr fontId="6" type="noConversion"/>
  <pageMargins left="0.59055118110236227" right="0.19685039370078741" top="0.78740157480314965" bottom="0.39370078740157483" header="0.39370078740157483" footer="0"/>
  <pageSetup paperSize="9" scale="55" fitToHeight="21" orientation="portrait" r:id="rId1"/>
  <headerFooter alignWithMargins="0">
    <oddHeader>&amp;LPág. &amp;P de &amp;N&amp;C&amp;F: &amp;A&amp;R&amp;D &amp;T</oddHeader>
    <oddFooter>&amp;L&amp;Z&amp;F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2:E15"/>
  <sheetViews>
    <sheetView workbookViewId="0">
      <selection activeCell="C24" sqref="C24"/>
    </sheetView>
  </sheetViews>
  <sheetFormatPr baseColWidth="10" defaultColWidth="11.42578125" defaultRowHeight="15"/>
  <cols>
    <col min="1" max="1" width="11.42578125" style="151"/>
    <col min="2" max="2" width="14.7109375" style="151" customWidth="1"/>
    <col min="3" max="3" width="35.42578125" style="151" customWidth="1"/>
    <col min="4" max="4" width="21" style="151" customWidth="1"/>
    <col min="5" max="5" width="22.5703125" style="151" customWidth="1"/>
    <col min="6" max="16384" width="11.42578125" style="151"/>
  </cols>
  <sheetData>
    <row r="2" spans="2:5" ht="15" customHeight="1">
      <c r="B2" s="152" t="s">
        <v>103</v>
      </c>
      <c r="C2" s="153" t="s">
        <v>104</v>
      </c>
      <c r="D2" s="154" t="s">
        <v>105</v>
      </c>
      <c r="E2" s="151" t="s">
        <v>106</v>
      </c>
    </row>
    <row r="3" spans="2:5" ht="15" customHeight="1">
      <c r="B3" s="152" t="s">
        <v>102</v>
      </c>
      <c r="C3" s="153" t="s">
        <v>102</v>
      </c>
      <c r="D3" s="155" t="s">
        <v>107</v>
      </c>
      <c r="E3" s="153" t="s">
        <v>108</v>
      </c>
    </row>
    <row r="4" spans="2:5" ht="15" customHeight="1">
      <c r="B4" s="152" t="s">
        <v>109</v>
      </c>
      <c r="C4" s="153" t="s">
        <v>110</v>
      </c>
      <c r="D4" s="155" t="s">
        <v>111</v>
      </c>
      <c r="E4" s="153" t="s">
        <v>112</v>
      </c>
    </row>
    <row r="5" spans="2:5" ht="15" customHeight="1">
      <c r="B5" s="152" t="s">
        <v>113</v>
      </c>
      <c r="C5" s="153" t="s">
        <v>114</v>
      </c>
      <c r="D5" s="155" t="s">
        <v>115</v>
      </c>
      <c r="E5" s="153" t="s">
        <v>116</v>
      </c>
    </row>
    <row r="6" spans="2:5" ht="15" customHeight="1">
      <c r="B6" s="152" t="s">
        <v>117</v>
      </c>
      <c r="C6" s="153" t="s">
        <v>118</v>
      </c>
      <c r="D6" s="155" t="s">
        <v>119</v>
      </c>
      <c r="E6" s="153" t="s">
        <v>120</v>
      </c>
    </row>
    <row r="7" spans="2:5" ht="15" customHeight="1">
      <c r="C7" s="153" t="s">
        <v>121</v>
      </c>
      <c r="D7" s="155" t="s">
        <v>122</v>
      </c>
      <c r="E7" s="153" t="s">
        <v>123</v>
      </c>
    </row>
    <row r="8" spans="2:5" ht="15" customHeight="1">
      <c r="C8" s="153" t="s">
        <v>124</v>
      </c>
      <c r="D8" s="155" t="s">
        <v>125</v>
      </c>
      <c r="E8" s="153" t="s">
        <v>126</v>
      </c>
    </row>
    <row r="9" spans="2:5" ht="15" customHeight="1">
      <c r="C9" s="153" t="s">
        <v>127</v>
      </c>
      <c r="D9" s="155" t="s">
        <v>128</v>
      </c>
      <c r="E9" s="153" t="s">
        <v>129</v>
      </c>
    </row>
    <row r="10" spans="2:5" ht="15" customHeight="1">
      <c r="C10" s="153" t="s">
        <v>130</v>
      </c>
    </row>
    <row r="11" spans="2:5" ht="15" customHeight="1">
      <c r="C11" s="153" t="s">
        <v>131</v>
      </c>
    </row>
    <row r="12" spans="2:5" ht="15" customHeight="1">
      <c r="C12" s="153" t="s">
        <v>132</v>
      </c>
    </row>
    <row r="13" spans="2:5" ht="15" customHeight="1">
      <c r="C13" s="153" t="s">
        <v>133</v>
      </c>
    </row>
    <row r="14" spans="2:5" ht="15" customHeight="1">
      <c r="C14" s="153" t="s">
        <v>134</v>
      </c>
    </row>
    <row r="15" spans="2:5" ht="15" customHeight="1">
      <c r="C15" s="15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Hoja1</vt:lpstr>
      <vt:lpstr>MOV.TIERRAS</vt:lpstr>
      <vt:lpstr>CONCRETO-ENCOFRADO-FIERRO</vt:lpstr>
      <vt:lpstr>ESTRUCTURA METALICA</vt:lpstr>
      <vt:lpstr>Datos</vt:lpstr>
      <vt:lpstr>'CONCRETO-ENCOFRADO-FIERRO'!Área_de_impresión</vt:lpstr>
      <vt:lpstr>'ESTRUCTURA METALICA'!Área_de_impresión</vt:lpstr>
      <vt:lpstr>Hoja1!Área_de_impresión</vt:lpstr>
      <vt:lpstr>MOV.TIERRAS!Área_de_impresión</vt:lpstr>
      <vt:lpstr>'CONCRETO-ENCOFRADO-FIERRO'!Títulos_a_imprimir</vt:lpstr>
      <vt:lpstr>'ESTRUCTURA METALICA'!Títulos_a_imprimir</vt:lpstr>
    </vt:vector>
  </TitlesOfParts>
  <Company>sade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japaricio</dc:creator>
  <cp:lastModifiedBy>Asus User</cp:lastModifiedBy>
  <cp:lastPrinted>2016-11-16T09:02:31Z</cp:lastPrinted>
  <dcterms:created xsi:type="dcterms:W3CDTF">2004-10-31T03:10:18Z</dcterms:created>
  <dcterms:modified xsi:type="dcterms:W3CDTF">2022-02-15T14:42:25Z</dcterms:modified>
</cp:coreProperties>
</file>