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130"/>
  <workbookPr filterPrivacy="1"/>
  <xr:revisionPtr documentId="13_ncr:1_{F4669868-2FB2-4873-9DF7-67D7FC774685}" revIDLastSave="0" xr10:uidLastSave="{00000000-0000-0000-0000-000000000000}" xr6:coauthVersionLast="45" xr6:coauthVersionMax="45"/>
  <bookViews>
    <workbookView windowHeight="18900" windowWidth="21600" xWindow="5070" xr2:uid="{00000000-000D-0000-FFFF-FFFF00000000}" yWindow="2700" activeTab="2"/>
  </bookViews>
  <sheets>
    <sheet name="Shell Distortion Criteria" r:id="rId1" sheetId="2"/>
    <sheet name="Shell Summary" r:id="rId11" sheetId="3"/>
    <sheet name="Shell Data" r:id="rId12" sheetId="4"/>
    <sheet name="Verticality Plot" r:id="rId13" sheetId="5"/>
    <sheet name="Shell Roundness Plot 1" r:id="rId14" sheetId="6"/>
    <sheet name="Shell Roundness Plot 2" r:id="rId15" sheetId="7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tk1">'[2]Shell Thickness'!$M$19</definedName>
    <definedName name="__tk10">'[2]Shell Thickness'!$M$28</definedName>
    <definedName name="__tk11">'[2]Shell Thickness'!$M$29</definedName>
    <definedName name="__tk12">'[2]Shell Thickness'!$M$30</definedName>
    <definedName name="__tk2">'[2]Shell Thickness'!$M$20</definedName>
    <definedName name="__tk3">'[2]Shell Thickness'!$M$21</definedName>
    <definedName name="__tk4">'[2]Shell Thickness'!$M$22</definedName>
    <definedName name="__tk5">'[2]Shell Thickness'!$M$23</definedName>
    <definedName name="__tk6">'[2]Shell Thickness'!$M$24</definedName>
    <definedName name="__tk7">'[2]Shell Thickness'!$M$25</definedName>
    <definedName name="__tk8">'[2]Shell Thickness'!$M$26</definedName>
    <definedName name="__tk9">'[2]Shell Thickness'!$M$27</definedName>
    <definedName localSheetId="0" name="__wL1">#REF!</definedName>
    <definedName name="__wL1">#REF!</definedName>
    <definedName localSheetId="0" name="__wL2">#REF!</definedName>
    <definedName name="__wL2">#REF!</definedName>
    <definedName name="_FaSeismicTable">'[1]Earthquake New Appendix E'!$Y$18:$AD$22</definedName>
    <definedName name="_roundnessc">'Shell Distortion Criteria'!$R$24</definedName>
    <definedName localSheetId="0" name="_tk1">'Shell Distortion Criteria'!$K$252</definedName>
    <definedName name="_tk1">'[1]Shell Thickness'!$N$103</definedName>
    <definedName localSheetId="0" name="_tk10">'Shell Distortion Criteria'!$K$261</definedName>
    <definedName name="_tk10">'[1]Shell Thickness'!$N$112</definedName>
    <definedName localSheetId="0" name="_tk11">'Shell Distortion Criteria'!#REF!</definedName>
    <definedName name="_tk11">'[1]Shell Thickness'!#REF!</definedName>
    <definedName localSheetId="0" name="_tk12">'Shell Distortion Criteria'!#REF!</definedName>
    <definedName name="_tk12">'[1]Shell Thickness'!#REF!</definedName>
    <definedName localSheetId="0" name="_tk2">'Shell Distortion Criteria'!$K$253</definedName>
    <definedName name="_tk2">'[1]Shell Thickness'!$N$104</definedName>
    <definedName localSheetId="0" name="_tk3">'Shell Distortion Criteria'!$K$254</definedName>
    <definedName name="_tk3">'[1]Shell Thickness'!$N$105</definedName>
    <definedName localSheetId="0" name="_tk4">'Shell Distortion Criteria'!$K$255</definedName>
    <definedName name="_tk4">'[1]Shell Thickness'!$N$106</definedName>
    <definedName localSheetId="0" name="_tk5">'Shell Distortion Criteria'!$K$256</definedName>
    <definedName name="_tk5">'[1]Shell Thickness'!$N$107</definedName>
    <definedName localSheetId="0" name="_tk6">'Shell Distortion Criteria'!$K$257</definedName>
    <definedName name="_tk6">'[1]Shell Thickness'!$N$108</definedName>
    <definedName localSheetId="0" name="_tk7">'Shell Distortion Criteria'!$K$258</definedName>
    <definedName name="_tk7">'[1]Shell Thickness'!$N$109</definedName>
    <definedName localSheetId="0" name="_tk8">'Shell Distortion Criteria'!$K$259</definedName>
    <definedName name="_tk8">'[1]Shell Thickness'!$N$110</definedName>
    <definedName localSheetId="0" name="_tk9">'Shell Distortion Criteria'!$K$260</definedName>
    <definedName name="_tk9">'[1]Shell Thickness'!$N$111</definedName>
    <definedName name="_tr1">'Shell Distortion Criteria'!$N$24</definedName>
    <definedName name="_tr2">'Shell Distortion Criteria'!$N$27</definedName>
    <definedName name="_tr3">'Shell Distortion Criteria'!$N$30</definedName>
    <definedName name="_tr4">'Shell Distortion Criteria'!$N$36</definedName>
    <definedName name="_tr5">'Shell Distortion Criteria'!$N$36</definedName>
    <definedName localSheetId="0" name="_wL1">#REF!</definedName>
    <definedName name="_wL1">#REF!</definedName>
    <definedName localSheetId="0" name="_wL2">#REF!</definedName>
    <definedName name="_wL2">#REF!</definedName>
    <definedName name="aadsf">'Shell Distortion Criteria'!$F$86</definedName>
    <definedName localSheetId="0" name="adjust">'Shell Distortion Criteria'!#REF!</definedName>
    <definedName localSheetId="0" name="AdjustAboveZero">#REF!</definedName>
    <definedName name="AdjustAboveZero">#REF!</definedName>
    <definedName localSheetId="0" name="Age">'Shell Distortion Criteria'!#REF!</definedName>
    <definedName name="Age">'[1]Shell Thickness'!$L$96</definedName>
    <definedName name="Ai">'[1]Earthquake New Appendix E'!$C$471</definedName>
    <definedName name="AllowableDifferential">'[1]Survey 4 to 24 pt'!$C$14</definedName>
    <definedName localSheetId="0" name="API_650_EARTHQUAKE_DESIGNx_Data_Input_List">#REF!</definedName>
    <definedName name="API_650_EARTHQUAKE_DESIGNx_Data_Input_List">#REF!</definedName>
    <definedName localSheetId="0" name="API_650_EARTHQUAKE_DESIGNx_Data_Input_List1">#REF!</definedName>
    <definedName name="API_650_EARTHQUAKE_DESIGNx_Data_Input_List1">#REF!</definedName>
    <definedName localSheetId="0" name="API_650_EARTHQUAKE_DESIGNx_Earthquake_List">#REF!</definedName>
    <definedName name="API_650_EARTHQUAKE_DESIGNx_Earthquake_List">#REF!</definedName>
    <definedName name="asd">'[3]Shell Thickness'!$M$21</definedName>
    <definedName name="asdf">'[3]Shell Thickness'!$M$22</definedName>
    <definedName name="Average_Annular_Thickness">'[1]Shell and Bottom UT v2'!$T$45</definedName>
    <definedName name="Average_Bottom_Thickness">'[1]Shell and Bottom UT v2'!$J$45</definedName>
    <definedName name="Average_Roof_Thickness">'[1]Shell and Bottom UT v2'!$AD$45</definedName>
    <definedName name="Average_Sump_Thickness">'[1]Shell and Bottom UT v2'!$CI$4</definedName>
    <definedName name="Average_SumpBtm_Thickness">'[1]Shell and Bottom UT v2'!$CI$6</definedName>
    <definedName name="Average_SumpWall_Thickness">'[1]Shell and Bottom UT v2'!$CI$5</definedName>
    <definedName localSheetId="0" name="Average_Thickness">#REF!</definedName>
    <definedName name="Average_Thickness">#REF!</definedName>
    <definedName name="Average_UnderNozzle_Thickness">'[1]Shell and Bottom UT v2'!$DD$7</definedName>
    <definedName localSheetId="0" name="b">#REF!</definedName>
    <definedName name="b">#REF!</definedName>
    <definedName localSheetId="0" name="banchored">#REF!</definedName>
    <definedName name="banchored">#REF!</definedName>
    <definedName localSheetId="0" name="C.1">#REF!</definedName>
    <definedName name="C.1">#REF!</definedName>
    <definedName localSheetId="0" name="C.2">#REF!</definedName>
    <definedName name="C.2">#REF!</definedName>
    <definedName localSheetId="0" name="Controling_E">'Shell Distortion Criteria'!#REF!</definedName>
    <definedName name="Controling_E">'[1]Shell Thickness'!#REF!</definedName>
    <definedName localSheetId="0" name="Controling_Height">'Shell Distortion Criteria'!$E$247</definedName>
    <definedName localSheetId="0" name="Controling_S">'Shell Distortion Criteria'!$E$248</definedName>
    <definedName localSheetId="0" name="Controling_Thick">'Shell Distortion Criteria'!#REF!</definedName>
    <definedName name="Controling_Thick">'[1]Shell Thickness'!#REF!</definedName>
    <definedName name="Conversion">'[1]Survey 4 to 24 pt'!$E$72</definedName>
    <definedName name="cosmax">'[1]Survey 4 to 24 pt'!$CU$107</definedName>
    <definedName localSheetId="0" name="Course_1">#REF!</definedName>
    <definedName name="Course_1">#REF!</definedName>
    <definedName localSheetId="0" name="Course_Height">'Shell Distortion Criteria'!$E$309</definedName>
    <definedName name="CV_Annular_Thickness">'[1]Shell and Bottom UT v2'!$W$45</definedName>
    <definedName name="CV_Bottom_Thickness">'[1]Shell and Bottom UT v2'!$M$45</definedName>
    <definedName name="CV_Roof_Thickness">'[1]Shell and Bottom UT v2'!$AG$45</definedName>
    <definedName name="CV_Sump_Thickness">'[1]Shell and Bottom UT v2'!$CL$4</definedName>
    <definedName name="CV_SumpBtm_Thickness">'[1]Shell and Bottom UT v2'!$CL$6</definedName>
    <definedName name="CV_SumpWall_Thickness">'[1]Shell and Bottom UT v2'!$CL$5</definedName>
    <definedName name="CV_UnderNozzle_Thickness">'[1]Shell and Bottom UT v2'!$DG$7</definedName>
    <definedName name="CZBottomUTScrubSpacing">'[1]Shell and Bottom UT v2'!$BW$7</definedName>
    <definedName name="CZSpacingtUT">'[1]Shell and Bottom UT v2'!$BR$7</definedName>
    <definedName localSheetId="0" name="d">'Shell Distortion Criteria'!$F$241</definedName>
    <definedName name="d">'[1]Shell Thickness'!$F$92</definedName>
    <definedName localSheetId="0" name="_xlnm.Database">#REF!</definedName>
    <definedName name="_xlnm.Database">#REF!</definedName>
    <definedName name="Density">'[1]Earthquake New Appendix E'!$C$46</definedName>
    <definedName localSheetId="0" name="Diameter">'Shell Distortion Criteria'!$F$241</definedName>
    <definedName name="Diameter">'[1]Shell Thickness'!$F$92</definedName>
    <definedName localSheetId="0" name="Distance">#REF!</definedName>
    <definedName name="Distance">#REF!</definedName>
    <definedName name="DoverH">'[1]Earthquake New Appendix E'!$C$335</definedName>
    <definedName localSheetId="0" name="E">'Shell Distortion Criteria'!$E$310</definedName>
    <definedName localSheetId="0" name="Fa">#REF!</definedName>
    <definedName name="Fa">#REF!</definedName>
    <definedName localSheetId="0" name="Fby">#REF!</definedName>
    <definedName name="Fby">#REF!</definedName>
    <definedName localSheetId="0" name="Fill_Height">'Shell Distortion Criteria'!$F$243</definedName>
    <definedName name="Fill_Height">'[1]Shell Thickness'!$F$94</definedName>
    <definedName localSheetId="0" name="FirstPt1">#REF!</definedName>
    <definedName name="FirstPt1">#REF!</definedName>
    <definedName localSheetId="0" name="FirstPt2">#REF!</definedName>
    <definedName name="FirstPt2">#REF!</definedName>
    <definedName localSheetId="0" name="FirstPt3">#REF!</definedName>
    <definedName name="FirstPt3">#REF!</definedName>
    <definedName localSheetId="0" name="FirstPt4">#REF!</definedName>
    <definedName name="FirstPt4">#REF!</definedName>
    <definedName localSheetId="0" name="FirstPt5">#REF!</definedName>
    <definedName name="FirstPt5">#REF!</definedName>
    <definedName localSheetId="0" name="FirstPt6">#REF!</definedName>
    <definedName name="FirstPt6">#REF!</definedName>
    <definedName localSheetId="0" name="Force">#REF!</definedName>
    <definedName name="Force">#REF!</definedName>
    <definedName name="fulltolerance">'Shell Distortion Criteria'!$Q$24</definedName>
    <definedName localSheetId="0" name="g">'Shell Distortion Criteria'!$F$244</definedName>
    <definedName name="g">'[1]Shell Thickness'!$F$95</definedName>
    <definedName localSheetId="0" name="GH">#REF!</definedName>
    <definedName name="GH">#REF!</definedName>
    <definedName localSheetId="0" name="H">#REF!</definedName>
    <definedName name="H">#REF!</definedName>
    <definedName name="H_D">'[1]Earthquake New Appendix E'!$C$445</definedName>
    <definedName localSheetId="0" name="Height">'Shell Distortion Criteria'!$F$242</definedName>
    <definedName name="Height">'[1]Shell Thickness'!$F$93</definedName>
    <definedName name="Height_of_cribbing__ft">'[1]Earthquake New Appendix E'!$B$208</definedName>
    <definedName name="Height1">'[1]Wind Old Edition'!$I$36</definedName>
    <definedName localSheetId="0" name="Hfill">#REF!</definedName>
    <definedName name="Hfill">#REF!</definedName>
    <definedName localSheetId="0" name="high_G">'Shell Distortion Criteria'!$E$312</definedName>
    <definedName localSheetId="0" name="Ht">#REF!</definedName>
    <definedName name="Ht">#REF!</definedName>
    <definedName name="Ht_CL">[1]BasicData!$G$415</definedName>
    <definedName localSheetId="0" name="I">#REF!</definedName>
    <definedName name="I">#REF!</definedName>
    <definedName name="Inches">'[4]24-Pt SURVEY'!$D$4</definedName>
    <definedName localSheetId="0" name="Item">'Shell Distortion Criteria'!#REF!</definedName>
    <definedName localSheetId="0" name="k">#REF!</definedName>
    <definedName name="k">#REF!</definedName>
    <definedName localSheetId="0" name="M">#REF!</definedName>
    <definedName name="M">#REF!</definedName>
    <definedName localSheetId="0" name="M_actual">#REF!</definedName>
    <definedName name="M_actual">#REF!</definedName>
    <definedName localSheetId="0" name="M_allow">#REF!</definedName>
    <definedName name="M_allow">#REF!</definedName>
    <definedName name="Max_Annular_Thickness">'[1]Shell and Bottom UT v2'!$V$45</definedName>
    <definedName name="Max_Bottom_Thickness">'[1]Shell and Bottom UT v2'!$L$45</definedName>
    <definedName localSheetId="0" name="Max_G">'Shell Distortion Criteria'!$R$263</definedName>
    <definedName localSheetId="0" name="Max_G_Shell">'Shell Distortion Criteria'!$S$263</definedName>
    <definedName name="Max_Roof_Thickness">'[1]Shell and Bottom UT v2'!$AF$45</definedName>
    <definedName name="Max_Sump_Thickness">'[1]Shell and Bottom UT v2'!$CK$4</definedName>
    <definedName name="Max_SumpBtm_Thickness">'[1]Shell and Bottom UT v2'!$CK$6</definedName>
    <definedName name="Max_SumpWall_Thickness">'[1]Shell and Bottom UT v2'!$CK$5</definedName>
    <definedName name="Max_UnderNozzle_Thickness">'[1]Shell and Bottom UT v2'!$DF$7</definedName>
    <definedName localSheetId="0" name="Minimum_stations">#REF!</definedName>
    <definedName name="Minimum_stations">#REF!</definedName>
    <definedName localSheetId="0" name="MinSetup1">#REF!</definedName>
    <definedName name="MinSetup1">#REF!</definedName>
    <definedName localSheetId="0" name="MinSetup2">#REF!</definedName>
    <definedName name="MinSetup2">#REF!</definedName>
    <definedName localSheetId="0" name="MinSetup3">#REF!</definedName>
    <definedName name="MinSetup3">#REF!</definedName>
    <definedName localSheetId="0" name="MinSetup4">#REF!</definedName>
    <definedName name="MinSetup4">#REF!</definedName>
    <definedName localSheetId="0" name="MinSetup5">#REF!</definedName>
    <definedName name="MinSetup5">#REF!</definedName>
    <definedName name="MinSetup6">'[5]1718'!$I$48</definedName>
    <definedName name="Nominal">'[1]Shell and Bottom UT v2'!$CH$4</definedName>
    <definedName name="NumberOfStations">'[1]Survey 4 to 24 pt'!$D$70</definedName>
    <definedName name="Picture">INDIRECT([1]FrangibleRoof!$M$47)</definedName>
    <definedName localSheetId="0" name="_xlnm.Print_Area">'Shell Distortion Criteria'!$B$4:$S$109</definedName>
    <definedName localSheetId="0" name="Rate__in_year">#REF!</definedName>
    <definedName name="Rate__in_year">#REF!</definedName>
    <definedName localSheetId="0" name="S">'Shell Distortion Criteria'!$E$311</definedName>
    <definedName name="Saverage">'[1]Survey 4 to 24 pt'!$A$72</definedName>
    <definedName localSheetId="0" name="SiteAmplificationFactor">#REF!</definedName>
    <definedName name="SiteAmplificationFactor">#REF!</definedName>
    <definedName localSheetId="0" name="slope">#REF!</definedName>
    <definedName name="slope">#REF!</definedName>
    <definedName localSheetId="0" name="SpacingBetweenStations">#REF!</definedName>
    <definedName name="SpacingBetweenStations">#REF!</definedName>
    <definedName localSheetId="0" name="T">#REF!</definedName>
    <definedName name="T">#REF!</definedName>
    <definedName name="Tank_Dia">[1]BasicData!$D$9</definedName>
    <definedName name="Tank_Height">[1]BasicData!$H$9</definedName>
    <definedName localSheetId="0" name="Tb">#REF!</definedName>
    <definedName name="Tb">#REF!</definedName>
    <definedName localSheetId="0" name="TempModifier">'Shell Distortion Criteria'!$I$246</definedName>
    <definedName name="TempModifier">'[1]Shell Thickness'!$I$97</definedName>
    <definedName localSheetId="0" name="Thick">'Shell Distortion Criteria'!$E$308</definedName>
    <definedName name="top_course_thickness">'[1]Wind Old Edition'!$H$31</definedName>
    <definedName localSheetId="0" name="TotalRoofWeightNoSnow">#REF!</definedName>
    <definedName name="TotalRoofWeightNoSnow">#REF!</definedName>
    <definedName localSheetId="0" name="TotalShellWeight">#REF!</definedName>
    <definedName name="TotalShellWeight">#REF!</definedName>
    <definedName name="tr_3">'Shell Distortion Criteria'!$N$33</definedName>
    <definedName name="typefloatingroof">'[1]Earthquake Old Appendix E'!$N$9</definedName>
    <definedName localSheetId="0" name="typeroof">#REF!</definedName>
    <definedName name="typeroof">#REF!</definedName>
    <definedName localSheetId="0" name="V">#REF!</definedName>
    <definedName name="V">#REF!</definedName>
    <definedName localSheetId="0" name="W">#REF!</definedName>
    <definedName name="W">#REF!</definedName>
    <definedName localSheetId="0" name="W.1">#REF!</definedName>
    <definedName name="W.1">#REF!</definedName>
    <definedName localSheetId="0" name="W.2">#REF!</definedName>
    <definedName name="W.2">#REF!</definedName>
    <definedName localSheetId="0" name="Wfr">#REF!</definedName>
    <definedName name="Wfr">#REF!</definedName>
    <definedName localSheetId="0" name="WIND">#REF!</definedName>
    <definedName name="WIND">#REF!</definedName>
    <definedName localSheetId="0" name="wL">#REF!</definedName>
    <definedName name="wL">#REF!</definedName>
    <definedName localSheetId="0" name="Wr">#REF!</definedName>
    <definedName name="Wr">#REF!</definedName>
    <definedName localSheetId="0" name="Ws">#REF!</definedName>
    <definedName name="Ws">#REF!</definedName>
    <definedName localSheetId="0" name="Wt">#REF!</definedName>
    <definedName name="Wt">#REF!</definedName>
    <definedName localSheetId="0" name="Wtt">#REF!</definedName>
    <definedName name="Wtt">#REF!</definedName>
    <definedName localSheetId="0" name="X.1">#REF!</definedName>
    <definedName name="X.1">#REF!</definedName>
    <definedName localSheetId="0" name="X.2">#REF!</definedName>
    <definedName name="X.2">#REF!</definedName>
    <definedName localSheetId="0" name="Xs">#REF!</definedName>
    <definedName name="Xs">#REF!</definedName>
    <definedName localSheetId="0" name="xxx">'Shell Distortion Criteria'!#REF!</definedName>
    <definedName name="xxx">'[1]Shell Thickness'!#REF!</definedName>
    <definedName localSheetId="0" name="Year_Built">'Shell Distortion Criteria'!$F$245</definedName>
    <definedName name="Year_Built">'[1]Shell Thickness'!$F$96</definedName>
    <definedName name="Yield_of_1st_shell_course__psi">'[1]Earthquake Old Appendix E'!$B$17</definedName>
    <definedName localSheetId="0" name="Z">#REF!</definedName>
    <definedName name="Z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2" l="1" r="E656"/>
  <c i="2" r="D656"/>
  <c i="2" r="E655"/>
  <c i="2" r="D655"/>
  <c i="2" r="E654"/>
  <c i="2" r="D654"/>
  <c i="2" r="E653"/>
  <c i="2" r="D653"/>
  <c i="2" r="H650"/>
  <c i="2" r="G650"/>
  <c i="2" r="F650"/>
  <c i="2" r="E650"/>
  <c i="2" r="L649"/>
  <c i="2" r="H649"/>
  <c i="2" r="G649"/>
  <c i="2" r="F649"/>
  <c i="2" r="E649"/>
  <c i="2" r="L648"/>
  <c i="2" r="K648"/>
  <c i="2" r="J648"/>
  <c i="2" r="H648"/>
  <c i="2" r="G648"/>
  <c i="2" r="F648"/>
  <c i="2" r="H647"/>
  <c i="2" r="G647"/>
  <c i="2" r="F647"/>
  <c i="2" r="H646"/>
  <c i="2" r="H645" s="1"/>
  <c i="2" r="G646"/>
  <c i="2" r="G645"/>
  <c i="2" r="F645"/>
  <c i="2" r="E645"/>
  <c i="2" r="G574"/>
  <c i="2" r="G575" s="1"/>
  <c i="2" r="G576" s="1"/>
  <c i="2" r="G577" s="1"/>
  <c i="2" r="G578" s="1"/>
  <c i="2" r="G579" s="1"/>
  <c i="2" r="G580" s="1"/>
  <c i="2" r="G581" s="1"/>
  <c i="2" r="G582" s="1"/>
  <c i="2" r="G583" s="1"/>
  <c i="2" r="G584" s="1"/>
  <c i="2" r="G585" s="1"/>
  <c i="2" r="G586" s="1"/>
  <c i="2" r="G587" s="1"/>
  <c i="2" r="G588" s="1"/>
  <c i="2" r="G589" s="1"/>
  <c i="2" r="G590" s="1"/>
  <c i="2" r="G591" s="1"/>
  <c i="2" r="G592" s="1"/>
  <c i="2" r="G593" s="1"/>
  <c i="2" r="G594" s="1"/>
  <c i="2" r="G595" s="1"/>
  <c i="2" r="G596" s="1"/>
  <c i="2" r="G597" s="1"/>
  <c i="2" r="G598" s="1"/>
  <c i="2" r="G599" s="1"/>
  <c i="2" r="G600" s="1"/>
  <c i="2" r="G601" s="1"/>
  <c i="2" r="G602" s="1"/>
  <c i="2" r="G603" s="1"/>
  <c i="2" r="G604" s="1"/>
  <c i="2" r="G605" s="1"/>
  <c i="2" r="G606" s="1"/>
  <c i="2" r="G607" s="1"/>
  <c i="2" r="G608" s="1"/>
  <c i="2" r="G609" s="1"/>
  <c i="2" r="G610" s="1"/>
  <c i="2" r="G611" s="1"/>
  <c i="2" r="G573"/>
  <c i="2" r="G572"/>
  <c i="2" r="G557"/>
  <c i="2" r="G558" s="1"/>
  <c i="2" r="G559" s="1"/>
  <c i="2" r="G560" s="1"/>
  <c i="2" r="G561" s="1"/>
  <c i="2" r="G562" s="1"/>
  <c i="2" r="G563" s="1"/>
  <c i="2" r="G564" s="1"/>
  <c i="2" r="G565" s="1"/>
  <c i="2" r="G566" s="1"/>
  <c i="2" r="G567" s="1"/>
  <c i="2" r="G568" s="1"/>
  <c i="2" r="G569" s="1"/>
  <c i="2" r="G570" s="1"/>
  <c i="2" r="G551"/>
  <c i="2" r="G552" s="1"/>
  <c i="2" r="G553" s="1"/>
  <c i="2" r="G554" s="1"/>
  <c i="2" r="G555" s="1"/>
  <c i="2" r="G556" s="1"/>
  <c i="2" r="G550"/>
  <c i="2" r="G540"/>
  <c i="2" r="G541" s="1"/>
  <c i="2" r="G542" s="1"/>
  <c i="2" r="G543" s="1"/>
  <c i="2" r="G544" s="1"/>
  <c i="2" r="G545" s="1"/>
  <c i="2" r="G546" s="1"/>
  <c i="2" r="G547" s="1"/>
  <c i="2" r="G548" s="1"/>
  <c i="2" r="G532"/>
  <c i="2" r="G533" s="1"/>
  <c i="2" r="G534" s="1"/>
  <c i="2" r="G535" s="1"/>
  <c i="2" r="G536" s="1"/>
  <c i="2" r="G537" s="1"/>
  <c i="2" r="G538" s="1"/>
  <c i="2" r="G539" s="1"/>
  <c i="2" r="G531"/>
  <c i="2" r="G493"/>
  <c i="2" r="G494" s="1"/>
  <c i="2" r="G495" s="1"/>
  <c i="2" r="G496" s="1"/>
  <c i="2" r="G497" s="1"/>
  <c i="2" r="G498" s="1"/>
  <c i="2" r="G499" s="1"/>
  <c i="2" r="G500" s="1"/>
  <c i="2" r="G501" s="1"/>
  <c i="2" r="G502" s="1"/>
  <c i="2" r="G503" s="1"/>
  <c i="2" r="G504" s="1"/>
  <c i="2" r="G505" s="1"/>
  <c i="2" r="G506" s="1"/>
  <c i="2" r="G507" s="1"/>
  <c i="2" r="G508" s="1"/>
  <c i="2" r="G509" s="1"/>
  <c i="2" r="G510" s="1"/>
  <c i="2" r="G511" s="1"/>
  <c i="2" r="G512" s="1"/>
  <c i="2" r="G513" s="1"/>
  <c i="2" r="G514" s="1"/>
  <c i="2" r="G515" s="1"/>
  <c i="2" r="G516" s="1"/>
  <c i="2" r="G517" s="1"/>
  <c i="2" r="G518" s="1"/>
  <c i="2" r="G519" s="1"/>
  <c i="2" r="G520" s="1"/>
  <c i="2" r="G521" s="1"/>
  <c i="2" r="G522" s="1"/>
  <c i="2" r="G523" s="1"/>
  <c i="2" r="G524" s="1"/>
  <c i="2" r="G525" s="1"/>
  <c i="2" r="G526" s="1"/>
  <c i="2" r="G527" s="1"/>
  <c i="2" r="G528" s="1"/>
  <c i="2" r="G529" s="1"/>
  <c i="2" r="G492"/>
  <c i="2" r="J487"/>
  <c i="2" r="I487"/>
  <c i="2" r="J486"/>
  <c i="2" r="J485"/>
  <c i="2" r="I485"/>
  <c i="2" r="J484"/>
  <c i="2" r="J483"/>
  <c i="2" r="I483"/>
  <c i="2" r="J482"/>
  <c i="2" r="J481"/>
  <c i="2" r="I481"/>
  <c i="2" r="J480"/>
  <c i="2" r="J479"/>
  <c i="2" r="I479"/>
  <c i="2" r="J478"/>
  <c i="2" r="J477"/>
  <c i="2" r="I477"/>
  <c i="2" r="J476"/>
  <c i="2" r="J475"/>
  <c i="2" r="I475"/>
  <c i="2" r="J474"/>
  <c i="2" r="J473"/>
  <c i="2" r="I473"/>
  <c i="2" r="J472"/>
  <c i="2" r="J471"/>
  <c i="2" r="I471"/>
  <c i="2" r="J470"/>
  <c i="2" r="J469"/>
  <c i="2" r="I469"/>
  <c i="2" r="J468"/>
  <c i="2" r="J467"/>
  <c i="2" r="I467"/>
  <c i="2" r="J466"/>
  <c i="2" r="J465"/>
  <c i="2" r="I465"/>
  <c i="2" r="J464"/>
  <c i="2" r="J463"/>
  <c i="2" r="I463"/>
  <c i="2" r="J462"/>
  <c i="2" r="J461"/>
  <c i="2" r="I461"/>
  <c i="2" r="J460"/>
  <c i="2" r="J459"/>
  <c i="2" r="I459"/>
  <c i="2" r="J458"/>
  <c i="2" r="J457"/>
  <c i="2" r="I457"/>
  <c i="2" r="J456"/>
  <c i="2" r="J455"/>
  <c i="2" r="I455"/>
  <c i="2" r="J454"/>
  <c i="2" r="J453"/>
  <c i="2" r="I453"/>
  <c i="2" r="J452"/>
  <c i="2" r="J451"/>
  <c i="2" r="I451"/>
  <c i="2" r="J450"/>
  <c i="2" r="J449"/>
  <c i="2" r="I449"/>
  <c i="2" r="J448"/>
  <c i="2" r="J447"/>
  <c i="2" r="I447"/>
  <c i="2" r="J446"/>
  <c i="2" r="J445"/>
  <c i="2" r="I445"/>
  <c i="2" r="J444"/>
  <c i="2" r="J443"/>
  <c i="2" r="I443"/>
  <c i="2" r="J442"/>
  <c i="2" r="J441"/>
  <c i="2" r="I441"/>
  <c i="2" r="J440"/>
  <c i="2" r="J439"/>
  <c i="2" r="I439"/>
  <c i="2" r="J438"/>
  <c i="2" r="J437"/>
  <c i="2" r="I437"/>
  <c i="2" r="J436"/>
  <c i="2" r="J435"/>
  <c i="2" r="I435"/>
  <c i="2" r="J434"/>
  <c i="2" r="J433"/>
  <c i="2" r="I433"/>
  <c i="2" r="J432"/>
  <c i="2" r="J431"/>
  <c i="2" r="I431"/>
  <c i="2" r="J430"/>
  <c i="2" r="J429"/>
  <c i="2" r="I429"/>
  <c i="2" r="J428"/>
  <c i="2" r="J427"/>
  <c i="2" r="I427"/>
  <c i="2" r="J426"/>
  <c i="2" r="J425"/>
  <c i="2" r="I425"/>
  <c i="2" r="J424"/>
  <c i="2" r="J423"/>
  <c i="2" r="I423"/>
  <c i="2" r="J422"/>
  <c i="2" r="J421"/>
  <c i="2" r="I421"/>
  <c i="2" r="J420"/>
  <c i="2" r="J419"/>
  <c i="2" r="I419"/>
  <c i="2" r="J418"/>
  <c i="2" r="J417"/>
  <c i="2" r="I417"/>
  <c i="2" r="J416"/>
  <c i="2" r="J415"/>
  <c i="2" r="I415"/>
  <c i="2" r="J414"/>
  <c i="2" r="I414"/>
  <c i="2" r="J413"/>
  <c i="2" r="I413"/>
  <c i="2" r="S409"/>
  <c i="2" r="M409"/>
  <c i="2" r="K409"/>
  <c i="2" r="S408"/>
  <c i="2" r="S407"/>
  <c i="2" r="S406"/>
  <c i="2" r="M405"/>
  <c i="2" r="L405"/>
  <c i="2" r="K405"/>
  <c i="2" r="M404"/>
  <c i="2" r="L404"/>
  <c i="2" r="K404"/>
  <c i="2" r="M403"/>
  <c i="2" r="L403"/>
  <c i="2" r="K403"/>
  <c i="2" r="J403"/>
  <c i="2" r="I403"/>
  <c i="2" r="G403" s="1"/>
  <c i="2" r="S403" s="1"/>
  <c i="2" r="H403"/>
  <c i="2" r="S402"/>
  <c i="2" r="M402"/>
  <c i="2" r="L402"/>
  <c i="2" r="K402"/>
  <c i="2" r="S401"/>
  <c i="2" r="M401"/>
  <c i="2" r="L401"/>
  <c i="2" r="K401"/>
  <c i="2" r="S400"/>
  <c i="2" r="M400"/>
  <c i="2" r="L400"/>
  <c i="2" r="K400"/>
  <c i="2" r="S399"/>
  <c i="2" r="M399"/>
  <c i="2" r="L399"/>
  <c i="2" r="K399"/>
  <c i="2" r="S398"/>
  <c i="2" r="M398"/>
  <c i="2" r="L398"/>
  <c i="2" r="K398"/>
  <c i="2" r="S397"/>
  <c i="2" r="M397"/>
  <c i="2" r="L397"/>
  <c i="2" r="K397"/>
  <c i="2" r="S396"/>
  <c i="2" r="M396"/>
  <c i="2" r="L396"/>
  <c i="2" r="K396"/>
  <c i="2" r="S395"/>
  <c i="2" r="M395"/>
  <c i="2" r="L395"/>
  <c i="2" r="K395"/>
  <c i="2" r="S394"/>
  <c i="2" r="M394"/>
  <c i="2" r="L394"/>
  <c i="2" r="K394"/>
  <c i="2" r="S393"/>
  <c i="2" r="M393"/>
  <c i="2" r="L393"/>
  <c i="2" r="K393"/>
  <c i="2" r="S392"/>
  <c i="2" r="M392"/>
  <c i="2" r="L392"/>
  <c i="2" r="K392"/>
  <c i="2" r="S391"/>
  <c i="2" r="M391"/>
  <c i="2" r="L391"/>
  <c i="2" r="K391"/>
  <c i="2" r="S390"/>
  <c i="2" r="M390"/>
  <c i="2" r="L390"/>
  <c i="2" r="K390"/>
  <c i="2" r="S389"/>
  <c i="2" r="M389"/>
  <c i="2" r="L389"/>
  <c i="2" r="K389"/>
  <c i="2" r="S388"/>
  <c i="2" r="M388"/>
  <c i="2" r="L388"/>
  <c i="2" r="K388"/>
  <c i="2" r="S387"/>
  <c i="2" r="M387"/>
  <c i="2" r="L387"/>
  <c i="2" r="K387"/>
  <c i="2" r="S386"/>
  <c i="2" r="M386"/>
  <c i="2" r="L386"/>
  <c i="2" r="K386"/>
  <c i="2" r="S385"/>
  <c i="2" r="M385"/>
  <c i="2" r="L385"/>
  <c i="2" r="K385"/>
  <c i="2" r="S384"/>
  <c i="2" r="M384"/>
  <c i="2" r="L384"/>
  <c i="2" r="K384"/>
  <c i="2" r="S383"/>
  <c i="2" r="M383"/>
  <c i="2" r="L383"/>
  <c i="2" r="K383"/>
  <c i="2" r="S382"/>
  <c i="2" r="M382"/>
  <c i="2" r="L382"/>
  <c i="2" r="K382"/>
  <c i="2" r="S381"/>
  <c i="2" r="M381"/>
  <c i="2" r="L381"/>
  <c i="2" r="K381"/>
  <c i="2" r="S380"/>
  <c i="2" r="M380"/>
  <c i="2" r="L380"/>
  <c i="2" r="K380"/>
  <c i="2" r="S379"/>
  <c i="2" r="M379"/>
  <c i="2" r="L379"/>
  <c i="2" r="K379"/>
  <c i="2" r="Q340"/>
  <c i="2" r="Q352" s="1"/>
  <c i="2" r="L340"/>
  <c i="2" r="K340"/>
  <c i="2" r="L339"/>
  <c i="2" r="K339"/>
  <c i="2" r="L338"/>
  <c i="2" r="K338"/>
  <c i="2" r="L337"/>
  <c i="2" r="K337"/>
  <c i="2" r="L336"/>
  <c i="2" r="K336"/>
  <c i="2" r="L335"/>
  <c i="2" r="K335"/>
  <c i="2" r="U334"/>
  <c i="2" r="U335" s="1"/>
  <c i="2" r="U336" s="1"/>
  <c i="2" r="U337" s="1"/>
  <c i="2" r="U338" s="1"/>
  <c i="2" r="U339" s="1"/>
  <c i="2" r="U340" s="1"/>
  <c i="2" r="U333"/>
  <c i="2" r="U345" s="1"/>
  <c i="2" r="U346" s="1"/>
  <c i="2" r="U347" s="1"/>
  <c i="2" r="U348" s="1"/>
  <c i="2" r="U349" s="1"/>
  <c i="2" r="U350" s="1"/>
  <c i="2" r="U351" s="1"/>
  <c i="2" r="U352" s="1"/>
  <c i="2" r="E301"/>
  <c i="2" r="H295"/>
  <c i="2" r="H296" s="1"/>
  <c i="2" r="H297" s="1"/>
  <c i="2" r="H298" s="1"/>
  <c i="2" r="H299" s="1"/>
  <c i="2" r="H300" s="1"/>
  <c i="2" r="H301" s="1"/>
  <c i="2" r="E289"/>
  <c i="2" r="F276"/>
  <c i="2" r="F289" s="1"/>
  <c i="2" r="E276"/>
  <c i="2" r="N276" s="1"/>
  <c i="2" r="R270"/>
  <c i="2" r="Q270"/>
  <c i="2" r="J649" s="1"/>
  <c i="2" r="H269"/>
  <c i="2" r="H270" s="1"/>
  <c i="2" r="H271" s="1"/>
  <c i="2" r="H272" s="1"/>
  <c i="2" r="H273" s="1"/>
  <c i="2" r="H274" s="1"/>
  <c i="2" r="H275" s="1"/>
  <c i="2" r="H276" s="1"/>
  <c i="2" r="K264"/>
  <c i="2" r="E262"/>
  <c i="2" r="C262"/>
  <c i="2" r="V261"/>
  <c i="2" r="P261"/>
  <c i="2" r="Q261" s="1"/>
  <c i="2" r="M261"/>
  <c i="2" r="N261" s="1"/>
  <c i="2" r="K261"/>
  <c i="2" r="I261"/>
  <c i="2" r="Z261" s="1"/>
  <c i="2" r="G261"/>
  <c i="2" r="E261"/>
  <c i="2" r="W261" s="1"/>
  <c i="2" r="R261" s="1"/>
  <c i="2" r="Y260"/>
  <c i="2" r="W260"/>
  <c i="2" r="R260" s="1"/>
  <c i="2" r="Q260"/>
  <c i="2" r="P260"/>
  <c i="2" r="M260" s="1"/>
  <c i="2" r="N260" s="1"/>
  <c i="2" r="L260"/>
  <c i="2" r="K260"/>
  <c i="2" r="I260"/>
  <c i="2" r="V260" s="1"/>
  <c i="2" r="G260"/>
  <c i="2" r="F260"/>
  <c i="2" r="E260"/>
  <c i="2" r="C260"/>
  <c i="2" r="P259"/>
  <c i="2" r="L276" s="1"/>
  <c i="2" r="K259"/>
  <c i="2" r="I259"/>
  <c i="2" r="H352" s="1"/>
  <c i="2" r="H340" s="1"/>
  <c i="2" r="G259"/>
  <c i="2" r="E259"/>
  <c i="2" r="W259" s="1"/>
  <c i="2" r="R259" s="1"/>
  <c i="2" r="C259"/>
  <c i="2" r="Y258"/>
  <c i="2" r="V258"/>
  <c i="2" r="Q258"/>
  <c i="2" r="P258"/>
  <c i="2" r="N258"/>
  <c i="2" r="M258"/>
  <c i="2" r="K258"/>
  <c i="2" r="D339" s="1"/>
  <c i="2" r="D351" s="1"/>
  <c i="2" r="I258"/>
  <c i="2" r="H351" s="1"/>
  <c i="2" r="H339" s="1"/>
  <c i="2" r="J339" s="1"/>
  <c i="2" r="H258"/>
  <c i="2" r="G351" s="1"/>
  <c i="2" r="G258"/>
  <c i="2" r="E258"/>
  <c i="2" r="Q339" s="1"/>
  <c i="2" r="Q257"/>
  <c i="2" r="P257"/>
  <c i="2" r="M257" s="1"/>
  <c i="2" r="N257" s="1"/>
  <c i="2" r="K257"/>
  <c i="2" r="D338" s="1"/>
  <c i="2" r="D350" s="1"/>
  <c i="2" r="I257"/>
  <c i="2" r="Z257" s="1"/>
  <c i="2" r="H257"/>
  <c i="2" r="G257"/>
  <c i="2" r="E257"/>
  <c i="2" r="Q338" s="1"/>
  <c i="2" r="C257"/>
  <c i="2" r="Y256"/>
  <c i="2" r="V256"/>
  <c i="2" r="P256"/>
  <c i="2" r="Q256" s="1"/>
  <c i="2" r="K256"/>
  <c i="2" r="I256"/>
  <c i="2" r="H349" s="1"/>
  <c i="2" r="H337" s="1"/>
  <c i="2" r="G256"/>
  <c i="2" r="H256" s="1"/>
  <c i="2" r="E256"/>
  <c i="2" r="Q337" s="1"/>
  <c i="2" r="C256"/>
  <c i="2" r="Z255"/>
  <c i="2" r="P255"/>
  <c i="2" r="K255"/>
  <c i="2" r="D336" s="1"/>
  <c i="2" r="D348" s="1"/>
  <c i="2" r="I255"/>
  <c i="2" r="G255"/>
  <c i="2" r="H255" s="1"/>
  <c i="2" r="E255"/>
  <c i="2" r="L255" s="1"/>
  <c i="2" r="Z254"/>
  <c i="2" r="Q254"/>
  <c i="2" r="P254"/>
  <c i="2" r="L254"/>
  <c i="2" r="K254"/>
  <c i="2" r="I254"/>
  <c i="2" r="H254"/>
  <c i="2" r="G347" s="1"/>
  <c i="2" r="G254"/>
  <c i="2" r="E254"/>
  <c i="2" r="Q335" s="1"/>
  <c i="2" r="C254"/>
  <c i="2" r="Y253"/>
  <c i="2" r="V253"/>
  <c i="2" r="P253"/>
  <c i="2" r="Q253" s="1"/>
  <c i="2" r="K253"/>
  <c i="2" r="D334" s="1"/>
  <c i="2" r="D346" s="1"/>
  <c i="2" r="I253"/>
  <c i="2" r="J261" s="1"/>
  <c i="2" r="G253"/>
  <c i="2" r="H253" s="1"/>
  <c i="2" r="E253"/>
  <c i="2" r="C253" s="1"/>
  <c i="2" r="AC252"/>
  <c i="2" r="X252"/>
  <c i="2" r="X253" s="1"/>
  <c i="2" r="P252"/>
  <c i="2" r="K252"/>
  <c i="2" r="I252"/>
  <c i="2" r="Z252" s="1"/>
  <c i="2" r="H252"/>
  <c i="2" r="G252"/>
  <c i="2" r="H260" s="1"/>
  <c i="2" r="E252"/>
  <c i="2" r="Q333" s="1"/>
  <c i="2" r="C252"/>
  <c i="2" r="A252"/>
  <c i="2" r="A253" s="1"/>
  <c i="2" r="A254" s="1"/>
  <c i="2" r="A255" s="1"/>
  <c i="2" r="A256" s="1"/>
  <c i="2" r="A257" s="1"/>
  <c i="2" r="A258" s="1"/>
  <c i="2" r="A259" s="1"/>
  <c i="2" r="A260" s="1"/>
  <c i="2" r="A261" s="1"/>
  <c i="2" r="E251"/>
  <c i="2" r="E263" s="1"/>
  <c i="2" r="C251"/>
  <c i="2" r="F246"/>
  <c i="2" r="I246" s="1"/>
  <c i="2" r="J254" s="1"/>
  <c i="2" r="I296" s="1"/>
  <c i="2" r="I297" s="1"/>
  <c i="2" r="I298" s="1"/>
  <c i="2" r="F245"/>
  <c i="2" r="M241" s="1"/>
  <c i="2" r="M244"/>
  <c i="2" r="K244"/>
  <c i="2" r="H244"/>
  <c i="2" r="G244"/>
  <c i="2" r="F244"/>
  <c i="2" r="M243"/>
  <c i="2" r="K243"/>
  <c i="2" r="F243"/>
  <c i="2" r="F242"/>
  <c i="2" r="F241"/>
  <c i="2" r="AB252" s="1"/>
  <c i="2" r="F240"/>
  <c i="2" r="AZ239"/>
  <c i="2" r="AY239"/>
  <c i="2" r="AX239"/>
  <c i="2" r="F239"/>
  <c i="2" r="F238"/>
  <c i="2" r="C236"/>
  <c i="2" r="L180"/>
  <c i="2" r="K180"/>
  <c i="2" r="I180"/>
  <c i="2" r="H180"/>
  <c i="2" r="G180"/>
  <c i="2" r="L179"/>
  <c i="2" r="K179"/>
  <c i="2" r="J179"/>
  <c i="2" r="I179"/>
  <c i="2" r="H179"/>
  <c i="2" r="G179"/>
  <c i="2" r="L178"/>
  <c i="2" r="K178"/>
  <c i="2" r="J178"/>
  <c i="2" r="I178"/>
  <c i="2" r="H178"/>
  <c i="2" r="L177"/>
  <c i="2" r="K177"/>
  <c i="2" r="J177"/>
  <c i="2" r="I177"/>
  <c i="2" r="H177"/>
  <c i="2" r="G177"/>
  <c i="2" r="L176"/>
  <c i="2" r="K176"/>
  <c i="2" r="J176"/>
  <c i="2" r="I176"/>
  <c i="2" r="H176"/>
  <c i="2" r="G176"/>
  <c i="2" r="L175"/>
  <c i="2" r="K175"/>
  <c i="2" r="K181" s="1"/>
  <c i="2" r="J175"/>
  <c i="2" r="H175"/>
  <c i="2" r="G175"/>
  <c i="2" r="L174"/>
  <c i="2" r="L181" s="1"/>
  <c i="2" r="K174"/>
  <c i="2" r="J174"/>
  <c i="2" r="I174"/>
  <c i="2" r="H174"/>
  <c i="2" r="G174"/>
  <c i="2" r="L173"/>
  <c i="2" r="K173"/>
  <c i="2" r="J173"/>
  <c i="2" r="I173"/>
  <c i="2" r="H173"/>
  <c i="2" r="G173"/>
  <c i="2" r="L172"/>
  <c i="2" r="K172"/>
  <c i="2" r="J172"/>
  <c i="2" r="I172"/>
  <c i="2" r="H172"/>
  <c i="2" r="G172"/>
  <c i="2" r="E172"/>
  <c i="2" r="E173" s="1"/>
  <c i="2" r="E174" s="1"/>
  <c i="2" r="E175" s="1"/>
  <c i="2" r="E176" s="1"/>
  <c i="2" r="E177" s="1"/>
  <c i="2" r="E178" s="1"/>
  <c i="2" r="E179" s="1"/>
  <c i="2" r="E180" s="1"/>
  <c i="2" r="L171"/>
  <c i="2" r="K171"/>
  <c i="2" r="J171"/>
  <c i="2" r="I171"/>
  <c i="2" r="H171"/>
  <c i="2" r="G171"/>
  <c i="2" r="F171"/>
  <c i="2" r="F172" s="1"/>
  <c i="2" r="F173" s="1"/>
  <c i="2" r="F174" s="1"/>
  <c i="2" r="F175" s="1"/>
  <c i="2" r="F176" s="1"/>
  <c i="2" r="F177" s="1"/>
  <c i="2" r="F178" s="1"/>
  <c i="2" r="F179" s="1"/>
  <c i="2" r="F180" s="1"/>
  <c i="2" r="E171"/>
  <c i="2" r="D171"/>
  <c i="2" r="D172" s="1"/>
  <c i="2" r="D173" s="1"/>
  <c i="2" r="D174" s="1"/>
  <c i="2" r="D175" s="1"/>
  <c i="2" r="D176" s="1"/>
  <c i="2" r="D177" s="1"/>
  <c i="2" r="D178" s="1"/>
  <c i="2" r="D179" s="1"/>
  <c i="2" r="D180" s="1"/>
  <c i="2" r="J162"/>
  <c i="2" r="Q97"/>
  <c i="2" r="Q96"/>
  <c i="2" r="R24" s="1"/>
  <c i="2" r="Q95"/>
  <c i="2" r="Q94"/>
  <c i="2" r="Q89"/>
  <c i="2" r="Q90" s="1"/>
  <c i="2" r="G89"/>
  <c i="2" r="G90" s="1"/>
  <c i="2" r="D60"/>
  <c i="2" r="D59"/>
  <c i="2" r="D58"/>
  <c i="2" r="D57"/>
  <c i="2" r="D56"/>
  <c i="2" r="D55"/>
  <c i="2" r="L54"/>
  <c i="2" r="F54"/>
  <c i="2" r="D54"/>
  <c i="2" r="D53"/>
  <c i="2" r="D52"/>
  <c i="2" r="F52" s="1"/>
  <c i="2" r="E45"/>
  <c i="2" r="B45"/>
  <c i="2" r="M42"/>
  <c i="2" r="M39"/>
  <c i="2" r="M36"/>
  <c i="2" r="E36"/>
  <c i="2" r="D36"/>
  <c i="2" r="D39" s="1"/>
  <c i="2" r="M33"/>
  <c i="2" r="E33"/>
  <c i="2" r="D33"/>
  <c i="2" r="M30"/>
  <c i="2" r="E30"/>
  <c i="2" r="D30"/>
  <c i="2" r="M27"/>
  <c i="2" r="E27"/>
  <c i="2" r="Q24"/>
  <c i="2" r="M24"/>
  <c i="2" r="E24"/>
  <c i="2" r="F14"/>
  <c i="2" r="J2"/>
  <c i="2" l="1" r="D42"/>
  <c i="2" r="E42" s="1"/>
  <c i="2" r="D45"/>
  <c i="2" r="E39"/>
  <c i="2" r="X254"/>
  <c i="2" r="N39"/>
  <c i="2" r="N33"/>
  <c i="2" r="N27"/>
  <c i="2" r="N24"/>
  <c i="2" r="N42"/>
  <c i="2" r="N30"/>
  <c i="2" r="N36"/>
  <c i="2" r="G349"/>
  <c i="2" r="G273"/>
  <c i="2" r="K649"/>
  <c i="2" r="W252"/>
  <c i="2" r="W253" s="1"/>
  <c i="2" r="F252"/>
  <c i="2" r="F294"/>
  <c i="2" r="J252"/>
  <c i="2" r="I294" s="1"/>
  <c i="2" r="Y252"/>
  <c i="2" r="G346"/>
  <c i="2" r="G270"/>
  <c i="2" r="Q347"/>
  <c i="2" r="D340"/>
  <c i="2" r="D352" s="1"/>
  <c i="2" r="Q259"/>
  <c i="2" r="M259"/>
  <c i="2" r="N259" s="1"/>
  <c i="2" r="L269"/>
  <c i="2" r="L252"/>
  <c i="2" r="D333"/>
  <c i="2" r="D345" s="1"/>
  <c i="2" r="D337"/>
  <c i="2" r="D349" s="1"/>
  <c i="2" r="L273"/>
  <c i="2" r="M256"/>
  <c i="2" r="N256" s="1"/>
  <c i="2" r="L301"/>
  <c i="2" r="L289"/>
  <c i="2" r="H243"/>
  <c i="2" r="G243" s="1"/>
  <c i="2" r="I243" s="1"/>
  <c i="2" r="J243" s="1"/>
  <c i="2" r="M252"/>
  <c i="2" r="N252" s="1"/>
  <c i="2" r="G272"/>
  <c i="2" r="G348"/>
  <c i="2" r="L256"/>
  <c i="2" r="I175"/>
  <c i="2" r="M240"/>
  <c i="2" r="Q252"/>
  <c i="2" r="AA252" s="1"/>
  <c i="2" r="L253"/>
  <c i="2" r="H347"/>
  <c i="2" r="H335" s="1"/>
  <c i="2" r="V254"/>
  <c i="2" r="Y254"/>
  <c i="2" r="H348"/>
  <c i="2" r="H336" s="1"/>
  <c i="2" r="J255"/>
  <c i="2" r="Y255"/>
  <c i="2" r="V255"/>
  <c i="2" r="R338"/>
  <c i="2" r="R352"/>
  <c i="2" r="R348"/>
  <c i="2" r="R346"/>
  <c i="2" r="R337"/>
  <c i="2" r="R349"/>
  <c i="2" r="S345"/>
  <c i="2" r="R340"/>
  <c i="2" r="R336"/>
  <c i="2" r="R350"/>
  <c i="2" r="R345"/>
  <c i="2" r="R339"/>
  <c i="2" r="R335"/>
  <c i="2" r="R351"/>
  <c i="2" r="R334"/>
  <c i="2" r="AB261"/>
  <c i="2" r="AB253"/>
  <c i="2" r="AB263" s="1"/>
  <c i="2" r="I240"/>
  <c i="2" r="AB258"/>
  <c i="2" r="AB255"/>
  <c i="2" r="H242"/>
  <c i="2" r="G242" s="1"/>
  <c i="2" r="I242" s="1"/>
  <c i="2" r="J242" s="1"/>
  <c i="2" r="R347"/>
  <c i="2" r="S333"/>
  <c i="2" r="AB260"/>
  <c i="2" r="R333"/>
  <c i="2" r="AB257"/>
  <c i="2" r="AB259"/>
  <c i="2" r="AB256"/>
  <c i="2" r="Q345"/>
  <c i="2" r="R252"/>
  <c i="2" r="R263" s="1"/>
  <c i="2" r="AD252"/>
  <c i="2" r="M253"/>
  <c i="2" r="N253" s="1"/>
  <c i="2" r="Y257"/>
  <c i="2" r="K245"/>
  <c i="2" r="J253"/>
  <c i="2" r="I295" s="1"/>
  <c i="2" r="J256"/>
  <c i="2" r="H259"/>
  <c i="2" r="H261"/>
  <c i="2" r="T261" s="1"/>
  <c i="2" r="S252"/>
  <c i="2" r="D335"/>
  <c i="2" r="D347" s="1"/>
  <c i="2" r="M254"/>
  <c i="2" r="N254" s="1"/>
  <c i="2" r="L271"/>
  <c i="2" r="H345"/>
  <c i="2" r="H333" s="1"/>
  <c i="2" r="V252"/>
  <c i="2" r="J269"/>
  <c i="2" r="I269"/>
  <c i="2" r="H350"/>
  <c i="2" r="H338" s="1"/>
  <c i="2" r="V257"/>
  <c i="2" r="J257"/>
  <c i="2" r="I299" s="1"/>
  <c i="2" r="I300" s="1"/>
  <c i="2" r="E345"/>
  <c i="2" r="F345" s="1"/>
  <c i="2" r="F346" s="1"/>
  <c i="2" r="F347" s="1"/>
  <c i="2" r="F348" s="1"/>
  <c i="2" r="F349" s="1"/>
  <c i="2" r="F350" s="1"/>
  <c i="2" r="F351" s="1"/>
  <c i="2" r="F352" s="1"/>
  <c i="2" r="E333"/>
  <c i="2" r="B251"/>
  <c i="2" r="B252" s="1"/>
  <c i="2" r="B253" s="1"/>
  <c i="2" r="G345"/>
  <c i="2" r="G269"/>
  <c i="2" r="T252"/>
  <c i="2" r="T263" s="1"/>
  <c i="2" r="Q334"/>
  <c i="2" r="E270"/>
  <c i="2" r="E295"/>
  <c i="2" r="E283"/>
  <c i="2" r="AC253"/>
  <c i="2" r="AD253" s="1"/>
  <c i="2" r="AB254"/>
  <c i="2" r="Q255"/>
  <c i="2" r="M255"/>
  <c i="2" r="N255" s="1"/>
  <c i="2" r="G350"/>
  <c i="2" r="G274"/>
  <c i="2" r="Q351"/>
  <c i="2" r="T253"/>
  <c i="2" r="C258"/>
  <c i="2" r="L258"/>
  <c i="2" r="J340"/>
  <c i="2" r="M340" s="1"/>
  <c i="2" r="Z259"/>
  <c i="2" r="E269"/>
  <c i="2" r="L275"/>
  <c i="2" r="E282"/>
  <c i="2" r="E284"/>
  <c i="2" r="E285"/>
  <c i="2" r="E286"/>
  <c i="2" r="E287"/>
  <c i="2" r="E288"/>
  <c i="2" r="E296"/>
  <c i="2" r="E297"/>
  <c i="2" r="E298"/>
  <c i="2" r="E299"/>
  <c i="2" r="E300"/>
  <c i="2" r="J259"/>
  <c i="2" r="T259" s="1"/>
  <c i="2" r="C261"/>
  <c i="2" r="L261"/>
  <c i="2" r="L270"/>
  <c i="2" r="E271"/>
  <c i="2" r="E275"/>
  <c i="2" r="E294"/>
  <c i="2" r="L272"/>
  <c i="2" r="Q349"/>
  <c i="2" r="L259"/>
  <c i="2" r="Z260"/>
  <c i="2" r="F261"/>
  <c i="2" r="G271"/>
  <c i="2" r="E272"/>
  <c i="2" r="G275"/>
  <c i="2" r="M276"/>
  <c i="2" r="H282"/>
  <c i="2" r="H283" s="1"/>
  <c i="2" r="H284" s="1"/>
  <c i="2" r="H285" s="1"/>
  <c i="2" r="H286" s="1"/>
  <c i="2" r="H287" s="1"/>
  <c i="2" r="H288" s="1"/>
  <c i="2" r="H289" s="1"/>
  <c i="2" r="V259"/>
  <c i="2" r="J260"/>
  <c i="2" r="T260" s="1"/>
  <c i="2" r="Q336"/>
  <c i="2" r="L257"/>
  <c i="2" r="M339"/>
  <c i="2" r="Z258"/>
  <c i="2" r="F259"/>
  <c i="2" r="Y261"/>
  <c i="2" r="E273"/>
  <c i="2" r="Z253"/>
  <c i="2" r="W254"/>
  <c i="2" r="Q350"/>
  <c i="2" r="J258"/>
  <c i="2" r="S270"/>
  <c i="2" r="V270" s="1"/>
  <c i="2" r="L274"/>
  <c i="2" r="H346"/>
  <c i="2" r="H334" s="1"/>
  <c i="2" r="C255"/>
  <c i="2" r="C263" s="1"/>
  <c i="2" r="J337"/>
  <c i="2" r="M337" s="1"/>
  <c i="2" r="Z256"/>
  <c i="2" r="Y259"/>
  <c i="2" r="E274"/>
  <c i="2" l="1" r="R254"/>
  <c i="2" r="W255"/>
  <c i="2" r="M338"/>
  <c i="2" r="N338" s="1"/>
  <c i="2" r="J338"/>
  <c i="2" r="C264"/>
  <c i="2" r="G285"/>
  <c i="2" r="G297" s="1"/>
  <c i="2" r="G336"/>
  <c i="2" r="G283"/>
  <c i="2" r="G295" s="1"/>
  <c i="2" r="G334"/>
  <c i="2" r="G337"/>
  <c i="2" r="N337" s="1"/>
  <c i="2" r="G286"/>
  <c i="2" r="G298" s="1"/>
  <c i="2" r="I334"/>
  <c i="2" r="M334" s="1"/>
  <c i="2" r="N334" s="1"/>
  <c i="2" r="E302"/>
  <c i="2" r="G333"/>
  <c i="2" r="G282"/>
  <c i="2" r="G294" s="1"/>
  <c i="2" r="L299"/>
  <c i="2" r="L287"/>
  <c i="2" r="Q348"/>
  <c i="2" r="G335"/>
  <c i="2" r="G284"/>
  <c i="2" r="G296" s="1"/>
  <c i="2" r="E290"/>
  <c i="2" r="M345"/>
  <c i="2" r="I270"/>
  <c i="2" r="I282"/>
  <c i="2" r="I283" s="1"/>
  <c i="2" r="I284" s="1"/>
  <c i="2" r="I285" s="1"/>
  <c i="2" r="I286" s="1"/>
  <c i="2" r="I287" s="1"/>
  <c i="2" r="I288" s="1"/>
  <c i="2" r="I289" s="1"/>
  <c i="2" r="I301" s="1"/>
  <c i="2" r="L300"/>
  <c i="2" r="L288"/>
  <c i="2" r="AC254"/>
  <c i="2" r="AD254" s="1"/>
  <c i="2" r="B254"/>
  <c i="2" r="N345"/>
  <c i="2" r="J270"/>
  <c i="2" r="J282"/>
  <c i="2" r="U252"/>
  <c i="2" r="U263" s="1"/>
  <c i="2" r="S263"/>
  <c i="2" r="J336"/>
  <c i="2" r="M336" s="1"/>
  <c i="2" r="N336" s="1"/>
  <c i="2" r="L294"/>
  <c i="2" r="L282"/>
  <c i="2" r="S253"/>
  <c i="2" r="U253" s="1"/>
  <c i="2" r="L295"/>
  <c i="2" r="L283"/>
  <c i="2" r="E277"/>
  <c i="2" r="E334"/>
  <c i="2" r="F333"/>
  <c i="2" r="F334" s="1"/>
  <c i="2" r="F335" s="1"/>
  <c i="2" r="F336" s="1"/>
  <c i="2" r="F337" s="1"/>
  <c i="2" r="F338" s="1"/>
  <c i="2" r="F339" s="1"/>
  <c i="2" r="F340" s="1"/>
  <c i="2" r="P333"/>
  <c i="2" r="S254"/>
  <c i="2" r="U254" s="1"/>
  <c i="2" r="X255"/>
  <c i="2" r="F295"/>
  <c i="2" r="F296" s="1"/>
  <c i="2" r="F297" s="1"/>
  <c i="2" r="F298" s="1"/>
  <c i="2" r="F299" s="1"/>
  <c i="2" r="F300" s="1"/>
  <c i="2" r="F301" s="1"/>
  <c i="2" r="T254"/>
  <c i="2" r="I333"/>
  <c i="2" r="M333" s="1"/>
  <c i="2" r="N333" s="1"/>
  <c i="2" r="G276"/>
  <c i="2" r="G352"/>
  <c i="2" r="G338"/>
  <c i="2" r="G287"/>
  <c i="2" r="G299" s="1"/>
  <c i="2" r="M335"/>
  <c i="2" r="J335"/>
  <c i="2" r="F269"/>
  <c i="2" r="F253"/>
  <c i="2" r="Q346"/>
  <c i="2" r="L298"/>
  <c i="2" r="L286"/>
  <c i="2" r="R253"/>
  <c i="2" r="N339"/>
  <c i="2" r="G339"/>
  <c i="2" r="G288"/>
  <c i="2" r="G300" s="1"/>
  <c i="2" r="L297"/>
  <c i="2" r="L285"/>
  <c i="2" r="L296"/>
  <c i="2" r="L284"/>
  <c i="2" l="1" r="X256"/>
  <c i="2" r="S255"/>
  <c i="2" r="U255" s="1"/>
  <c i="2" r="J294"/>
  <c i="2" r="J283"/>
  <c i="2" r="F270"/>
  <c i="2" r="F254"/>
  <c i="2" r="N346"/>
  <c i="2" r="J271"/>
  <c i="2" r="W256"/>
  <c i="2" r="R255"/>
  <c i="2" r="T255"/>
  <c i="2" r="G340"/>
  <c i="2" r="N340" s="1"/>
  <c i="2" r="G289"/>
  <c i="2" r="G301" s="1"/>
  <c i="2" r="P345"/>
  <c i="2" r="X333"/>
  <c i="2" r="W333"/>
  <c i="2" r="B255"/>
  <c i="2" r="AC255"/>
  <c i="2" r="AD255" s="1"/>
  <c i="2" r="F282"/>
  <c i="2" r="M269"/>
  <c i="2" r="M277" s="1"/>
  <c i="2" r="K269"/>
  <c i="2" r="T270" s="1"/>
  <c i="2" r="M346"/>
  <c i="2" r="I271"/>
  <c i="2" r="N335"/>
  <c i="2" r="T333"/>
  <c i="2" r="E346"/>
  <c i="2" r="P334"/>
  <c i="2" r="E335"/>
  <c i="2" l="1" r="W345"/>
  <c i="2" r="X345"/>
  <c i="2" r="T345"/>
  <c i="2" r="F271"/>
  <c i="2" r="F255"/>
  <c i="2" r="N270"/>
  <c i="2" r="M270"/>
  <c i="2" r="F283"/>
  <c i="2" r="K270"/>
  <c i="2" r="P346"/>
  <c i="2" r="W334"/>
  <c i="2" r="N269"/>
  <c i="2" r="J295"/>
  <c i="2" r="J284"/>
  <c i="2" r="P335"/>
  <c i="2" r="E336"/>
  <c i="2" r="E347"/>
  <c i="2" r="B256"/>
  <c i="2" r="AC256"/>
  <c i="2" r="AD256" s="1"/>
  <c i="2" r="R256"/>
  <c i="2" r="T256"/>
  <c i="2" r="W257"/>
  <c i="2" r="X257"/>
  <c i="2" r="S256"/>
  <c i="2" r="U256" s="1"/>
  <c i="2" r="M347"/>
  <c i="2" r="I272"/>
  <c i="2" r="V333"/>
  <c i="2" r="Y333"/>
  <c i="2" r="BH333" s="1"/>
  <c i="2" r="N347"/>
  <c i="2" r="J272"/>
  <c i="2" l="1" r="BE334"/>
  <c i="2" r="AC334"/>
  <c i="2" r="AD334" s="1"/>
  <c i="2" r="AG334" s="1"/>
  <c i="2" r="BI333"/>
  <c i="2" r="K294" s="1"/>
  <c i="2" r="Z334"/>
  <c i="2" r="BD334" s="1"/>
  <c i="2" r="M348"/>
  <c i="2" r="I273"/>
  <c i="2" r="AC257"/>
  <c i="2" r="AD257" s="1"/>
  <c i="2" r="B257"/>
  <c i="2" r="V334"/>
  <c i="2" r="AE334"/>
  <c i="2" r="AH334" s="1"/>
  <c i="2" r="AF334"/>
  <c i="2" r="AI334" s="1"/>
  <c i="2" r="AK334" s="1"/>
  <c i="2" r="F272"/>
  <c i="2" r="F256"/>
  <c i="2" r="F284"/>
  <c i="2" r="M271"/>
  <c i="2" r="K271"/>
  <c i="2" r="N271" s="1"/>
  <c i="2" r="E348"/>
  <c i="2" r="P336"/>
  <c i="2" r="E337"/>
  <c i="2" r="X258"/>
  <c i="2" r="S257"/>
  <c i="2" r="U257" s="1"/>
  <c i="2" r="P347"/>
  <c i="2" r="W335"/>
  <c i="2" r="W346"/>
  <c i="2" r="N348"/>
  <c i="2" r="J273"/>
  <c i="2" r="R257"/>
  <c i="2" r="W258"/>
  <c i="2" r="T257"/>
  <c i="2" r="J296"/>
  <c i="2" r="J285"/>
  <c i="2" r="V345"/>
  <c i="2" r="Y345"/>
  <c i="2" r="BH345" s="1"/>
  <c i="2" l="1" r="X259"/>
  <c i="2" r="S258"/>
  <c i="2" r="U258" s="1"/>
  <c i="2" r="F273"/>
  <c i="2" r="F257"/>
  <c i="2" r="V346"/>
  <c i="2" r="AE346"/>
  <c i="2" r="AH346" s="1"/>
  <c i="2" r="E349"/>
  <c i="2" r="E338"/>
  <c i="2" r="P337"/>
  <c i="2" r="M272"/>
  <c i="2" r="F285"/>
  <c i="2" r="K272"/>
  <c i="2" r="N272" s="1"/>
  <c i="2" r="R258"/>
  <c i="2" r="T258"/>
  <c i="2" r="P348"/>
  <c i="2" r="W336"/>
  <c i="2" r="AJ334"/>
  <c i="2" r="AR334"/>
  <c i="2" r="N349"/>
  <c i="2" r="J274"/>
  <c i="2" r="V335"/>
  <c i="2" r="AE335"/>
  <c i="2" r="AH335"/>
  <c i="2" r="BI345"/>
  <c i="2" r="K282" s="1"/>
  <c i="2" r="BE346"/>
  <c i="2" r="AC346"/>
  <c i="2" r="AD346" s="1"/>
  <c i="2" r="AG346" s="1"/>
  <c i="2" r="Z346"/>
  <c i="2" r="BD346" s="1"/>
  <c i="2" r="B258"/>
  <c i="2" r="AC258"/>
  <c i="2" r="AD258" s="1"/>
  <c i="2" r="W347"/>
  <c i="2" r="AN334"/>
  <c i="2" r="AO334" s="1"/>
  <c i="2" r="AQ334" s="1"/>
  <c i="2" r="J297"/>
  <c i="2" r="J286"/>
  <c i="2" r="M349"/>
  <c i="2" r="I274"/>
  <c i="2" l="1" r="AF346"/>
  <c i="2" r="AI346" s="1"/>
  <c i="2" r="AK346" s="1"/>
  <c i="2" r="F274"/>
  <c i="2" r="F258"/>
  <c i="2" r="F275" s="1"/>
  <c i="2" r="AC259"/>
  <c i="2" r="AD259" s="1"/>
  <c i="2" r="B259"/>
  <c i="2" r="N350"/>
  <c i="2" r="J275"/>
  <c i="2" r="V336"/>
  <c i="2" r="AH336"/>
  <c i="2" r="AE336"/>
  <c i="2" r="M273"/>
  <c i="2" r="F286"/>
  <c i="2" r="K273"/>
  <c i="2" r="N273" s="1"/>
  <c i="2" r="M350"/>
  <c i="2" r="I275"/>
  <c i="2" r="W348"/>
  <c i="2" r="P349"/>
  <c i="2" r="W337"/>
  <c i="2" r="E339"/>
  <c i="2" r="P338"/>
  <c i="2" r="E350"/>
  <c i="2" r="X260"/>
  <c i="2" r="S259"/>
  <c i="2" r="U259" s="1"/>
  <c i="2" r="J298"/>
  <c i="2" r="J287"/>
  <c i="2" r="V347"/>
  <c i="2" r="AH347"/>
  <c i="2" r="AE347"/>
  <c i="2" r="AP334"/>
  <c i="2" r="AS334" s="1"/>
  <c i="2" r="AT334" s="1"/>
  <c i="2" l="1" r="X261"/>
  <c i="2" r="S261" s="1"/>
  <c i="2" r="U261" s="1"/>
  <c i="2" r="S260"/>
  <c i="2" r="U260" s="1"/>
  <c i="2" r="BA334"/>
  <c i="2" r="AW334"/>
  <c i="2" r="AX334" s="1"/>
  <c i="2" r="AZ334" s="1"/>
  <c i="2" r="W349"/>
  <c i="2" r="B260"/>
  <c i="2" r="AC260"/>
  <c i="2" r="AD260" s="1"/>
  <c i="2" r="P350"/>
  <c i="2" r="W338"/>
  <c i="2" r="P339"/>
  <c i="2" r="E351"/>
  <c i="2" r="E340"/>
  <c i="2" r="F288"/>
  <c i="2" r="K275"/>
  <c i="2" r="N275" s="1"/>
  <c i="2" r="N277" s="1"/>
  <c i="2" r="M275"/>
  <c i="2" r="V348"/>
  <c i="2" r="AH348"/>
  <c i="2" r="AE348"/>
  <c i="2" r="F287"/>
  <c i="2" r="K274"/>
  <c i="2" r="N274" s="1"/>
  <c i="2" r="M274"/>
  <c i="2" r="J299"/>
  <c i="2" r="J288"/>
  <c i="2" r="M351"/>
  <c i="2" r="I276"/>
  <c i="2" r="M352" s="1"/>
  <c i="2" r="AJ346"/>
  <c i="2" r="AR346"/>
  <c i="2" r="AN346"/>
  <c i="2" r="AO346" s="1"/>
  <c i="2" r="AQ346" s="1"/>
  <c i="2" r="V337"/>
  <c i="2" r="AE337"/>
  <c i="2" r="AH337"/>
  <c i="2" r="N351"/>
  <c i="2" r="J276"/>
  <c i="2" l="1" r="AP346"/>
  <c i="2" r="AS346" s="1"/>
  <c i="2" r="AT346" s="1"/>
  <c i="2" r="V338"/>
  <c i="2" r="AH338"/>
  <c i="2" r="AE338"/>
  <c i="2" r="N352"/>
  <c i="2" r="K276"/>
  <c i="2" r="W350"/>
  <c i="2" r="E352"/>
  <c i="2" r="P340"/>
  <c i="2" r="AY334"/>
  <c i="2" r="BB334" s="1"/>
  <c i="2" r="BC334" s="1"/>
  <c i="2" r="J300"/>
  <c i="2" r="J289"/>
  <c i="2" r="J301" s="1"/>
  <c i="2" r="P351"/>
  <c i="2" r="W339"/>
  <c i="2" r="B261"/>
  <c i="2" r="B262" s="1"/>
  <c i="2" r="AC261"/>
  <c i="2" r="AD261" s="1"/>
  <c i="2" r="AD263" s="1"/>
  <c i="2" r="AC263" s="1"/>
  <c i="2" r="V349"/>
  <c i="2" r="AE349"/>
  <c i="2" r="AH349"/>
  <c i="2" l="1" r="V339"/>
  <c i="2" r="AH339"/>
  <c i="2" r="AE339"/>
  <c i="2" r="BF334"/>
  <c i="2" r="BH334" s="1"/>
  <c i="2" r="BG334"/>
  <c i="2" r="P352"/>
  <c i="2" r="W340"/>
  <c i="2" r="W351"/>
  <c i="2" r="V350"/>
  <c i="2" r="AE350"/>
  <c i="2" r="AH350"/>
  <c i="2" r="BA346"/>
  <c i="2" r="AW346"/>
  <c i="2" r="AX346" s="1"/>
  <c i="2" r="AZ346" s="1"/>
  <c i="2" l="1" r="W352"/>
  <c i="2" r="AC335"/>
  <c i="2" r="AD335" s="1"/>
  <c i="2" r="BI334"/>
  <c i="2" r="K295" s="1"/>
  <c i="2" r="Z335"/>
  <c i="2" r="V351"/>
  <c i="2" r="AH351"/>
  <c i="2" r="AE351"/>
  <c i="2" r="V340"/>
  <c i="2" r="AH340"/>
  <c i="2" r="AE340"/>
  <c i="2" r="AY346"/>
  <c i="2" r="BB346" s="1"/>
  <c i="2" r="BC346" s="1"/>
  <c i="2" l="1" r="AG335"/>
  <c i="2" r="AF335"/>
  <c i="2" r="AI335" s="1"/>
  <c i="2" r="AK335" s="1"/>
  <c i="2" r="V352"/>
  <c i="2" r="AH352"/>
  <c i="2" r="AE352"/>
  <c i="2" r="BG346"/>
  <c i="2" r="BF346"/>
  <c i="2" r="BH346" s="1"/>
  <c i="2" l="1" r="AJ335"/>
  <c i="2" r="AR335"/>
  <c i="2" r="AN335"/>
  <c i="2" r="AO335" s="1"/>
  <c i="2" r="BI346"/>
  <c i="2" r="K283" s="1"/>
  <c i="2" r="AC347"/>
  <c i="2" r="AD347" s="1"/>
  <c i="2" l="1" r="AG347"/>
  <c i="2" r="AF347"/>
  <c i="2" r="AI347" s="1"/>
  <c i="2" r="AK347" s="1"/>
  <c i="2" r="AQ335"/>
  <c i="2" r="AP335"/>
  <c i="2" r="AS335" s="1"/>
  <c i="2" r="AT335" s="1"/>
  <c i="2" l="1" r="BA335"/>
  <c i="2" r="AW335"/>
  <c i="2" r="AX335" s="1"/>
  <c i="2" r="AJ347"/>
  <c i="2" r="AR347"/>
  <c i="2" r="AN347"/>
  <c i="2" r="AO347" s="1"/>
  <c i="2" l="1" r="AZ335"/>
  <c i="2" r="AY335"/>
  <c i="2" r="BB335" s="1"/>
  <c i="2" r="BC335" s="1"/>
  <c i="2" r="BH335" s="1"/>
  <c i="2" r="AQ347"/>
  <c i="2" r="AP347"/>
  <c i="2" r="AS347" s="1"/>
  <c i="2" r="AT347" s="1"/>
  <c i="2" l="1" r="BI335"/>
  <c i="2" r="K296" s="1"/>
  <c i="2" r="AC336"/>
  <c i="2" r="AD336" s="1"/>
  <c i="2" r="Z336"/>
  <c i="2" r="BA347"/>
  <c i="2" r="AW347"/>
  <c i="2" r="AX347" s="1"/>
  <c i="2" l="1" r="AZ347"/>
  <c i="2" r="AY347"/>
  <c i="2" r="BB347" s="1"/>
  <c i="2" r="BC347" s="1"/>
  <c i="2" r="BH347" s="1"/>
  <c i="2" r="AG336"/>
  <c i="2" r="AF336"/>
  <c i="2" r="AI336" s="1"/>
  <c i="2" r="AK336" s="1"/>
  <c i="2" l="1" r="BI347"/>
  <c i="2" r="K284" s="1"/>
  <c i="2" r="AC348"/>
  <c i="2" r="AD348" s="1"/>
  <c i="2" r="AJ336"/>
  <c i="2" r="AR336"/>
  <c i="2" r="AN336"/>
  <c i="2" r="AO336" s="1"/>
  <c i="2" l="1" r="AQ336"/>
  <c i="2" r="AP336"/>
  <c i="2" r="AS336" s="1"/>
  <c i="2" r="AT336" s="1"/>
  <c i="2" r="AG348"/>
  <c i="2" r="AF348"/>
  <c i="2" r="AI348" s="1"/>
  <c i="2" r="AK348" s="1"/>
  <c i="2" l="1" r="AJ348"/>
  <c i="2" r="AR348"/>
  <c i="2" r="AN348"/>
  <c i="2" r="AO348" s="1"/>
  <c i="2" r="BA336"/>
  <c i="2" r="AW336"/>
  <c i="2" r="AX336" s="1"/>
  <c i="2" l="1" r="AZ336"/>
  <c i="2" r="AY336"/>
  <c i="2" r="BB336" s="1"/>
  <c i="2" r="BC336" s="1"/>
  <c i="2" r="BH336" s="1"/>
  <c i="2" r="AQ348"/>
  <c i="2" r="AP348"/>
  <c i="2" r="AS348" s="1"/>
  <c i="2" r="AT348" s="1"/>
  <c i="2" l="1" r="BA348"/>
  <c i="2" r="AW348"/>
  <c i="2" r="AX348" s="1"/>
  <c i="2" r="BI336"/>
  <c i="2" r="K297" s="1"/>
  <c i="2" r="AC337"/>
  <c i="2" r="AD337" s="1"/>
  <c i="2" r="Z337"/>
  <c i="2" l="1" r="AG337"/>
  <c i="2" r="AF337"/>
  <c i="2" r="AI337" s="1"/>
  <c i="2" r="AK337" s="1"/>
  <c i="2" r="AZ348"/>
  <c i="2" r="AY348"/>
  <c i="2" r="BB348" s="1"/>
  <c i="2" r="BC348" s="1"/>
  <c i="2" r="BH348" s="1"/>
  <c i="2" l="1" r="BI348"/>
  <c i="2" r="K285" s="1"/>
  <c i="2" r="AC349"/>
  <c i="2" r="AD349" s="1"/>
  <c i="2" r="AJ337"/>
  <c i="2" r="AR337"/>
  <c i="2" r="AN337"/>
  <c i="2" r="AO337" s="1"/>
  <c i="2" l="1" r="AG349"/>
  <c i="2" r="AF349"/>
  <c i="2" r="AI349" s="1"/>
  <c i="2" r="AK349" s="1"/>
  <c i="2" r="AQ337"/>
  <c i="2" r="AP337"/>
  <c i="2" r="AS337" s="1"/>
  <c i="2" r="AT337" s="1"/>
  <c i="2" l="1" r="AJ349"/>
  <c i="2" r="AR349"/>
  <c i="2" r="AN349"/>
  <c i="2" r="AO349" s="1"/>
  <c i="2" r="BA337"/>
  <c i="2" r="AW337"/>
  <c i="2" r="AX337" s="1"/>
  <c i="2" l="1" r="AZ337"/>
  <c i="2" r="AY337"/>
  <c i="2" r="BB337" s="1"/>
  <c i="2" r="BC337" s="1"/>
  <c i="2" r="BH337" s="1"/>
  <c i="2" r="AQ349"/>
  <c i="2" r="AP349"/>
  <c i="2" r="AS349" s="1"/>
  <c i="2" r="AT349" s="1"/>
  <c i="2" l="1" r="AC338"/>
  <c i="2" r="AD338" s="1"/>
  <c i="2" r="BI337"/>
  <c i="2" r="K298" s="1"/>
  <c i="2" r="Z338"/>
  <c i="2" r="BA349"/>
  <c i="2" r="AW349"/>
  <c i="2" r="AX349" s="1"/>
  <c i="2" l="1" r="AZ349"/>
  <c i="2" r="AY349"/>
  <c i="2" r="BB349" s="1"/>
  <c i="2" r="BC349" s="1"/>
  <c i="2" r="BH349" s="1"/>
  <c i="2" r="AG338"/>
  <c i="2" r="AF338"/>
  <c i="2" r="AI338" s="1"/>
  <c i="2" r="AK338" s="1"/>
  <c i="2" l="1" r="AJ338"/>
  <c i="2" r="AR338"/>
  <c i="2" r="AN338"/>
  <c i="2" r="AO338" s="1"/>
  <c i="2" r="AC350"/>
  <c i="2" r="AD350" s="1"/>
  <c i="2" r="BI349"/>
  <c i="2" r="K286" s="1"/>
  <c i="2" l="1" r="AQ338"/>
  <c i="2" r="AP338"/>
  <c i="2" r="AS338" s="1"/>
  <c i="2" r="AT338" s="1"/>
  <c i="2" r="AG350"/>
  <c i="2" r="AF350"/>
  <c i="2" r="AI350" s="1"/>
  <c i="2" r="AK350" s="1"/>
  <c i="2" l="1" r="BA338"/>
  <c i="2" r="AW338"/>
  <c i="2" r="AX338" s="1"/>
  <c i="2" r="AJ350"/>
  <c i="2" r="AR350"/>
  <c i="2" r="AN350"/>
  <c i="2" r="AO350" s="1"/>
  <c i="2" l="1" r="AQ350"/>
  <c i="2" r="AP350"/>
  <c i="2" r="AS350" s="1"/>
  <c i="2" r="AT350" s="1"/>
  <c i="2" r="AZ338"/>
  <c i="2" r="AY338"/>
  <c i="2" r="BB338" s="1"/>
  <c i="2" r="BC338" s="1"/>
  <c i="2" r="BH338" s="1"/>
  <c i="2" l="1" r="AC339"/>
  <c i="2" r="AD339" s="1"/>
  <c i="2" r="BI338"/>
  <c i="2" r="K299" s="1"/>
  <c i="2" r="Z339"/>
  <c i="2" r="BA350"/>
  <c i="2" r="AW350"/>
  <c i="2" r="AX350" s="1"/>
  <c i="2" l="1" r="AZ350"/>
  <c i="2" r="AY350"/>
  <c i="2" r="BB350" s="1"/>
  <c i="2" r="BC350" s="1"/>
  <c i="2" r="BH350" s="1"/>
  <c i="2" r="AG339"/>
  <c i="2" r="AF339"/>
  <c i="2" r="AI339" s="1"/>
  <c i="2" r="AK339" s="1"/>
  <c i="2" l="1" r="AJ339"/>
  <c i="2" r="AR339"/>
  <c i="2" r="AN339"/>
  <c i="2" r="AO339" s="1"/>
  <c i="2" r="BI350"/>
  <c i="2" r="K287" s="1"/>
  <c i="2" r="AC351"/>
  <c i="2" r="AD351" s="1"/>
  <c i="2" l="1" r="AG351"/>
  <c i="2" r="AF351"/>
  <c i="2" r="AI351" s="1"/>
  <c i="2" r="AK351" s="1"/>
  <c i="2" r="AQ339"/>
  <c i="2" r="AP339"/>
  <c i="2" r="AS339" s="1"/>
  <c i="2" r="AT339" s="1"/>
  <c i="2" l="1" r="BA339"/>
  <c i="2" r="AW339"/>
  <c i="2" r="AX339" s="1"/>
  <c i="2" r="AJ351"/>
  <c i="2" r="AR351"/>
  <c i="2" r="AN351"/>
  <c i="2" r="AO351" s="1"/>
  <c i="2" l="1" r="AQ351"/>
  <c i="2" r="AP351"/>
  <c i="2" r="AS351" s="1"/>
  <c i="2" r="AT351" s="1"/>
  <c i="2" r="AZ339"/>
  <c i="2" r="AY339"/>
  <c i="2" r="BB339" s="1"/>
  <c i="2" r="BC339" s="1"/>
  <c i="2" r="BH339" s="1"/>
  <c i="2" l="1" r="BI339"/>
  <c i="2" r="K300" s="1"/>
  <c i="2" r="AC340"/>
  <c i="2" r="AD340" s="1"/>
  <c i="2" r="Z340"/>
  <c i="2" r="BA351"/>
  <c i="2" r="AW351"/>
  <c i="2" r="AX351" s="1"/>
  <c i="2" l="1" r="AZ351"/>
  <c i="2" r="AY351"/>
  <c i="2" r="BB351" s="1"/>
  <c i="2" r="BC351" s="1"/>
  <c i="2" r="BH351" s="1"/>
  <c i="2" r="AG340"/>
  <c i="2" r="AF340"/>
  <c i="2" r="AI340" s="1"/>
  <c i="2" r="AK340" s="1"/>
  <c i="2" l="1" r="AJ340"/>
  <c i="2" r="AR340"/>
  <c i="2" r="AN340"/>
  <c i="2" r="AO340" s="1"/>
  <c i="2" r="BI351"/>
  <c i="2" r="K288" s="1"/>
  <c i="2" r="AC352"/>
  <c i="2" r="AD352" s="1"/>
  <c i="2" l="1" r="AQ340"/>
  <c i="2" r="AP340"/>
  <c i="2" r="AS340" s="1"/>
  <c i="2" r="AT340" s="1"/>
  <c i="2" r="AG352"/>
  <c i="2" r="AF352"/>
  <c i="2" r="AI352" s="1"/>
  <c i="2" r="AK352" s="1"/>
  <c i="2" l="1" r="AJ352"/>
  <c i="2" r="AR352"/>
  <c i="2" r="AN352"/>
  <c i="2" r="AO352" s="1"/>
  <c i="2" r="BA340"/>
  <c i="2" r="AW340"/>
  <c i="2" r="AX340" s="1"/>
  <c i="2" l="1" r="AQ352"/>
  <c i="2" r="AP352"/>
  <c i="2" r="AS352" s="1"/>
  <c i="2" r="AT352" s="1"/>
  <c i="2" r="AZ340"/>
  <c i="2" r="AY340"/>
  <c i="2" r="BB340" s="1"/>
  <c i="2" r="BC340" s="1"/>
  <c i="2" r="BH340" s="1"/>
  <c i="2" r="BI340" s="1"/>
  <c i="2" r="K301" s="1"/>
  <c i="2" l="1" r="BA352"/>
  <c i="2" r="AW352"/>
  <c i="2" r="AX352" s="1"/>
  <c i="2" l="1" r="AZ352"/>
  <c i="2" r="AY352"/>
  <c i="2" r="BB352" s="1"/>
  <c i="2" r="BC352" s="1"/>
  <c i="2" r="BH352" s="1"/>
  <c i="2" r="BI352" s="1"/>
  <c i="2" r="K289" s="1"/>
</calcChain>
</file>

<file path=xl/sharedStrings.xml><?xml version="1.0" encoding="utf-8"?>
<sst xmlns="http://schemas.openxmlformats.org/spreadsheetml/2006/main" count="1157" uniqueCount="639">
  <si>
    <t>Shell Distortion Assessment</t>
  </si>
  <si>
    <t>Given:</t>
  </si>
  <si>
    <t>Variable Identifier</t>
  </si>
  <si>
    <t>Description</t>
  </si>
  <si>
    <t>Value</t>
  </si>
  <si>
    <t>Reference</t>
  </si>
  <si>
    <t>H</t>
  </si>
  <si>
    <t>Fill height (ft)</t>
  </si>
  <si>
    <t>Measured from the base of each shell course (see column H in the table below)</t>
  </si>
  <si>
    <t>D</t>
  </si>
  <si>
    <t>Tank Diameter (ft)</t>
  </si>
  <si>
    <t>G</t>
  </si>
  <si>
    <t>Specific Gravity</t>
  </si>
  <si>
    <t>S</t>
  </si>
  <si>
    <t>Allow stress (psi)</t>
  </si>
  <si>
    <t>Varies</t>
  </si>
  <si>
    <t>Reference API 653 Table 4-1</t>
  </si>
  <si>
    <t>E</t>
  </si>
  <si>
    <t>Joint Efficiency</t>
  </si>
  <si>
    <t>Reference API 653 table 4.2 for Welded and 4.3 for Riveted construction</t>
  </si>
  <si>
    <t>M</t>
  </si>
  <si>
    <t>Temp Modifier</t>
  </si>
  <si>
    <t>Reference API 650 Appendix M Elevated temperature modifier</t>
  </si>
  <si>
    <t>Table for Calculating minimum shell thickness (t min) for each shell course</t>
  </si>
  <si>
    <t>Shell Plumbness Criteira</t>
  </si>
  <si>
    <t>Roundness Criteria (1-ft above shell) (in)</t>
  </si>
  <si>
    <t>height from laser (ft)</t>
  </si>
  <si>
    <t>Actual</t>
  </si>
  <si>
    <t>Solution</t>
  </si>
  <si>
    <t>Allowable Plumbness (in)</t>
  </si>
  <si>
    <t>Does the tank have an IFR?</t>
  </si>
  <si>
    <t>New Tank?</t>
  </si>
  <si>
    <t>Full Shell Height Plumbness Criteria (in)</t>
  </si>
  <si>
    <t>Course</t>
  </si>
  <si>
    <t>Product 
Height 
Above 
Course</t>
  </si>
  <si>
    <t>Type of 
Joint for
each Course</t>
  </si>
  <si>
    <t>Joint Eff
API 653 Tbl 4.2 and 4.3</t>
  </si>
  <si>
    <t>Material Type
or Unknown
Welded or Riveted</t>
  </si>
  <si>
    <t>Maximum 
Allowable Stress</t>
  </si>
  <si>
    <t>Req'd
t min</t>
  </si>
  <si>
    <t>Minimum
Thickness
for Course</t>
  </si>
  <si>
    <t>Actual
Vs
Req'd</t>
  </si>
  <si>
    <t>(in)</t>
  </si>
  <si>
    <t>(ft)</t>
  </si>
  <si>
    <t>%</t>
  </si>
  <si>
    <t>(psi)</t>
  </si>
  <si>
    <t>OK?</t>
  </si>
  <si>
    <t>Butt Weld 100%</t>
  </si>
  <si>
    <t>A 573 70</t>
  </si>
  <si>
    <t>No</t>
  </si>
  <si>
    <t>A 36</t>
  </si>
  <si>
    <t>Allowances:</t>
  </si>
  <si>
    <t>Total</t>
  </si>
  <si>
    <t>Type</t>
  </si>
  <si>
    <t>Height (ft)</t>
  </si>
  <si>
    <t>Arc Length (ft)</t>
  </si>
  <si>
    <t>Arc Length (Degrees)</t>
  </si>
  <si>
    <t>Arc Length (in)</t>
  </si>
  <si>
    <t>Inward</t>
  </si>
  <si>
    <t>API 650 or API 653 Individual Shell Course Plumbness Requirement</t>
  </si>
  <si>
    <t>Shell Course Thickness Range (in)</t>
  </si>
  <si>
    <t xml:space="preserve">ASTM A6, Table 13, Permitted Variations from a flat surface (shell course heigh, ft) </t>
  </si>
  <si>
    <t>API 650 7.5.2.b Full Height of Shell Plumbness Requirement (in)</t>
  </si>
  <si>
    <t>in</t>
  </si>
  <si>
    <t>API 653 10.5.2.1  Full Height of Shell Plumbness Requirement, 1/100 of shell or 5-in max  (in)</t>
  </si>
  <si>
    <t>no</t>
  </si>
  <si>
    <t>api 653</t>
  </si>
  <si>
    <t>ft</t>
  </si>
  <si>
    <t>yes</t>
  </si>
  <si>
    <t>min max</t>
  </si>
  <si>
    <t>api 650</t>
  </si>
  <si>
    <t>API 650 Roundness Requirement Section 1-ft above shell 7.5.3</t>
  </si>
  <si>
    <t>API 653 Roundness Requirement Section 1-ft above shell 10.5.3</t>
  </si>
  <si>
    <t>Radii Tolerance</t>
  </si>
  <si>
    <t>3x Tolerance</t>
  </si>
  <si>
    <t>&lt;40</t>
  </si>
  <si>
    <t>40 to 150</t>
  </si>
  <si>
    <t>150 to 250</t>
  </si>
  <si>
    <t>250 Greater</t>
  </si>
  <si>
    <t>API 650 H.4.4.3 Radii Requirements</t>
  </si>
  <si>
    <t>Elevation +/- (in):</t>
  </si>
  <si>
    <t>API 650 Peaking Banding (Local Deviations) 7.5.4</t>
  </si>
  <si>
    <t>API 653  Peaking Banding (Local Deviations) 10.5.4</t>
  </si>
  <si>
    <t>Location Size:</t>
  </si>
  <si>
    <t>Peaking (vertical joint), in:</t>
  </si>
  <si>
    <t>Banding (horizontal joint), in:</t>
  </si>
  <si>
    <t>`</t>
  </si>
  <si>
    <t>Shell Corrosion Rate Calculations API 653 6.3</t>
  </si>
  <si>
    <t>Date(s)</t>
  </si>
  <si>
    <t>A</t>
  </si>
  <si>
    <t>B</t>
  </si>
  <si>
    <t>RCA/4N Next External
API 653 6.3.2</t>
  </si>
  <si>
    <t>RCA/2N Next UT
Inspection
API 653 6.3.3</t>
  </si>
  <si>
    <t>Year
Built or Replaced</t>
  </si>
  <si>
    <t>Inspection Year</t>
  </si>
  <si>
    <t>Thickness</t>
  </si>
  <si>
    <t>Measured</t>
  </si>
  <si>
    <t>Calculated</t>
  </si>
  <si>
    <t>Prev</t>
  </si>
  <si>
    <t>Current</t>
  </si>
  <si>
    <t>As Built</t>
  </si>
  <si>
    <t>t min</t>
  </si>
  <si>
    <t>(yr)</t>
  </si>
  <si>
    <t>RCA = The difference between the measured thickness and the minimum required thickness (in per year are used in this calculation) ref API 653 6.3.2.1</t>
  </si>
  <si>
    <t>*Note: Next External API 653 and UT Inspection calculation(s) not applicable because the tank is coated inside and out reducing the corrosion rate to 0.</t>
  </si>
  <si>
    <t>SHELL THICKNESS CALCULATOR &lt;200 ft Dia</t>
  </si>
  <si>
    <t>API 653</t>
  </si>
  <si>
    <t>Appendix M</t>
  </si>
  <si>
    <t>Owner</t>
  </si>
  <si>
    <t>Newest Bottom</t>
  </si>
  <si>
    <t>Look up</t>
  </si>
  <si>
    <t>&lt;45</t>
  </si>
  <si>
    <t>&lt;=45 and &lt;55</t>
  </si>
  <si>
    <t>&gt;=55</t>
  </si>
  <si>
    <t>Location</t>
  </si>
  <si>
    <t>Cir (ft)</t>
  </si>
  <si>
    <t>Joint Efficiency Based on Construction Date</t>
  </si>
  <si>
    <t>Tank Number</t>
  </si>
  <si>
    <t>Suggested API standard</t>
  </si>
  <si>
    <t>note: Use 85% for Tri-Pan Weld Inspection</t>
  </si>
  <si>
    <t>(D)iameter (ft)</t>
  </si>
  <si>
    <t>gallons</t>
  </si>
  <si>
    <t>BBLS</t>
  </si>
  <si>
    <t>tons</t>
  </si>
  <si>
    <t>lbs.</t>
  </si>
  <si>
    <t>Suggested Welded Joint Eff.</t>
  </si>
  <si>
    <t>Shell Height (ft)</t>
  </si>
  <si>
    <t>Fill (H)eight (ft)</t>
  </si>
  <si>
    <t>Product Type</t>
  </si>
  <si>
    <t>Spec (G)ravity</t>
  </si>
  <si>
    <t>Suggested Specific Gravity</t>
  </si>
  <si>
    <t>Year Built</t>
  </si>
  <si>
    <t>Corrosion Allow (CA)</t>
  </si>
  <si>
    <t>Operating Temp</t>
  </si>
  <si>
    <t>API 650 Appendix M Temperature Modifier</t>
  </si>
  <si>
    <t>.</t>
  </si>
  <si>
    <t>Height (H)</t>
  </si>
  <si>
    <t>API 653 Joint Efficiency
Table 4.2 Welded &amp; 4.3 Rivet</t>
  </si>
  <si>
    <t>Stress</t>
  </si>
  <si>
    <t>Surplus</t>
  </si>
  <si>
    <t>Next Inspection</t>
  </si>
  <si>
    <t>Estimated or As built</t>
  </si>
  <si>
    <t>Max G</t>
  </si>
  <si>
    <t>Fill Height</t>
  </si>
  <si>
    <t>Shell</t>
  </si>
  <si>
    <t>Product</t>
  </si>
  <si>
    <t>Material</t>
  </si>
  <si>
    <t>Cor Rate</t>
  </si>
  <si>
    <t>Next</t>
  </si>
  <si>
    <t>Pass/</t>
  </si>
  <si>
    <t>Orig Thickness</t>
  </si>
  <si>
    <t>Fill</t>
  </si>
  <si>
    <t>Max Fill</t>
  </si>
  <si>
    <t>Hydro</t>
  </si>
  <si>
    <t>Yield</t>
  </si>
  <si>
    <t>Tensile</t>
  </si>
  <si>
    <t>Weight of Shell</t>
  </si>
  <si>
    <t>CG</t>
  </si>
  <si>
    <t>Wt x CG</t>
  </si>
  <si>
    <t>Joint Type</t>
  </si>
  <si>
    <t>psi</t>
  </si>
  <si>
    <t>in/year</t>
  </si>
  <si>
    <t>years</t>
  </si>
  <si>
    <t>Fail?</t>
  </si>
  <si>
    <t>Height</t>
  </si>
  <si>
    <t>Given (g)</t>
  </si>
  <si>
    <t>(g) = 1</t>
  </si>
  <si>
    <t>(lbs)</t>
  </si>
  <si>
    <t>(ft-lbs)</t>
  </si>
  <si>
    <t>Btm</t>
  </si>
  <si>
    <t>Pass</t>
  </si>
  <si>
    <t xml:space="preserve">Pass </t>
  </si>
  <si>
    <t>Top Angle</t>
  </si>
  <si>
    <t>Sum</t>
  </si>
  <si>
    <t>API 650</t>
  </si>
  <si>
    <t>Corr</t>
  </si>
  <si>
    <t>Allowable Stress</t>
  </si>
  <si>
    <t>API 650 Fill Height</t>
  </si>
  <si>
    <t>Joint</t>
  </si>
  <si>
    <t>Allow</t>
  </si>
  <si>
    <t>Design</t>
  </si>
  <si>
    <t>Annular Plate API 650 5.5.3</t>
  </si>
  <si>
    <t>1st course stress</t>
  </si>
  <si>
    <t>Dsn</t>
  </si>
  <si>
    <t>Max</t>
  </si>
  <si>
    <t xml:space="preserve">Thick </t>
  </si>
  <si>
    <t>Width</t>
  </si>
  <si>
    <t>Min</t>
  </si>
  <si>
    <t>Variable PT</t>
  </si>
  <si>
    <t>Actual thickness, t (in)</t>
  </si>
  <si>
    <t>Top of course (ft)</t>
  </si>
  <si>
    <t>Top to tank</t>
  </si>
  <si>
    <t>Y (psi)</t>
  </si>
  <si>
    <t>0.80Y</t>
  </si>
  <si>
    <t>0.88Y</t>
  </si>
  <si>
    <t>0.472T</t>
  </si>
  <si>
    <t>0.519T</t>
  </si>
  <si>
    <t>S (psi)</t>
  </si>
  <si>
    <t>Sd (psi)</t>
  </si>
  <si>
    <t>H = Design liquid level (ft)</t>
  </si>
  <si>
    <t>h = Heigth of of course,(in)</t>
  </si>
  <si>
    <t>r = Tank radius, (in)</t>
  </si>
  <si>
    <t>L = (6/Dt)0.5</t>
  </si>
  <si>
    <t>L/H</t>
  </si>
  <si>
    <t>CA</t>
  </si>
  <si>
    <t>tpd w/o CA</t>
  </si>
  <si>
    <t>tpd, tu, tdx (preliminary design - in)</t>
  </si>
  <si>
    <t>t1d (design - in)</t>
  </si>
  <si>
    <t>t1d (smaller of tpd, td - in)</t>
  </si>
  <si>
    <t>h1/(rt1)0.5</t>
  </si>
  <si>
    <t>First Trial</t>
  </si>
  <si>
    <t>K = (tL / tu)</t>
  </si>
  <si>
    <t>C = ((K0.5(K-1))/(1+K1.5)</t>
  </si>
  <si>
    <t>(rtu)^.5</t>
  </si>
  <si>
    <t>x1 = (0.61(rtu)0.5 + 3.84CH)</t>
  </si>
  <si>
    <t>x2 = (12CH)</t>
  </si>
  <si>
    <t>x3 =  (1.22(rtu)0.5)</t>
  </si>
  <si>
    <t>x = (smallest of x1, x2, x3)</t>
  </si>
  <si>
    <t>tdx-CA</t>
  </si>
  <si>
    <t>tdx</t>
  </si>
  <si>
    <t>Second Trial</t>
  </si>
  <si>
    <t>x3 = (1.22(rtu)0.5)</t>
  </si>
  <si>
    <t>Third Trial</t>
  </si>
  <si>
    <t>tdx = t2a</t>
  </si>
  <si>
    <t>h1/(rt1)^0.5</t>
  </si>
  <si>
    <t>if 1.375&lt;=h1/(rt1)^.5 then t2 = t1</t>
  </si>
  <si>
    <t>if h1/(rt1)^.5 &gt;= 2.625 then t2 =t2a</t>
  </si>
  <si>
    <t>if inbetween 1.375 and 2.625 then</t>
  </si>
  <si>
    <t>Tmin</t>
  </si>
  <si>
    <t>Min course thickness &lt; 0.375</t>
  </si>
  <si>
    <t>St (psi)</t>
  </si>
  <si>
    <t>Joint Effeciency Table</t>
  </si>
  <si>
    <t>1 Lap Rivet</t>
  </si>
  <si>
    <t>2 Butt Rivet</t>
  </si>
  <si>
    <t>2 Lap Rivet</t>
  </si>
  <si>
    <t>3 Butt Rivet</t>
  </si>
  <si>
    <t>3 Lap Rivet</t>
  </si>
  <si>
    <t>4 Butt Rivet</t>
  </si>
  <si>
    <t>4 Lap Rivet</t>
  </si>
  <si>
    <t>5 Butt Rivet</t>
  </si>
  <si>
    <t>6 Butt Rivet</t>
  </si>
  <si>
    <t>70% Butt Weld</t>
  </si>
  <si>
    <t>85% Butt Weld</t>
  </si>
  <si>
    <t>Bolted</t>
  </si>
  <si>
    <t>Dbl Lap W</t>
  </si>
  <si>
    <t>Sgle Lap Weld</t>
  </si>
  <si>
    <t>Materials Table</t>
  </si>
  <si>
    <t>API 653 Hydro</t>
  </si>
  <si>
    <t>Group</t>
  </si>
  <si>
    <t>YIELD</t>
  </si>
  <si>
    <t>TENSILE</t>
  </si>
  <si>
    <t>Sd</t>
  </si>
  <si>
    <t>St</t>
  </si>
  <si>
    <t>.472 T</t>
  </si>
  <si>
    <t>Min 1st &amp; 2nd</t>
  </si>
  <si>
    <t>Min 3rd +</t>
  </si>
  <si>
    <t>Rivet</t>
  </si>
  <si>
    <t>I</t>
  </si>
  <si>
    <t>A 131 A</t>
  </si>
  <si>
    <t>II</t>
  </si>
  <si>
    <t>A 131 B</t>
  </si>
  <si>
    <t>IIIA</t>
  </si>
  <si>
    <t>A 131 CS</t>
  </si>
  <si>
    <t>VI</t>
  </si>
  <si>
    <t>A 131 EH36</t>
  </si>
  <si>
    <t>A 283 C</t>
  </si>
  <si>
    <t>A 285 C</t>
  </si>
  <si>
    <t>III</t>
  </si>
  <si>
    <t>A 516 55</t>
  </si>
  <si>
    <t>A 516 60</t>
  </si>
  <si>
    <t>IV</t>
  </si>
  <si>
    <t>A 516 65</t>
  </si>
  <si>
    <t>A 516 70</t>
  </si>
  <si>
    <t>A 537 1</t>
  </si>
  <si>
    <t>A 537 2</t>
  </si>
  <si>
    <t>A 573 58</t>
  </si>
  <si>
    <t>A 573 65</t>
  </si>
  <si>
    <t>A 622 B</t>
  </si>
  <si>
    <t>IVA</t>
  </si>
  <si>
    <t>A 622 C</t>
  </si>
  <si>
    <t>A 633 C</t>
  </si>
  <si>
    <t>A 633 D</t>
  </si>
  <si>
    <t>A 678 A</t>
  </si>
  <si>
    <t>A 678 B</t>
  </si>
  <si>
    <t>A 737 B</t>
  </si>
  <si>
    <t>A 841</t>
  </si>
  <si>
    <t>B 209 Alclad 3003</t>
  </si>
  <si>
    <t>JIS G 3103 SS40</t>
  </si>
  <si>
    <t>JIS G 3115 SPV490</t>
  </si>
  <si>
    <t>SM50B</t>
  </si>
  <si>
    <t>SM 53CN</t>
  </si>
  <si>
    <t>Riveted Unknown</t>
  </si>
  <si>
    <t>Welded Unknown</t>
  </si>
  <si>
    <t>Thickness Table</t>
  </si>
  <si>
    <t>"32nd</t>
  </si>
  <si>
    <t>1/17</t>
  </si>
  <si>
    <t>1/16</t>
  </si>
  <si>
    <t>1/8</t>
  </si>
  <si>
    <t>3/16</t>
  </si>
  <si>
    <t>1/4</t>
  </si>
  <si>
    <t>5/16</t>
  </si>
  <si>
    <t>3/8</t>
  </si>
  <si>
    <t>7/16</t>
  </si>
  <si>
    <t>1/2</t>
  </si>
  <si>
    <t>9/16</t>
  </si>
  <si>
    <t>5/8</t>
  </si>
  <si>
    <t xml:space="preserve"> 5/8</t>
  </si>
  <si>
    <t>11/16</t>
  </si>
  <si>
    <t xml:space="preserve"> 11/16</t>
  </si>
  <si>
    <t>3/4</t>
  </si>
  <si>
    <t xml:space="preserve"> 3/4</t>
  </si>
  <si>
    <t>13/16</t>
  </si>
  <si>
    <t xml:space="preserve"> 13/16</t>
  </si>
  <si>
    <t>15/16</t>
  </si>
  <si>
    <t xml:space="preserve"> 15/16</t>
  </si>
  <si>
    <t>1</t>
  </si>
  <si>
    <t xml:space="preserve">1 </t>
  </si>
  <si>
    <t>1 1/16</t>
  </si>
  <si>
    <t>1 1/8</t>
  </si>
  <si>
    <t>1 3/16</t>
  </si>
  <si>
    <t>1 1/4</t>
  </si>
  <si>
    <t>1 5/16</t>
  </si>
  <si>
    <t>1 3/8</t>
  </si>
  <si>
    <t>1 7/16</t>
  </si>
  <si>
    <t>1 1/2</t>
  </si>
  <si>
    <t>1 9/16</t>
  </si>
  <si>
    <t>1 5/8</t>
  </si>
  <si>
    <t>1 11/16</t>
  </si>
  <si>
    <t>1 3/4</t>
  </si>
  <si>
    <t>1 13/16</t>
  </si>
  <si>
    <t>1 15/16</t>
  </si>
  <si>
    <t>2</t>
  </si>
  <si>
    <t xml:space="preserve">2 </t>
  </si>
  <si>
    <t>2 1/16</t>
  </si>
  <si>
    <t>2 1/8</t>
  </si>
  <si>
    <t>2 3/16</t>
  </si>
  <si>
    <t>2 1/4</t>
  </si>
  <si>
    <t>2 5/16</t>
  </si>
  <si>
    <t>API Standards</t>
  </si>
  <si>
    <t>Unknown</t>
  </si>
  <si>
    <t>API 12C 1st</t>
  </si>
  <si>
    <t>API 12C 2nd</t>
  </si>
  <si>
    <t>API 12C 3rd</t>
  </si>
  <si>
    <t>API 12C 4th</t>
  </si>
  <si>
    <t>API 12C 5th</t>
  </si>
  <si>
    <t>API 12C 6th</t>
  </si>
  <si>
    <t>API 12C 7th</t>
  </si>
  <si>
    <t>API 12C 8th</t>
  </si>
  <si>
    <t>API 12C 9th</t>
  </si>
  <si>
    <t>API 12C 10th</t>
  </si>
  <si>
    <t>API 12C 11th</t>
  </si>
  <si>
    <t>API 12C 12th</t>
  </si>
  <si>
    <t>API 12C 13th</t>
  </si>
  <si>
    <t>API 12C 14th</t>
  </si>
  <si>
    <t>API 12C 15th</t>
  </si>
  <si>
    <t>API 650 1st</t>
  </si>
  <si>
    <t>API 650 2nd</t>
  </si>
  <si>
    <t>API 650 3rd</t>
  </si>
  <si>
    <t>API 650 4th</t>
  </si>
  <si>
    <t>API 650 5th</t>
  </si>
  <si>
    <t>API 650 6th</t>
  </si>
  <si>
    <t>API 650 7th</t>
  </si>
  <si>
    <t>API 650 8th</t>
  </si>
  <si>
    <t>API 650 9th</t>
  </si>
  <si>
    <t>API 650 10th</t>
  </si>
  <si>
    <t>API 650 11th</t>
  </si>
  <si>
    <t>Vapor Pressure</t>
  </si>
  <si>
    <t>Flash Point (F)</t>
  </si>
  <si>
    <t>6 Fuel Oil</t>
  </si>
  <si>
    <t>Asphalt</t>
  </si>
  <si>
    <t>Av Gas</t>
  </si>
  <si>
    <t>Bio Diesel</t>
  </si>
  <si>
    <t>Caustic</t>
  </si>
  <si>
    <t>Crude</t>
  </si>
  <si>
    <t>Diesel</t>
  </si>
  <si>
    <t>Diesel Low Sulfur</t>
  </si>
  <si>
    <t>Diesel Marine F-76</t>
  </si>
  <si>
    <t>Ethanol</t>
  </si>
  <si>
    <t>E-85</t>
  </si>
  <si>
    <t>F-76</t>
  </si>
  <si>
    <t>Fertilizer</t>
  </si>
  <si>
    <t>Fertilizer UAN 32</t>
  </si>
  <si>
    <t>Fuel Oil</t>
  </si>
  <si>
    <t>Gas Oil</t>
  </si>
  <si>
    <t>Gasoline</t>
  </si>
  <si>
    <t>Jet</t>
  </si>
  <si>
    <t>JP-4</t>
  </si>
  <si>
    <t>JP-5</t>
  </si>
  <si>
    <t>JP-8</t>
  </si>
  <si>
    <t>Kersone</t>
  </si>
  <si>
    <t>Lignin</t>
  </si>
  <si>
    <t>Naptha</t>
  </si>
  <si>
    <t>Rerun Alkylate</t>
  </si>
  <si>
    <t>Sulfuric Acid</t>
  </si>
  <si>
    <t>Waste Water</t>
  </si>
  <si>
    <t>Water</t>
  </si>
  <si>
    <t>Wax</t>
  </si>
  <si>
    <t>Annular Plates API 650 table 5.1b</t>
  </si>
  <si>
    <t>angle</t>
  </si>
  <si>
    <t>0.7634°</t>
  </si>
  <si>
    <t>2.29°</t>
  </si>
  <si>
    <t>3.817°</t>
  </si>
  <si>
    <t>5.344°</t>
  </si>
  <si>
    <t>6.871°</t>
  </si>
  <si>
    <t>8.397°</t>
  </si>
  <si>
    <t>9.924°</t>
  </si>
  <si>
    <t>11.45°</t>
  </si>
  <si>
    <t>12.98°</t>
  </si>
  <si>
    <t>14.5°</t>
  </si>
  <si>
    <t>16.03°</t>
  </si>
  <si>
    <t>17.56°</t>
  </si>
  <si>
    <t>19.09°</t>
  </si>
  <si>
    <t>20.61°</t>
  </si>
  <si>
    <t>22.14°</t>
  </si>
  <si>
    <t>23.67°</t>
  </si>
  <si>
    <t>25.19°</t>
  </si>
  <si>
    <t>26.72°</t>
  </si>
  <si>
    <t>28.25°</t>
  </si>
  <si>
    <t>29.77°</t>
  </si>
  <si>
    <t>31.3°</t>
  </si>
  <si>
    <t>32.83°</t>
  </si>
  <si>
    <t>34.35°</t>
  </si>
  <si>
    <t>35.88°</t>
  </si>
  <si>
    <t>37.41°</t>
  </si>
  <si>
    <t>38.93°</t>
  </si>
  <si>
    <t>40.46°</t>
  </si>
  <si>
    <t>41.99°</t>
  </si>
  <si>
    <t>43.51°</t>
  </si>
  <si>
    <t>45.04°</t>
  </si>
  <si>
    <t>46.57°</t>
  </si>
  <si>
    <t>48.09°</t>
  </si>
  <si>
    <t>49.62°</t>
  </si>
  <si>
    <t>51.15°</t>
  </si>
  <si>
    <t>52.68°</t>
  </si>
  <si>
    <t>54.2°</t>
  </si>
  <si>
    <t>55.73°</t>
  </si>
  <si>
    <t>57.26°</t>
  </si>
  <si>
    <t>58.78°</t>
  </si>
  <si>
    <t>60.31°</t>
  </si>
  <si>
    <t>61.84°</t>
  </si>
  <si>
    <t>63.36°</t>
  </si>
  <si>
    <t>64.89°</t>
  </si>
  <si>
    <t>66.42°</t>
  </si>
  <si>
    <t>67.94°</t>
  </si>
  <si>
    <t>69.47°</t>
  </si>
  <si>
    <t>71°</t>
  </si>
  <si>
    <t>72.52°</t>
  </si>
  <si>
    <t>74.05°</t>
  </si>
  <si>
    <t>75.58°</t>
  </si>
  <si>
    <t>77.1°</t>
  </si>
  <si>
    <t>78.63°</t>
  </si>
  <si>
    <t>80.16°</t>
  </si>
  <si>
    <t>81.68°</t>
  </si>
  <si>
    <t>83.21°</t>
  </si>
  <si>
    <t>84.74°</t>
  </si>
  <si>
    <t>86.27°</t>
  </si>
  <si>
    <t>87.79°</t>
  </si>
  <si>
    <t>89.32°</t>
  </si>
  <si>
    <t>90.85°</t>
  </si>
  <si>
    <t>92.37°</t>
  </si>
  <si>
    <t>93.9°</t>
  </si>
  <si>
    <t>95.43°</t>
  </si>
  <si>
    <t>96.95°</t>
  </si>
  <si>
    <t>98.48°</t>
  </si>
  <si>
    <t>100°</t>
  </si>
  <si>
    <t>101.5°</t>
  </si>
  <si>
    <t>103.1°</t>
  </si>
  <si>
    <t>104.6°</t>
  </si>
  <si>
    <t>106.1°</t>
  </si>
  <si>
    <t>107.6°</t>
  </si>
  <si>
    <t>109.2°</t>
  </si>
  <si>
    <t>110.7°</t>
  </si>
  <si>
    <t>112.2°</t>
  </si>
  <si>
    <t>113.7°</t>
  </si>
  <si>
    <t>115.3°</t>
  </si>
  <si>
    <t>116.8°</t>
  </si>
  <si>
    <t>118.3°</t>
  </si>
  <si>
    <t>119.9°</t>
  </si>
  <si>
    <t>121.4°</t>
  </si>
  <si>
    <t>122.9°</t>
  </si>
  <si>
    <t>124.4°</t>
  </si>
  <si>
    <t>126°</t>
  </si>
  <si>
    <t>127.5°</t>
  </si>
  <si>
    <t>129°</t>
  </si>
  <si>
    <t>130.5°</t>
  </si>
  <si>
    <t>132.1°</t>
  </si>
  <si>
    <t>133.6°</t>
  </si>
  <si>
    <t>135.1°</t>
  </si>
  <si>
    <t>136.7°</t>
  </si>
  <si>
    <t>138.2°</t>
  </si>
  <si>
    <t>139.7°</t>
  </si>
  <si>
    <t>141.2°</t>
  </si>
  <si>
    <t>142.8°</t>
  </si>
  <si>
    <t>144.3°</t>
  </si>
  <si>
    <t>145.8°</t>
  </si>
  <si>
    <t>147.3°</t>
  </si>
  <si>
    <t>148.9°</t>
  </si>
  <si>
    <t>150.4°</t>
  </si>
  <si>
    <t>151.9°</t>
  </si>
  <si>
    <t>153.4°</t>
  </si>
  <si>
    <t>155°</t>
  </si>
  <si>
    <t>156.5°</t>
  </si>
  <si>
    <t>158°</t>
  </si>
  <si>
    <t>159.6°</t>
  </si>
  <si>
    <t>161.1°</t>
  </si>
  <si>
    <t>162.6°</t>
  </si>
  <si>
    <t>164.1°</t>
  </si>
  <si>
    <t>165.7°</t>
  </si>
  <si>
    <t>167.2°</t>
  </si>
  <si>
    <t>168.7°</t>
  </si>
  <si>
    <t>170.2°</t>
  </si>
  <si>
    <t>171.8°</t>
  </si>
  <si>
    <t>173.3°</t>
  </si>
  <si>
    <t>174.8°</t>
  </si>
  <si>
    <t>176.3°</t>
  </si>
  <si>
    <t>177.9°</t>
  </si>
  <si>
    <t>179.4°</t>
  </si>
  <si>
    <t>180.9°</t>
  </si>
  <si>
    <t>182.5°</t>
  </si>
  <si>
    <t>184°</t>
  </si>
  <si>
    <t>185.5°</t>
  </si>
  <si>
    <t>187°</t>
  </si>
  <si>
    <t>188.6°</t>
  </si>
  <si>
    <t>190.1°</t>
  </si>
  <si>
    <t>191.6°</t>
  </si>
  <si>
    <t>193.1°</t>
  </si>
  <si>
    <t>194.7°</t>
  </si>
  <si>
    <t>196.2°</t>
  </si>
  <si>
    <t>197.7°</t>
  </si>
  <si>
    <t>199.2°</t>
  </si>
  <si>
    <t>200.8°</t>
  </si>
  <si>
    <t>202.3°</t>
  </si>
  <si>
    <t>203.8°</t>
  </si>
  <si>
    <t>205.4°</t>
  </si>
  <si>
    <t>206.9°</t>
  </si>
  <si>
    <t>208.4°</t>
  </si>
  <si>
    <t>209.9°</t>
  </si>
  <si>
    <t>211.5°</t>
  </si>
  <si>
    <t>213°</t>
  </si>
  <si>
    <t>214.5°</t>
  </si>
  <si>
    <t>216°</t>
  </si>
  <si>
    <t>217.6°</t>
  </si>
  <si>
    <t>219.1°</t>
  </si>
  <si>
    <t>220.6°</t>
  </si>
  <si>
    <t>222.2°</t>
  </si>
  <si>
    <t>223.7°</t>
  </si>
  <si>
    <t>225.2°</t>
  </si>
  <si>
    <t>226.7°</t>
  </si>
  <si>
    <t>228.3°</t>
  </si>
  <si>
    <t>229.8°</t>
  </si>
  <si>
    <t>231.3°</t>
  </si>
  <si>
    <t>232.8°</t>
  </si>
  <si>
    <t>234.4°</t>
  </si>
  <si>
    <t>235.9°</t>
  </si>
  <si>
    <t>237.4°</t>
  </si>
  <si>
    <t>238.9°</t>
  </si>
  <si>
    <t>240.5°</t>
  </si>
  <si>
    <t>242°</t>
  </si>
  <si>
    <t>243.5°</t>
  </si>
  <si>
    <t>245.1°</t>
  </si>
  <si>
    <t>246.6°</t>
  </si>
  <si>
    <t>248.1°</t>
  </si>
  <si>
    <t>249.6°</t>
  </si>
  <si>
    <t>251.2°</t>
  </si>
  <si>
    <t>252.7°</t>
  </si>
  <si>
    <t>254.2°</t>
  </si>
  <si>
    <t>255.7°</t>
  </si>
  <si>
    <t>257.3°</t>
  </si>
  <si>
    <t>258.8°</t>
  </si>
  <si>
    <t>260.3°</t>
  </si>
  <si>
    <t>261.8°</t>
  </si>
  <si>
    <t>263.4°</t>
  </si>
  <si>
    <t>264.9°</t>
  </si>
  <si>
    <t>266.4°</t>
  </si>
  <si>
    <t>268°</t>
  </si>
  <si>
    <t>269.5°</t>
  </si>
  <si>
    <t>271°</t>
  </si>
  <si>
    <t>272.5°</t>
  </si>
  <si>
    <t>274.1°</t>
  </si>
  <si>
    <t>275.6°</t>
  </si>
  <si>
    <t>277.1°</t>
  </si>
  <si>
    <t>278.6°</t>
  </si>
  <si>
    <t>280.2°</t>
  </si>
  <si>
    <t>281.7°</t>
  </si>
  <si>
    <t>283.2°</t>
  </si>
  <si>
    <t>284.8°</t>
  </si>
  <si>
    <t>286.3°</t>
  </si>
  <si>
    <t>287.8°</t>
  </si>
  <si>
    <t>289.3°</t>
  </si>
  <si>
    <t>290.9°</t>
  </si>
  <si>
    <t>292.4°</t>
  </si>
  <si>
    <t>293.9°</t>
  </si>
  <si>
    <t>295.4°</t>
  </si>
  <si>
    <t>297°</t>
  </si>
  <si>
    <t>298.5°</t>
  </si>
  <si>
    <t>300°</t>
  </si>
  <si>
    <t>301.5°</t>
  </si>
  <si>
    <t>303.1°</t>
  </si>
  <si>
    <t>304.6°</t>
  </si>
  <si>
    <t>306.1°</t>
  </si>
  <si>
    <t>307.7°</t>
  </si>
  <si>
    <t>309.2°</t>
  </si>
  <si>
    <t>310.7°</t>
  </si>
  <si>
    <t>312.2°</t>
  </si>
  <si>
    <t>313.8°</t>
  </si>
  <si>
    <t>315.3°</t>
  </si>
  <si>
    <t>316.8°</t>
  </si>
  <si>
    <t>318.3°</t>
  </si>
  <si>
    <t>319.9°</t>
  </si>
  <si>
    <t>321.4°</t>
  </si>
  <si>
    <t>322.9°</t>
  </si>
  <si>
    <t>324.4°</t>
  </si>
  <si>
    <t>326°</t>
  </si>
  <si>
    <t>327.5°</t>
  </si>
  <si>
    <t>329°</t>
  </si>
  <si>
    <t>330.6°</t>
  </si>
  <si>
    <t>332.1°</t>
  </si>
  <si>
    <t>333.6°</t>
  </si>
  <si>
    <t>335.1°</t>
  </si>
  <si>
    <t>336.7°</t>
  </si>
  <si>
    <t>338.2°</t>
  </si>
  <si>
    <t>339.7°</t>
  </si>
  <si>
    <t>341.2°</t>
  </si>
  <si>
    <t>342.8°</t>
  </si>
  <si>
    <t>344.3°</t>
  </si>
  <si>
    <t>345.8°</t>
  </si>
  <si>
    <t>347.4°</t>
  </si>
  <si>
    <t>348.9°</t>
  </si>
  <si>
    <t>350.4°</t>
  </si>
  <si>
    <t>351.9°</t>
  </si>
  <si>
    <t>353.5°</t>
  </si>
  <si>
    <t>355°</t>
  </si>
  <si>
    <t>356.5°</t>
  </si>
  <si>
    <t>arc length/height</t>
  </si>
  <si>
    <t>empty</t>
  </si>
  <si>
    <t>Height from btm (ft)</t>
  </si>
  <si>
    <t>Height from scanner (ft)</t>
  </si>
  <si>
    <t>arc length/height (ft.)</t>
  </si>
  <si>
    <t>arc length/height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</si>
</sst>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"/>
    <numFmt numFmtId="166" formatCode="#\ ??/16"/>
    <numFmt numFmtId="167" formatCode="#\ ?/8"/>
    <numFmt numFmtId="168" formatCode="0.00_);[Red]\(0.00\)"/>
    <numFmt numFmtId="169" formatCode="0.00000"/>
    <numFmt numFmtId="170" formatCode="#\ ??/32"/>
    <numFmt numFmtId="171" formatCode="0.0"/>
  </numFmts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</font>
    <font>
      <b/>
      <i/>
      <sz val="10"/>
      <name val="Arial Narrow"/>
      <family val="2"/>
    </font>
    <font>
      <b/>
      <sz val="10"/>
      <name val="MS Sans Serif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MS Sans Serif"/>
      <family val="2"/>
    </font>
    <font>
      <sz val="10"/>
      <name val="Arial Black"/>
      <family val="2"/>
    </font>
    <font>
      <sz val="8.5"/>
      <name val="MS Sans Serif"/>
      <family val="2"/>
    </font>
    <font>
      <b/>
      <sz val="8.5"/>
      <name val="MS Sans Serif"/>
      <family val="2"/>
    </font>
    <font>
      <b/>
      <sz val="7"/>
      <name val="Arial Narrow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i/>
      <sz val="9"/>
      <name val="Arial Narrow"/>
      <family val="2"/>
    </font>
    <font>
      <i/>
      <sz val="10"/>
      <name val="MS Sans Serif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name val="Arial Narrow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sz val="11"/>
      <color indexed="9"/>
      <name val="Arial"/>
      <family val="2"/>
    </font>
    <font>
      <sz val="10"/>
      <color indexed="50"/>
      <name val="MS Sans Serif"/>
      <family val="2"/>
    </font>
    <font>
      <name val="Arial"/>
      <sz val="11.0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7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4">
    <xf borderId="0" fillId="0" fontId="0" numFmtId="0"/>
    <xf borderId="0" fillId="0" fontId="2" numFmtId="0"/>
    <xf applyAlignment="0" applyBorder="0" applyFill="0" applyFont="0" applyProtection="0" borderId="0" fillId="0" fontId="9" numFmtId="40"/>
    <xf applyAlignment="0" applyBorder="0" applyFill="0" applyFont="0" applyProtection="0" borderId="0" fillId="0" fontId="9" numFmtId="9"/>
  </cellStyleXfs>
  <cellXfs count="516">
    <xf borderId="0" fillId="0" fontId="0" numFmtId="0" xfId="0"/>
    <xf borderId="0" fillId="0" fontId="2" numFmtId="0" xfId="1"/>
    <xf applyAlignment="1" applyNumberFormat="1" borderId="0" fillId="0" fontId="2" numFmtId="2" xfId="1">
      <alignment horizontal="center"/>
    </xf>
    <xf applyAlignment="1" applyNumberFormat="1" borderId="0" fillId="0" fontId="2" numFmtId="164" xfId="1">
      <alignment horizontal="center"/>
    </xf>
    <xf applyAlignment="1" borderId="0" fillId="0" fontId="2" numFmtId="0" xfId="1">
      <alignment horizontal="center"/>
    </xf>
    <xf applyAlignment="1" applyNumberFormat="1" borderId="0" fillId="0" fontId="2" numFmtId="1" xfId="1">
      <alignment horizontal="center"/>
    </xf>
    <xf applyFont="1" borderId="0" fillId="0" fontId="3" numFmtId="0" xfId="1"/>
    <xf applyFont="1" borderId="0" fillId="0" fontId="4" numFmtId="0" xfId="1"/>
    <xf applyAlignment="1" applyFont="1" borderId="0" fillId="0" fontId="4" numFmtId="0" xfId="1">
      <alignment horizontal="center"/>
    </xf>
    <xf applyAlignment="1" applyFont="1" applyNumberFormat="1" borderId="0" fillId="0" fontId="4" numFmtId="1" xfId="1">
      <alignment horizontal="center"/>
    </xf>
    <xf applyAlignment="1" applyFont="1" applyNumberFormat="1" borderId="0" fillId="0" fontId="4" numFmtId="2" xfId="1">
      <alignment horizontal="center"/>
    </xf>
    <xf applyAlignment="1" applyFont="1" applyNumberFormat="1" borderId="0" fillId="0" fontId="4" numFmtId="164" xfId="1">
      <alignment horizontal="center"/>
    </xf>
    <xf applyFont="1" borderId="0" fillId="0" fontId="5" numFmtId="0" xfId="1"/>
    <xf applyFont="1" borderId="0" fillId="0" fontId="6" numFmtId="0" xfId="1"/>
    <xf applyAlignment="1" applyFont="1" borderId="0" fillId="0" fontId="5" numFmtId="0" xfId="1">
      <alignment horizontal="center"/>
    </xf>
    <xf applyAlignment="1" applyFont="1" applyNumberFormat="1" borderId="0" fillId="0" fontId="5" numFmtId="1" xfId="1">
      <alignment horizontal="center"/>
    </xf>
    <xf applyAlignment="1" applyFont="1" applyNumberFormat="1" borderId="0" fillId="0" fontId="5" numFmtId="2" xfId="1">
      <alignment horizontal="center"/>
    </xf>
    <xf applyAlignment="1" applyFont="1" applyNumberFormat="1" borderId="0" fillId="0" fontId="5" numFmtId="164" xfId="1">
      <alignment horizontal="center"/>
    </xf>
    <xf applyFont="1" borderId="0" fillId="0" fontId="7" numFmtId="0" xfId="1"/>
    <xf applyAlignment="1" applyFont="1" applyNumberFormat="1" borderId="0" fillId="0" fontId="7" numFmtId="1" xfId="1">
      <alignment horizontal="left"/>
    </xf>
    <xf applyAlignment="1" applyFont="1" applyNumberFormat="1" borderId="0" fillId="0" fontId="5" numFmtId="1" xfId="1">
      <alignment vertical="top"/>
    </xf>
    <xf applyAlignment="1" applyFont="1" borderId="0" fillId="0" fontId="5" numFmtId="0" xfId="1">
      <alignment vertical="center"/>
    </xf>
    <xf applyAlignment="1" applyFont="1" borderId="0" fillId="0" fontId="7" numFmtId="0" xfId="1">
      <alignment horizontal="center"/>
    </xf>
    <xf applyAlignment="1" applyFont="1" borderId="0" fillId="0" fontId="5" numFmtId="0" xfId="1">
      <alignment horizontal="left"/>
    </xf>
    <xf applyAlignment="1" applyFont="1" applyNumberFormat="1" borderId="0" fillId="0" fontId="8" numFmtId="1" xfId="1">
      <alignment horizontal="left"/>
    </xf>
    <xf applyAlignment="1" applyFont="1" applyNumberFormat="1" borderId="0" fillId="0" fontId="8" numFmtId="1" xfId="1">
      <alignment horizontal="center"/>
    </xf>
    <xf applyAlignment="1" applyFont="1" applyNumberFormat="1" borderId="0" fillId="0" fontId="8" numFmtId="2" xfId="1">
      <alignment horizontal="center"/>
    </xf>
    <xf applyAlignment="1" applyFont="1" applyNumberFormat="1" borderId="0" fillId="0" fontId="8" numFmtId="2" xfId="1">
      <alignment horizontal="left"/>
    </xf>
    <xf applyAlignment="1" applyFont="1" applyNumberFormat="1" borderId="0" fillId="0" fontId="5" numFmtId="1" xfId="1">
      <alignment horizontal="right"/>
    </xf>
    <xf applyAlignment="1" applyFill="1" applyFont="1" applyNumberFormat="1" borderId="0" fillId="2" fontId="5" numFmtId="2" xfId="1">
      <alignment horizontal="center"/>
    </xf>
    <xf applyAlignment="1" applyFont="1" applyNumberFormat="1" borderId="0" fillId="0" fontId="5" numFmtId="2" xfId="1">
      <alignment horizontal="left"/>
    </xf>
    <xf applyAlignment="1" applyFill="1" applyFont="1" applyNumberFormat="1" borderId="0" fillId="2" fontId="5" numFmtId="2" xfId="1">
      <alignment horizontal="center" vertical="center"/>
    </xf>
    <xf applyAlignment="1" applyFont="1" applyNumberFormat="1" borderId="0" fillId="0" fontId="5" numFmtId="2" xfId="1">
      <alignment horizontal="center" vertical="center"/>
    </xf>
    <xf applyAlignment="1" applyFont="1" borderId="0" fillId="0" fontId="5" numFmtId="0" xfId="1">
      <alignment horizontal="right"/>
    </xf>
    <xf applyAlignment="1" applyFont="1" borderId="0" fillId="0" fontId="5" numFmtId="0" xfId="1">
      <alignment horizontal="left"/>
    </xf>
    <xf applyAlignment="1" applyFont="1" applyNumberFormat="1" borderId="0" fillId="0" fontId="7" numFmtId="1" xfId="1">
      <alignment horizontal="center"/>
    </xf>
    <xf applyAlignment="1" applyFont="1" applyNumberFormat="1" borderId="0" fillId="0" fontId="7" numFmtId="2" xfId="1">
      <alignment horizontal="center"/>
    </xf>
    <xf applyAlignment="1" applyBorder="1" applyFont="1" borderId="1" fillId="0" fontId="5" numFmtId="0" xfId="1">
      <alignment horizontal="center"/>
    </xf>
    <xf applyAlignment="1" applyBorder="1" applyFont="1" borderId="2" fillId="0" fontId="5" numFmtId="0" xfId="1">
      <alignment horizontal="center"/>
    </xf>
    <xf applyAlignment="1" applyBorder="1" applyFont="1" borderId="3" fillId="0" fontId="5" numFmtId="0" xfId="1">
      <alignment horizontal="center"/>
    </xf>
    <xf applyAlignment="1" applyBorder="1" applyFont="1" borderId="4" fillId="0" fontId="7" numFmtId="0" xfId="1">
      <alignment horizontal="center"/>
    </xf>
    <xf applyAlignment="1" applyBorder="1" applyFont="1" borderId="5" fillId="0" fontId="7" numFmtId="0" xfId="1">
      <alignment horizontal="center"/>
    </xf>
    <xf applyAlignment="1" applyBorder="1" applyFont="1" borderId="6" fillId="0" fontId="7" numFmtId="0" xfId="1">
      <alignment horizontal="center"/>
    </xf>
    <xf applyAlignment="1" applyBorder="1" applyFont="1" applyNumberFormat="1" borderId="7" fillId="0" fontId="5" numFmtId="2" xfId="1">
      <alignment horizontal="center" wrapText="1"/>
    </xf>
    <xf applyBorder="1" applyFont="1" borderId="8" fillId="0" fontId="5" numFmtId="0" xfId="1"/>
    <xf applyAlignment="1" applyBorder="1" applyFont="1" borderId="9" fillId="0" fontId="5" numFmtId="0" xfId="1">
      <alignment horizontal="center"/>
    </xf>
    <xf applyAlignment="1" applyBorder="1" applyFont="1" applyNumberFormat="1" borderId="8" fillId="0" fontId="5" numFmtId="1" xfId="1">
      <alignment horizontal="center"/>
    </xf>
    <xf applyAlignment="1" applyBorder="1" applyFont="1" applyNumberFormat="1" borderId="8" fillId="0" fontId="5" numFmtId="2" xfId="1">
      <alignment horizontal="center"/>
    </xf>
    <xf applyAlignment="1" applyBorder="1" applyFont="1" applyNumberFormat="1" borderId="10" fillId="0" fontId="5" numFmtId="3" xfId="1">
      <alignment horizontal="center"/>
    </xf>
    <xf applyAlignment="1" applyBorder="1" applyFont="1" applyNumberFormat="1" borderId="11" fillId="0" fontId="5" numFmtId="164" xfId="1">
      <alignment horizontal="center"/>
    </xf>
    <xf applyAlignment="1" applyBorder="1" applyFont="1" applyNumberFormat="1" borderId="12" fillId="0" fontId="5" numFmtId="2" xfId="1">
      <alignment horizontal="center"/>
    </xf>
    <xf applyAlignment="1" applyBorder="1" applyFont="1" applyNumberFormat="1" borderId="13" fillId="0" fontId="5" numFmtId="2" xfId="1">
      <alignment horizontal="center" wrapText="1"/>
    </xf>
    <xf applyAlignment="1" applyBorder="1" applyFont="1" applyNumberFormat="1" borderId="14" fillId="0" fontId="5" numFmtId="2" xfId="1">
      <alignment horizontal="center" wrapText="1"/>
    </xf>
    <xf applyAlignment="1" applyBorder="1" applyFont="1" applyNumberFormat="1" borderId="15" fillId="0" fontId="5" numFmtId="2" xfId="1">
      <alignment horizontal="center" wrapText="1"/>
    </xf>
    <xf applyAlignment="1" applyBorder="1" applyFont="1" borderId="16" fillId="0" fontId="5" numFmtId="0" xfId="1">
      <alignment horizontal="center" textRotation="255"/>
    </xf>
    <xf applyAlignment="1" applyBorder="1" applyFont="1" borderId="17" fillId="0" fontId="5" numFmtId="0" xfId="1">
      <alignment horizontal="center"/>
    </xf>
    <xf applyAlignment="1" applyBorder="1" applyFont="1" borderId="18" fillId="0" fontId="5" numFmtId="0" xfId="1">
      <alignment horizontal="center"/>
    </xf>
    <xf applyAlignment="1" applyBorder="1" applyFont="1" applyNumberFormat="1" borderId="16" fillId="0" fontId="5" numFmtId="1" xfId="1">
      <alignment horizontal="center" wrapText="1"/>
    </xf>
    <xf applyAlignment="1" applyBorder="1" applyFont="1" applyNumberFormat="1" borderId="16" fillId="0" fontId="5" numFmtId="2" xfId="1">
      <alignment horizontal="center" wrapText="1"/>
    </xf>
    <xf applyAlignment="1" applyBorder="1" applyFont="1" borderId="16" fillId="0" fontId="5" numFmtId="0" xfId="1">
      <alignment horizontal="center" vertical="center" wrapText="1"/>
    </xf>
    <xf applyAlignment="1" applyBorder="1" applyFont="1" applyNumberFormat="1" borderId="19" fillId="0" fontId="5" numFmtId="164" xfId="1">
      <alignment horizontal="center" vertical="center" wrapText="1"/>
    </xf>
    <xf applyAlignment="1" applyBorder="1" applyFont="1" applyNumberFormat="1" borderId="20" fillId="0" fontId="5" numFmtId="2" xfId="1">
      <alignment horizontal="center" wrapText="1"/>
    </xf>
    <xf applyAlignment="1" applyBorder="1" applyFont="1" applyNumberFormat="1" borderId="21" fillId="0" fontId="5" numFmtId="2" xfId="1">
      <alignment horizontal="center" wrapText="1"/>
    </xf>
    <xf applyAlignment="1" applyBorder="1" applyFont="1" applyNumberFormat="1" borderId="22" fillId="0" fontId="5" numFmtId="2" xfId="1">
      <alignment horizontal="center" wrapText="1"/>
    </xf>
    <xf applyAlignment="1" applyBorder="1" applyFont="1" borderId="23" fillId="0" fontId="5" numFmtId="0" xfId="1">
      <alignment horizontal="center" textRotation="255"/>
    </xf>
    <xf applyAlignment="1" applyBorder="1" applyFont="1" applyNumberFormat="1" borderId="23" fillId="0" fontId="5" numFmtId="1" xfId="1">
      <alignment horizontal="center" wrapText="1"/>
    </xf>
    <xf applyAlignment="1" applyBorder="1" applyFont="1" applyNumberFormat="1" borderId="23" fillId="0" fontId="5" numFmtId="2" xfId="1">
      <alignment horizontal="center" wrapText="1"/>
    </xf>
    <xf applyAlignment="1" applyBorder="1" applyFont="1" borderId="23" fillId="0" fontId="5" numFmtId="0" xfId="1">
      <alignment horizontal="center" vertical="center" wrapText="1"/>
    </xf>
    <xf applyAlignment="1" applyBorder="1" applyFont="1" applyNumberFormat="1" borderId="24" fillId="0" fontId="5" numFmtId="164" xfId="1">
      <alignment horizontal="center" vertical="center" wrapText="1"/>
    </xf>
    <xf applyAlignment="1" applyBorder="1" applyFont="1" borderId="11" fillId="0" fontId="5" numFmtId="0" xfId="1">
      <alignment horizontal="center"/>
    </xf>
    <xf applyAlignment="1" applyBorder="1" applyFont="1" borderId="10" fillId="0" fontId="5" numFmtId="0" xfId="1">
      <alignment horizontal="center"/>
    </xf>
    <xf applyAlignment="1" applyBorder="1" applyFont="1" applyNumberFormat="1" borderId="8" fillId="0" fontId="5" numFmtId="1" xfId="1">
      <alignment horizontal="center" wrapText="1"/>
    </xf>
    <xf applyAlignment="1" applyBorder="1" applyFont="1" applyNumberFormat="1" borderId="8" fillId="0" fontId="5" numFmtId="2" xfId="1">
      <alignment horizontal="center" wrapText="1"/>
    </xf>
    <xf applyAlignment="1" applyBorder="1" applyFont="1" borderId="8" fillId="0" fontId="5" numFmtId="0" xfId="1">
      <alignment horizontal="center" vertical="center" wrapText="1"/>
    </xf>
    <xf applyAlignment="1" applyBorder="1" applyFont="1" applyNumberFormat="1" borderId="25" fillId="0" fontId="5" numFmtId="164" xfId="1">
      <alignment horizontal="center" vertical="center" wrapText="1"/>
    </xf>
    <xf applyAlignment="1" applyBorder="1" applyFont="1" applyNumberFormat="1" borderId="26" fillId="0" fontId="5" numFmtId="2" xfId="1">
      <alignment horizontal="center" wrapText="1"/>
    </xf>
    <xf applyAlignment="1" applyBorder="1" applyFont="1" borderId="27" fillId="0" fontId="5" numFmtId="0" xfId="1">
      <alignment horizontal="center" textRotation="255"/>
    </xf>
    <xf applyAlignment="1" applyBorder="1" applyFont="1" borderId="28" fillId="0" fontId="5" numFmtId="0" xfId="1">
      <alignment horizontal="center"/>
    </xf>
    <xf applyAlignment="1" applyBorder="1" applyFont="1" applyNumberFormat="1" borderId="28" fillId="0" fontId="5" numFmtId="1" xfId="1">
      <alignment horizontal="center"/>
    </xf>
    <xf applyAlignment="1" applyBorder="1" applyFont="1" applyNumberFormat="1" borderId="28" fillId="0" fontId="5" numFmtId="2" xfId="1">
      <alignment horizontal="center"/>
    </xf>
    <xf applyAlignment="1" applyBorder="1" applyFont="1" borderId="28" fillId="0" fontId="5" numFmtId="0" xfId="1">
      <alignment horizontal="left"/>
    </xf>
    <xf applyAlignment="1" applyBorder="1" applyFont="1" applyNumberFormat="1" borderId="29" fillId="0" fontId="5" numFmtId="164" xfId="1">
      <alignment horizontal="left"/>
    </xf>
    <xf applyAlignment="1" applyBorder="1" applyFont="1" borderId="30" fillId="0" fontId="5" numFmtId="0" xfId="1">
      <alignment horizontal="center" vertical="center"/>
    </xf>
    <xf applyAlignment="1" applyBorder="1" applyFont="1" applyNumberFormat="1" borderId="30" fillId="0" fontId="5" numFmtId="2" xfId="1">
      <alignment horizontal="center" vertical="center"/>
    </xf>
    <xf applyAlignment="1" applyBorder="1" applyFont="1" applyNumberFormat="1" borderId="16" fillId="0" fontId="5" numFmtId="2" xfId="1">
      <alignment horizontal="center" vertical="center"/>
    </xf>
    <xf applyAlignment="1" applyBorder="1" applyFont="1" applyNumberFormat="1" borderId="30" fillId="0" fontId="5" numFmtId="38" xfId="2">
      <alignment horizontal="center" vertical="center"/>
    </xf>
    <xf applyAlignment="1" applyBorder="1" applyFont="1" applyNumberFormat="1" borderId="30" fillId="0" fontId="5" numFmtId="164" xfId="1">
      <alignment horizontal="center" vertical="center"/>
    </xf>
    <xf applyAlignment="1" applyBorder="1" applyFont="1" applyNumberFormat="1" borderId="31" fillId="0" fontId="5" numFmtId="164" xfId="1">
      <alignment horizontal="center" vertical="center"/>
    </xf>
    <xf applyAlignment="1" applyBorder="1" applyFont="1" applyNumberFormat="1" borderId="20" fillId="0" fontId="4" numFmtId="2" xfId="1">
      <alignment horizontal="center" vertical="center"/>
    </xf>
    <xf applyAlignment="1" applyBorder="1" applyFont="1" applyNumberFormat="1" borderId="32" fillId="0" fontId="5" numFmtId="165" xfId="1">
      <alignment horizontal="center" vertical="center"/>
    </xf>
    <xf applyAlignment="1" applyBorder="1" applyFill="1" applyFont="1" applyNumberFormat="1" borderId="33" fillId="2" fontId="5" numFmtId="165" xfId="1">
      <alignment horizontal="center" vertical="center"/>
    </xf>
    <xf applyAlignment="1" applyBorder="1" applyFill="1" applyFont="1" applyNumberFormat="1" borderId="34" fillId="2" fontId="5" numFmtId="165" xfId="1">
      <alignment horizontal="center" vertical="center"/>
    </xf>
    <xf applyAlignment="1" applyBorder="1" applyFont="1" applyNumberFormat="1" borderId="34" fillId="0" fontId="5" numFmtId="165" xfId="1">
      <alignment horizontal="center" vertical="center"/>
    </xf>
    <xf applyAlignment="1" applyBorder="1" applyFont="1" applyNumberFormat="1" borderId="35" fillId="0" fontId="5" numFmtId="165" xfId="1">
      <alignment horizontal="center" vertical="center"/>
    </xf>
    <xf applyAlignment="1" applyBorder="1" applyFont="1" borderId="23" fillId="0" fontId="5" numFmtId="0" xfId="1">
      <alignment horizontal="center" vertical="center"/>
    </xf>
    <xf applyAlignment="1" applyBorder="1" applyFont="1" applyNumberFormat="1" borderId="23" fillId="0" fontId="5" numFmtId="2" xfId="1">
      <alignment horizontal="center" vertical="center"/>
    </xf>
    <xf applyAlignment="1" applyBorder="1" applyFont="1" applyNumberFormat="1" borderId="23" fillId="0" fontId="5" numFmtId="38" xfId="2">
      <alignment horizontal="center" vertical="center"/>
    </xf>
    <xf applyAlignment="1" applyBorder="1" applyFont="1" applyNumberFormat="1" borderId="23" fillId="0" fontId="5" numFmtId="164" xfId="1">
      <alignment horizontal="center" vertical="center"/>
    </xf>
    <xf applyAlignment="1" applyBorder="1" applyFont="1" applyNumberFormat="1" borderId="24" fillId="0" fontId="5" numFmtId="164" xfId="1">
      <alignment horizontal="center" vertical="center"/>
    </xf>
    <xf applyAlignment="1" applyBorder="1" applyFont="1" applyNumberFormat="1" borderId="21" fillId="0" fontId="4" numFmtId="2" xfId="1">
      <alignment horizontal="center" vertical="center"/>
    </xf>
    <xf applyAlignment="1" applyBorder="1" applyFont="1" applyNumberFormat="1" borderId="36" fillId="0" fontId="5" numFmtId="165" xfId="1">
      <alignment horizontal="center" vertical="center"/>
    </xf>
    <xf applyAlignment="1" applyBorder="1" applyFill="1" applyFont="1" applyNumberFormat="1" borderId="37" fillId="2" fontId="5" numFmtId="165" xfId="1">
      <alignment horizontal="center" vertical="center"/>
    </xf>
    <xf applyAlignment="1" applyBorder="1" applyFill="1" applyFont="1" applyNumberFormat="1" borderId="38" fillId="2" fontId="5" numFmtId="165" xfId="1">
      <alignment horizontal="center" vertical="center"/>
    </xf>
    <xf applyAlignment="1" applyBorder="1" applyFont="1" applyNumberFormat="1" borderId="38" fillId="0" fontId="5" numFmtId="165" xfId="1">
      <alignment horizontal="center" vertical="center"/>
    </xf>
    <xf applyAlignment="1" applyBorder="1" applyFont="1" applyNumberFormat="1" borderId="39" fillId="0" fontId="5" numFmtId="165" xfId="1">
      <alignment horizontal="center" vertical="center"/>
    </xf>
    <xf applyAlignment="1" applyBorder="1" applyFont="1" borderId="8" fillId="0" fontId="5" numFmtId="0" xfId="1">
      <alignment horizontal="center" vertical="center"/>
    </xf>
    <xf applyAlignment="1" applyBorder="1" applyFont="1" applyNumberFormat="1" borderId="8" fillId="0" fontId="5" numFmtId="2" xfId="1">
      <alignment horizontal="center" vertical="center"/>
    </xf>
    <xf applyAlignment="1" applyBorder="1" applyFont="1" applyNumberFormat="1" borderId="27" fillId="0" fontId="5" numFmtId="2" xfId="1">
      <alignment horizontal="center" vertical="center"/>
    </xf>
    <xf applyAlignment="1" applyBorder="1" applyFont="1" applyNumberFormat="1" borderId="8" fillId="0" fontId="5" numFmtId="38" xfId="2">
      <alignment horizontal="center" vertical="center"/>
    </xf>
    <xf applyAlignment="1" applyBorder="1" applyFont="1" applyNumberFormat="1" borderId="27" fillId="0" fontId="5" numFmtId="164" xfId="1">
      <alignment horizontal="center" vertical="center"/>
    </xf>
    <xf applyAlignment="1" applyBorder="1" applyFont="1" applyNumberFormat="1" borderId="40" fillId="0" fontId="5" numFmtId="164" xfId="1">
      <alignment horizontal="center" vertical="center"/>
    </xf>
    <xf applyAlignment="1" applyBorder="1" applyFont="1" applyNumberFormat="1" borderId="26" fillId="0" fontId="4" numFmtId="2" xfId="1">
      <alignment horizontal="center" vertical="center"/>
    </xf>
    <xf applyAlignment="1" applyBorder="1" applyFont="1" applyNumberFormat="1" borderId="41" fillId="0" fontId="5" numFmtId="165" xfId="1">
      <alignment horizontal="center" vertical="center"/>
    </xf>
    <xf applyAlignment="1" applyBorder="1" applyFont="1" borderId="16" fillId="0" fontId="5" numFmtId="0" xfId="1">
      <alignment horizontal="center" vertical="center"/>
    </xf>
    <xf applyAlignment="1" applyBorder="1" applyFont="1" applyNumberFormat="1" borderId="27" fillId="0" fontId="5" numFmtId="38" xfId="2">
      <alignment horizontal="center" vertical="center"/>
    </xf>
    <xf applyFont="1" borderId="0" fillId="0" fontId="9" numFmtId="0" xfId="1"/>
    <xf applyAlignment="1" applyBorder="1" applyFill="1" applyFont="1" applyNumberFormat="1" borderId="42" fillId="2" fontId="5" numFmtId="165" xfId="1">
      <alignment horizontal="center" vertical="center"/>
    </xf>
    <xf applyAlignment="1" applyBorder="1" applyFill="1" applyFont="1" applyNumberFormat="1" borderId="43" fillId="2" fontId="5" numFmtId="165" xfId="1">
      <alignment horizontal="center" vertical="center"/>
    </xf>
    <xf applyAlignment="1" applyBorder="1" applyFont="1" applyNumberFormat="1" borderId="43" fillId="0" fontId="5" numFmtId="165" xfId="1">
      <alignment horizontal="center" vertical="center"/>
    </xf>
    <xf applyAlignment="1" applyBorder="1" applyFont="1" applyNumberFormat="1" borderId="44" fillId="0" fontId="5" numFmtId="165" xfId="1">
      <alignment horizontal="center" vertical="center"/>
    </xf>
    <xf applyAlignment="1" applyFont="1" borderId="0" fillId="0" fontId="1" numFmtId="0" xfId="1">
      <alignment horizontal="right"/>
    </xf>
    <xf applyFont="1" applyNumberFormat="1" borderId="0" fillId="0" fontId="1" numFmtId="2" xfId="1"/>
    <xf applyAlignment="1" applyFont="1" applyNumberFormat="1" borderId="0" fillId="0" fontId="1" numFmtId="2" xfId="1">
      <alignment horizontal="center"/>
    </xf>
    <xf applyAlignment="1" applyFont="1" borderId="0" fillId="0" fontId="1" numFmtId="0" xfId="1">
      <alignment horizontal="right"/>
    </xf>
    <xf applyAlignment="1" applyBorder="1" applyFont="1" borderId="1" fillId="0" fontId="7" numFmtId="0" xfId="1">
      <alignment horizontal="left"/>
    </xf>
    <xf applyAlignment="1" applyBorder="1" applyFont="1" applyNumberFormat="1" borderId="16" fillId="0" fontId="5" numFmtId="1" xfId="1">
      <alignment horizontal="center"/>
    </xf>
    <xf applyAlignment="1" applyBorder="1" applyFont="1" applyNumberFormat="1" borderId="16" fillId="0" fontId="5" numFmtId="2" xfId="1">
      <alignment horizontal="center"/>
    </xf>
    <xf applyAlignment="1" applyBorder="1" applyFont="1" borderId="45" fillId="0" fontId="5" numFmtId="0" xfId="1">
      <alignment vertical="center"/>
    </xf>
    <xf applyAlignment="1" applyBorder="1" applyFont="1" applyNumberFormat="1" borderId="38" fillId="0" fontId="5" numFmtId="2" quotePrefix="1" xfId="1">
      <alignment vertical="center"/>
    </xf>
    <xf applyAlignment="1" applyBorder="1" applyFont="1" applyNumberFormat="1" borderId="38" fillId="0" fontId="5" numFmtId="2" xfId="1">
      <alignment vertical="center"/>
    </xf>
    <xf applyAlignment="1" applyBorder="1" applyFont="1" borderId="38" fillId="0" fontId="5" numFmtId="0" xfId="1">
      <alignment vertical="center"/>
    </xf>
    <xf applyBorder="1" applyFont="1" borderId="2" fillId="0" fontId="7" numFmtId="0" xfId="1"/>
    <xf applyAlignment="1" applyBorder="1" applyFont="1" applyNumberFormat="1" borderId="2" fillId="0" fontId="7" numFmtId="2" xfId="1">
      <alignment horizontal="center"/>
    </xf>
    <xf applyAlignment="1" applyBorder="1" applyFont="1" applyNumberFormat="1" borderId="9" fillId="0" fontId="7" numFmtId="3" xfId="1">
      <alignment horizontal="center"/>
    </xf>
    <xf applyAlignment="1" applyFont="1" applyNumberFormat="1" borderId="0" fillId="0" fontId="7" numFmtId="164" xfId="1">
      <alignment horizontal="center"/>
    </xf>
    <xf applyAlignment="1" applyBorder="1" applyFont="1" borderId="17" fillId="0" fontId="7" numFmtId="0" xfId="1">
      <alignment horizontal="left" wrapText="1"/>
    </xf>
    <xf applyAlignment="1" applyFont="1" borderId="0" fillId="0" fontId="7" numFmtId="0" xfId="1">
      <alignment horizontal="left" wrapText="1"/>
    </xf>
    <xf applyAlignment="1" applyFont="1" applyNumberFormat="1" borderId="0" fillId="0" fontId="7" numFmtId="2" xfId="1">
      <alignment horizontal="left"/>
    </xf>
    <xf applyAlignment="1" applyBorder="1" applyFont="1" applyNumberFormat="1" borderId="18" fillId="0" fontId="7" numFmtId="3" xfId="1">
      <alignment horizontal="center"/>
    </xf>
    <xf applyAlignment="1" applyFont="1" borderId="0" fillId="0" fontId="7" numFmtId="0" xfId="1">
      <alignment horizontal="left"/>
    </xf>
    <xf applyAlignment="1" applyBorder="1" applyFont="1" applyNumberFormat="1" borderId="18" fillId="0" fontId="7" numFmtId="1" xfId="1">
      <alignment horizontal="center"/>
    </xf>
    <xf applyAlignment="1" applyBorder="1" applyFont="1" applyNumberFormat="1" borderId="17" fillId="0" fontId="7" numFmtId="2" xfId="1">
      <alignment horizontal="left"/>
    </xf>
    <xf applyFont="1" applyNumberFormat="1" borderId="0" fillId="0" fontId="7" numFmtId="2" xfId="1"/>
    <xf applyAlignment="1" applyFont="1" applyNumberFormat="1" borderId="0" fillId="0" fontId="7" numFmtId="165" xfId="1">
      <alignment horizontal="center"/>
    </xf>
    <xf applyAlignment="1" applyBorder="1" applyFont="1" applyNumberFormat="1" borderId="18" fillId="0" fontId="7" numFmtId="165" xfId="1">
      <alignment horizontal="center"/>
    </xf>
    <xf applyAlignment="1" applyBorder="1" applyFont="1" applyNumberFormat="1" borderId="11" fillId="0" fontId="7" numFmtId="2" xfId="1">
      <alignment horizontal="left"/>
    </xf>
    <xf applyBorder="1" applyFont="1" applyNumberFormat="1" borderId="46" fillId="0" fontId="7" numFmtId="2" xfId="1"/>
    <xf applyAlignment="1" applyBorder="1" applyFont="1" applyNumberFormat="1" borderId="46" fillId="0" fontId="7" numFmtId="2" xfId="1">
      <alignment horizontal="center"/>
    </xf>
    <xf applyAlignment="1" applyBorder="1" applyFont="1" applyNumberFormat="1" borderId="46" fillId="0" fontId="7" numFmtId="165" xfId="1">
      <alignment horizontal="center"/>
    </xf>
    <xf applyAlignment="1" applyBorder="1" applyFont="1" applyNumberFormat="1" borderId="10" fillId="0" fontId="7" numFmtId="165" xfId="1">
      <alignment horizontal="center"/>
    </xf>
    <xf applyAlignment="1" applyFont="1" applyNumberFormat="1" borderId="0" fillId="0" fontId="5" numFmtId="2" xfId="1">
      <alignment horizontal="center"/>
    </xf>
    <xf applyAlignment="1" applyBorder="1" applyFont="1" borderId="1" fillId="0" fontId="7" numFmtId="0" xfId="1">
      <alignment horizontal="right" wrapText="1"/>
    </xf>
    <xf applyAlignment="1" applyBorder="1" applyFont="1" borderId="2" fillId="0" fontId="7" numFmtId="0" xfId="1">
      <alignment horizontal="right" wrapText="1"/>
    </xf>
    <xf applyAlignment="1" applyBorder="1" applyFont="1" applyNumberFormat="1" borderId="9" fillId="0" fontId="7" numFmtId="2" xfId="1">
      <alignment horizontal="left"/>
    </xf>
    <xf applyAlignment="1" applyBorder="1" applyFont="1" borderId="1" fillId="0" fontId="7" numFmtId="0" xfId="1">
      <alignment horizontal="left" wrapText="1"/>
    </xf>
    <xf applyAlignment="1" applyBorder="1" applyFont="1" borderId="2" fillId="0" fontId="7" numFmtId="0" xfId="1">
      <alignment horizontal="left" wrapText="1"/>
    </xf>
    <xf applyAlignment="1" applyBorder="1" applyFont="1" borderId="11" fillId="0" fontId="7" numFmtId="0" xfId="1">
      <alignment horizontal="right" wrapText="1"/>
    </xf>
    <xf applyAlignment="1" applyBorder="1" applyFont="1" borderId="46" fillId="0" fontId="7" numFmtId="0" xfId="1">
      <alignment horizontal="right" wrapText="1"/>
    </xf>
    <xf applyAlignment="1" applyBorder="1" applyFont="1" applyNumberFormat="1" borderId="10" fillId="0" fontId="7" numFmtId="2" xfId="1">
      <alignment horizontal="left"/>
    </xf>
    <xf applyAlignment="1" applyBorder="1" applyFont="1" borderId="11" fillId="0" fontId="7" numFmtId="0" xfId="1">
      <alignment horizontal="left" wrapText="1"/>
    </xf>
    <xf applyAlignment="1" applyBorder="1" applyFont="1" borderId="46" fillId="0" fontId="7" numFmtId="0" xfId="1">
      <alignment horizontal="left" wrapText="1"/>
    </xf>
    <xf applyAlignment="1" applyFont="1" applyNumberFormat="1" borderId="0" fillId="0" fontId="7" numFmtId="3" xfId="1">
      <alignment horizontal="center"/>
    </xf>
    <xf applyAlignment="1" applyBorder="1" applyFont="1" applyNumberFormat="1" borderId="9" fillId="0" fontId="7" numFmtId="2" xfId="1">
      <alignment horizontal="center"/>
    </xf>
    <xf applyAlignment="1" applyBorder="1" applyFont="1" borderId="17" fillId="0" fontId="7" numFmtId="0" xfId="1">
      <alignment horizontal="left"/>
    </xf>
    <xf applyAlignment="1" applyBorder="1" applyFont="1" applyNumberFormat="1" borderId="18" fillId="0" fontId="7" numFmtId="2" xfId="1">
      <alignment horizontal="center"/>
    </xf>
    <xf applyAlignment="1" applyFont="1" applyNumberFormat="1" borderId="0" fillId="0" fontId="7" numFmtId="2" xfId="1">
      <alignment horizontal="center"/>
    </xf>
    <xf applyAlignment="1" applyBorder="1" applyFont="1" applyNumberFormat="1" borderId="18" fillId="0" fontId="7" numFmtId="2" xfId="1">
      <alignment horizontal="center"/>
    </xf>
    <xf applyAlignment="1" applyBorder="1" applyFont="1" borderId="17" fillId="0" fontId="7" numFmtId="0" xfId="1">
      <alignment horizontal="center"/>
    </xf>
    <xf applyAlignment="1" applyFont="1" borderId="0" fillId="0" fontId="7" numFmtId="0" xfId="1">
      <alignment horizontal="center"/>
    </xf>
    <xf applyAlignment="1" applyBorder="1" applyFont="1" borderId="11" fillId="0" fontId="7" numFmtId="0" xfId="1">
      <alignment horizontal="center"/>
    </xf>
    <xf applyAlignment="1" applyBorder="1" applyFont="1" borderId="46" fillId="0" fontId="7" numFmtId="0" xfId="1">
      <alignment horizontal="center"/>
    </xf>
    <xf applyAlignment="1" applyBorder="1" applyFont="1" applyNumberFormat="1" borderId="10" fillId="0" fontId="7" numFmtId="2" xfId="1">
      <alignment horizontal="center"/>
    </xf>
    <xf applyAlignment="1" applyBorder="1" applyFont="1" borderId="11" fillId="0" fontId="7" numFmtId="0" xfId="1">
      <alignment horizontal="center"/>
    </xf>
    <xf applyBorder="1" applyFont="1" borderId="46" fillId="0" fontId="7" numFmtId="0" xfId="1"/>
    <xf applyAlignment="1" applyBorder="1" applyFont="1" applyNumberFormat="1" borderId="46" fillId="0" fontId="7" numFmtId="1" xfId="1">
      <alignment horizontal="center"/>
    </xf>
    <xf applyAlignment="1" applyFont="1" applyNumberFormat="1" borderId="0" fillId="0" fontId="10" numFmtId="1" xfId="1">
      <alignment horizontal="left"/>
    </xf>
    <xf applyAlignment="1" applyBorder="1" applyFont="1" borderId="43" fillId="0" fontId="11" numFmtId="0" xfId="1">
      <alignment horizontal="center" textRotation="90"/>
    </xf>
    <xf applyAlignment="1" applyBorder="1" applyFont="1" borderId="47" fillId="0" fontId="12" numFmtId="0" xfId="1">
      <alignment horizontal="center" wrapText="1"/>
    </xf>
    <xf applyAlignment="1" applyBorder="1" applyFont="1" borderId="48" fillId="0" fontId="12" numFmtId="0" xfId="1">
      <alignment horizontal="center" wrapText="1"/>
    </xf>
    <xf applyAlignment="1" applyBorder="1" applyFont="1" borderId="49" fillId="0" fontId="12" numFmtId="0" xfId="1">
      <alignment horizontal="center" wrapText="1"/>
    </xf>
    <xf applyAlignment="1" applyBorder="1" applyNumberFormat="1" borderId="47" fillId="0" fontId="2" numFmtId="1" xfId="1">
      <alignment horizontal="center"/>
    </xf>
    <xf applyAlignment="1" applyBorder="1" applyNumberFormat="1" borderId="49" fillId="0" fontId="2" numFmtId="2" xfId="1">
      <alignment horizontal="center"/>
    </xf>
    <xf applyAlignment="1" applyBorder="1" applyFont="1" applyNumberFormat="1" borderId="38" fillId="0" fontId="12" numFmtId="3" xfId="1">
      <alignment horizontal="center"/>
    </xf>
    <xf applyAlignment="1" applyBorder="1" applyFont="1" applyNumberFormat="1" borderId="38" fillId="0" fontId="12" numFmtId="2" xfId="1">
      <alignment horizontal="center" wrapText="1"/>
    </xf>
    <xf applyAlignment="1" applyBorder="1" applyFont="1" borderId="9" fillId="0" fontId="12" numFmtId="0" xfId="1">
      <alignment horizontal="center" wrapText="1"/>
    </xf>
    <xf applyAlignment="1" applyBorder="1" applyFont="1" borderId="16" fillId="0" fontId="12" numFmtId="0" xfId="1">
      <alignment horizontal="center" wrapText="1"/>
    </xf>
    <xf applyAlignment="1" applyBorder="1" applyFont="1" borderId="50" fillId="0" fontId="11" numFmtId="0" xfId="1">
      <alignment horizontal="center" textRotation="90"/>
    </xf>
    <xf applyAlignment="1" applyFont="1" borderId="0" fillId="0" fontId="13" numFmtId="0" xfId="1">
      <alignment horizontal="center" wrapText="1"/>
    </xf>
    <xf applyAlignment="1" applyBorder="1" applyFont="1" borderId="38" fillId="0" fontId="12" numFmtId="0" xfId="1">
      <alignment horizontal="center" wrapText="1"/>
    </xf>
    <xf applyAlignment="1" applyBorder="1" applyFont="1" borderId="18" fillId="0" fontId="12" numFmtId="0" xfId="1">
      <alignment horizontal="center"/>
    </xf>
    <xf applyAlignment="1" applyBorder="1" applyFont="1" borderId="23" fillId="0" fontId="12" numFmtId="0" xfId="1">
      <alignment horizontal="center"/>
    </xf>
    <xf applyAlignment="1" applyBorder="1" applyFont="1" borderId="16" fillId="0" fontId="12" numFmtId="0" xfId="1">
      <alignment wrapText="1"/>
    </xf>
    <xf applyAlignment="1" applyBorder="1" applyFont="1" applyNumberFormat="1" borderId="16" fillId="0" fontId="12" numFmtId="2" xfId="1">
      <alignment wrapText="1"/>
    </xf>
    <xf applyAlignment="1" applyBorder="1" applyFont="1" borderId="16" fillId="0" fontId="12" numFmtId="0" xfId="1">
      <alignment horizontal="center"/>
    </xf>
    <xf applyAlignment="1" applyBorder="1" applyFont="1" applyNumberFormat="1" borderId="47" fillId="0" fontId="12" numFmtId="1" xfId="1">
      <alignment horizontal="center"/>
    </xf>
    <xf applyAlignment="1" applyBorder="1" applyFont="1" applyNumberFormat="1" borderId="49" fillId="0" fontId="12" numFmtId="1" xfId="1">
      <alignment horizontal="center"/>
    </xf>
    <xf applyAlignment="1" applyBorder="1" applyFont="1" applyNumberFormat="1" borderId="8" fillId="0" fontId="12" numFmtId="2" xfId="1">
      <alignment horizontal="center"/>
    </xf>
    <xf applyAlignment="1" applyBorder="1" applyFont="1" borderId="8" fillId="0" fontId="12" numFmtId="0" xfId="1">
      <alignment horizontal="center" wrapText="1"/>
    </xf>
    <xf applyAlignment="1" applyBorder="1" applyFont="1" applyNumberFormat="1" borderId="8" fillId="0" fontId="12" numFmtId="2" xfId="1">
      <alignment horizontal="center" wrapText="1"/>
    </xf>
    <xf applyAlignment="1" applyBorder="1" applyFont="1" borderId="8" fillId="0" fontId="12" numFmtId="0" xfId="1">
      <alignment horizontal="center"/>
    </xf>
    <xf applyAlignment="1" applyBorder="1" applyFont="1" applyNumberFormat="1" borderId="38" fillId="0" fontId="12" numFmtId="1" xfId="1">
      <alignment horizontal="center"/>
    </xf>
    <xf applyAlignment="1" applyBorder="1" applyFont="1" applyNumberFormat="1" borderId="38" fillId="0" fontId="12" numFmtId="2" xfId="1">
      <alignment horizontal="center"/>
    </xf>
    <xf applyAlignment="1" applyBorder="1" applyFont="1" borderId="10" fillId="0" fontId="12" numFmtId="0" xfId="1">
      <alignment horizontal="center"/>
    </xf>
    <xf applyAlignment="1" applyBorder="1" applyFont="1" borderId="8" fillId="0" fontId="12" numFmtId="0" xfId="1">
      <alignment horizontal="center"/>
    </xf>
    <xf applyAlignment="1" applyBorder="1" applyFont="1" borderId="34" fillId="0" fontId="11" numFmtId="0" xfId="1">
      <alignment horizontal="center" textRotation="90"/>
    </xf>
    <xf applyAlignment="1" applyBorder="1" applyFont="1" borderId="38" fillId="0" fontId="12" numFmtId="0" xfId="1">
      <alignment horizontal="center"/>
    </xf>
    <xf applyAlignment="1" applyBorder="1" applyFont="1" applyNumberFormat="1" borderId="17" fillId="0" fontId="12" numFmtId="2" xfId="1">
      <alignment horizontal="center"/>
    </xf>
    <xf applyAlignment="1" applyBorder="1" applyFont="1" borderId="8" fillId="0" fontId="9" numFmtId="0" xfId="1">
      <alignment horizontal="center"/>
    </xf>
    <xf applyAlignment="1" applyBorder="1" applyFill="1" applyFont="1" applyNumberFormat="1" borderId="8" fillId="3" fontId="9" numFmtId="1" xfId="1">
      <alignment horizontal="center"/>
    </xf>
    <xf applyAlignment="1" applyBorder="1" applyFont="1" applyNumberFormat="1" borderId="8" fillId="0" fontId="9" numFmtId="1" xfId="1">
      <alignment horizontal="center"/>
    </xf>
    <xf applyAlignment="1" applyBorder="1" applyFont="1" applyNumberFormat="1" borderId="8" fillId="0" fontId="9" numFmtId="165" xfId="1">
      <alignment horizontal="center"/>
    </xf>
    <xf applyAlignment="1" applyBorder="1" applyFill="1" applyFont="1" applyNumberFormat="1" borderId="8" fillId="3" fontId="9" numFmtId="165" xfId="1">
      <alignment horizontal="center"/>
    </xf>
    <xf applyAlignment="1" applyBorder="1" applyFont="1" applyNumberFormat="1" borderId="8" fillId="0" fontId="9" numFmtId="2" xfId="1">
      <alignment horizontal="center"/>
    </xf>
    <xf applyAlignment="1" applyBorder="1" applyFont="1" borderId="38" fillId="0" fontId="9" numFmtId="0" xfId="1">
      <alignment horizontal="center"/>
    </xf>
    <xf applyAlignment="1" applyBorder="1" applyFont="1" applyNumberFormat="1" borderId="38" fillId="0" fontId="9" numFmtId="165" xfId="1">
      <alignment horizontal="center"/>
    </xf>
    <xf applyAlignment="1" applyBorder="1" applyFill="1" applyFont="1" applyNumberFormat="1" borderId="38" fillId="3" fontId="9" numFmtId="1" xfId="1">
      <alignment horizontal="center"/>
    </xf>
    <xf applyAlignment="1" applyBorder="1" applyFont="1" applyNumberFormat="1" borderId="38" fillId="0" fontId="9" numFmtId="1" xfId="1">
      <alignment horizontal="center"/>
    </xf>
    <xf applyAlignment="1" applyFont="1" borderId="0" fillId="0" fontId="9" numFmtId="0" xfId="1">
      <alignment horizontal="center"/>
    </xf>
    <xf applyAlignment="1" applyFont="1" applyNumberFormat="1" borderId="0" fillId="0" fontId="9" numFmtId="1" xfId="1">
      <alignment horizontal="center"/>
    </xf>
    <xf applyAlignment="1" applyFont="1" applyNumberFormat="1" borderId="0" fillId="0" fontId="9" numFmtId="2" xfId="1">
      <alignment horizontal="center"/>
    </xf>
    <xf applyAlignment="1" applyFont="1" borderId="0" fillId="0" fontId="14" numFmtId="0" xfId="1">
      <alignment horizontal="center" wrapText="1"/>
    </xf>
    <xf applyAlignment="1" applyFont="1" borderId="0" fillId="0" fontId="15" numFmtId="0" xfId="1">
      <alignment horizontal="center" wrapText="1"/>
    </xf>
    <xf applyAlignment="1" applyFont="1" borderId="0" fillId="0" fontId="15" numFmtId="0" xfId="1">
      <alignment horizontal="center" wrapText="1"/>
    </xf>
    <xf applyAlignment="1" applyBorder="1" applyFont="1" borderId="4" fillId="0" fontId="16" numFmtId="0" xfId="1">
      <alignment horizontal="center"/>
    </xf>
    <xf applyAlignment="1" applyBorder="1" applyFont="1" borderId="6" fillId="0" fontId="16" numFmtId="0" xfId="1">
      <alignment horizontal="center"/>
    </xf>
    <xf applyAlignment="1" applyBorder="1" applyFill="1" applyFont="1" applyProtection="1" borderId="4" fillId="4" fontId="17" numFmtId="0" xfId="1">
      <alignment horizontal="center"/>
      <protection locked="0"/>
    </xf>
    <xf applyAlignment="1" applyBorder="1" applyFill="1" applyFont="1" applyProtection="1" borderId="5" fillId="4" fontId="17" numFmtId="0" xfId="1">
      <alignment horizontal="center"/>
      <protection locked="0"/>
    </xf>
    <xf applyAlignment="1" applyBorder="1" applyFill="1" applyFont="1" applyProtection="1" borderId="6" fillId="4" fontId="17" numFmtId="0" xfId="1">
      <alignment horizontal="center"/>
      <protection locked="0"/>
    </xf>
    <xf applyFill="1" applyFont="1" applyProtection="1" borderId="0" fillId="4" fontId="17" numFmtId="0" xfId="1">
      <protection locked="0"/>
    </xf>
    <xf applyAlignment="1" applyBorder="1" applyFont="1" applyNumberFormat="1" borderId="38" fillId="0" fontId="18" numFmtId="165" xfId="1">
      <alignment horizontal="center" textRotation="90"/>
    </xf>
    <xf applyAlignment="1" applyBorder="1" applyFont="1" applyNumberFormat="1" borderId="51" fillId="0" fontId="19" numFmtId="2" xfId="1">
      <alignment horizontal="center"/>
    </xf>
    <xf applyFont="1" borderId="0" fillId="0" fontId="19" numFmtId="0" xfId="1"/>
    <xf applyAlignment="1" applyBorder="1" applyFont="1" borderId="52" fillId="0" fontId="16" numFmtId="0" xfId="1">
      <alignment horizontal="center"/>
    </xf>
    <xf applyAlignment="1" applyBorder="1" applyFont="1" borderId="53" fillId="0" fontId="16" numFmtId="0" xfId="1">
      <alignment horizontal="center"/>
    </xf>
    <xf applyAlignment="1" applyBorder="1" applyFill="1" applyFont="1" applyNumberFormat="1" applyProtection="1" borderId="4" fillId="4" fontId="17" numFmtId="1" xfId="1">
      <alignment horizontal="center"/>
      <protection locked="0"/>
    </xf>
    <xf applyAlignment="1" applyBorder="1" applyFill="1" applyFont="1" applyNumberFormat="1" applyProtection="1" borderId="5" fillId="4" fontId="17" numFmtId="1" xfId="1">
      <alignment horizontal="center"/>
      <protection locked="0"/>
    </xf>
    <xf applyAlignment="1" applyBorder="1" applyFill="1" applyFont="1" applyNumberFormat="1" applyProtection="1" borderId="6" fillId="4" fontId="17" numFmtId="1" xfId="1">
      <alignment horizontal="center"/>
      <protection locked="0"/>
    </xf>
    <xf applyAlignment="1" applyBorder="1" applyFont="1" applyNumberFormat="1" borderId="51" fillId="0" fontId="4" numFmtId="2" xfId="1">
      <alignment horizontal="center"/>
    </xf>
    <xf applyBorder="1" applyFont="1" applyNumberFormat="1" borderId="17" fillId="0" fontId="9" numFmtId="164" xfId="1"/>
    <xf applyAlignment="1" applyBorder="1" applyFont="1" borderId="47" fillId="0" fontId="4" numFmtId="0" xfId="1">
      <alignment horizontal="center"/>
    </xf>
    <xf applyAlignment="1" applyBorder="1" applyFont="1" borderId="49" fillId="0" fontId="4" numFmtId="0" xfId="1">
      <alignment horizontal="center"/>
    </xf>
    <xf applyAlignment="1" applyFont="1" borderId="0" fillId="0" fontId="19" numFmtId="0" xfId="1">
      <alignment horizontal="center"/>
    </xf>
    <xf applyAlignment="1" applyBorder="1" applyFill="1" applyFont="1" applyNumberFormat="1" borderId="51" fillId="4" fontId="17" numFmtId="2" xfId="1">
      <alignment horizontal="center"/>
    </xf>
    <xf applyAlignment="1" applyBorder="1" applyFont="1" applyNumberFormat="1" borderId="4" fillId="0" fontId="20" numFmtId="1" xfId="1">
      <alignment horizontal="center"/>
    </xf>
    <xf applyAlignment="1" applyBorder="1" applyFont="1" borderId="6" fillId="0" fontId="21" numFmtId="0" xfId="1">
      <alignment horizontal="center"/>
    </xf>
    <xf applyAlignment="1" applyBorder="1" applyFont="1" applyNumberFormat="1" borderId="51" fillId="0" fontId="20" numFmtId="1" xfId="1">
      <alignment horizontal="center"/>
    </xf>
    <xf applyAlignment="1" applyBorder="1" applyFont="1" applyNumberFormat="1" borderId="51" fillId="0" fontId="20" numFmtId="2" xfId="1">
      <alignment horizontal="center"/>
    </xf>
    <xf applyAlignment="1" applyFont="1" applyNumberFormat="1" borderId="0" fillId="0" fontId="9" numFmtId="164" xfId="1">
      <alignment horizontal="center"/>
    </xf>
    <xf applyAlignment="1" applyBorder="1" applyFont="1" applyNumberFormat="1" borderId="47" fillId="0" fontId="4" numFmtId="2" xfId="1">
      <alignment horizontal="center"/>
    </xf>
    <xf applyAlignment="1" applyBorder="1" applyFont="1" applyNumberFormat="1" borderId="49" fillId="0" fontId="4" numFmtId="2" xfId="1">
      <alignment horizontal="center"/>
    </xf>
    <xf applyAlignment="1" applyBorder="1" applyFill="1" applyFont="1" applyNumberFormat="1" applyProtection="1" borderId="51" fillId="4" fontId="17" numFmtId="2" xfId="1">
      <alignment horizontal="center"/>
      <protection locked="0"/>
    </xf>
    <xf applyAlignment="1" applyBorder="1" applyFont="1" applyNumberFormat="1" borderId="51" fillId="0" fontId="17" numFmtId="38" xfId="2">
      <alignment horizontal="center"/>
    </xf>
    <xf applyBorder="1" applyFont="1" applyNumberFormat="1" borderId="51" fillId="0" fontId="17" numFmtId="38" xfId="2"/>
    <xf applyAlignment="1" applyBorder="1" applyFont="1" borderId="51" fillId="0" fontId="22" numFmtId="40" xfId="2">
      <alignment horizontal="center"/>
    </xf>
    <xf applyAlignment="1" applyFont="1" borderId="0" fillId="0" fontId="19" numFmtId="0" xfId="1">
      <alignment horizontal="left"/>
    </xf>
    <xf applyAlignment="1" applyBorder="1" applyFill="1" applyFont="1" applyNumberFormat="1" applyProtection="1" borderId="51" fillId="2" fontId="17" numFmtId="2" xfId="1">
      <alignment horizontal="center"/>
      <protection locked="0"/>
    </xf>
    <xf applyBorder="1" applyFont="1" applyNumberFormat="1" borderId="7" fillId="0" fontId="17" numFmtId="38" xfId="2"/>
    <xf applyAlignment="1" applyBorder="1" applyFont="1" applyNumberFormat="1" borderId="38" fillId="0" fontId="4" numFmtId="1" xfId="1">
      <alignment horizontal="center"/>
    </xf>
    <xf applyAlignment="1" applyBorder="1" applyFill="1" applyFont="1" borderId="47" fillId="2" fontId="4" numFmtId="0" xfId="1">
      <alignment horizontal="center"/>
    </xf>
    <xf applyAlignment="1" applyBorder="1" applyFill="1" applyFont="1" borderId="49" fillId="2" fontId="4" numFmtId="0" xfId="1">
      <alignment horizontal="center"/>
    </xf>
    <xf applyAlignment="1" applyBorder="1" applyFont="1" borderId="4" fillId="0" fontId="16" numFmtId="0" xfId="1">
      <alignment horizontal="center" wrapText="1"/>
    </xf>
    <xf applyAlignment="1" applyBorder="1" applyFont="1" borderId="6" fillId="0" fontId="16" numFmtId="0" xfId="1">
      <alignment horizontal="center" wrapText="1"/>
    </xf>
    <xf applyAlignment="1" applyBorder="1" applyFont="1" applyNumberFormat="1" borderId="51" fillId="0" fontId="4" numFmtId="1" xfId="1">
      <alignment horizontal="center" wrapText="1"/>
    </xf>
    <xf applyAlignment="1" applyBorder="1" applyFont="1" applyNumberFormat="1" borderId="4" fillId="0" fontId="4" numFmtId="1" xfId="1">
      <alignment horizontal="center" wrapText="1"/>
    </xf>
    <xf applyAlignment="1" applyBorder="1" applyFont="1" applyNumberFormat="1" borderId="6" fillId="0" fontId="4" numFmtId="1" xfId="1">
      <alignment horizontal="center" wrapText="1"/>
    </xf>
    <xf applyAlignment="1" applyBorder="1" applyFill="1" applyFont="1" borderId="38" fillId="4" fontId="4" numFmtId="0" xfId="1">
      <alignment horizontal="center"/>
    </xf>
    <xf applyAlignment="1" applyBorder="1" applyFont="1" applyNumberFormat="1" borderId="47" fillId="0" fontId="4" numFmtId="165" xfId="1">
      <alignment horizontal="center"/>
    </xf>
    <xf applyAlignment="1" applyBorder="1" applyFont="1" applyNumberFormat="1" borderId="49" fillId="0" fontId="4" numFmtId="165" xfId="1">
      <alignment horizontal="center"/>
    </xf>
    <xf applyFont="1" applyNumberFormat="1" borderId="0" fillId="0" fontId="9" numFmtId="164" xfId="1"/>
    <xf applyAlignment="1" applyBorder="1" applyFill="1" applyFont="1" applyNumberFormat="1" applyProtection="1" borderId="51" fillId="2" fontId="17" numFmtId="1" xfId="1">
      <alignment horizontal="center"/>
      <protection locked="0"/>
    </xf>
    <xf applyAlignment="1" applyBorder="1" applyFont="1" applyNumberFormat="1" borderId="4" fillId="0" fontId="16" numFmtId="1" xfId="1">
      <alignment horizontal="center" wrapText="1"/>
    </xf>
    <xf applyAlignment="1" applyBorder="1" applyFont="1" borderId="5" fillId="0" fontId="19" numFmtId="0" xfId="1">
      <alignment horizontal="center" wrapText="1"/>
    </xf>
    <xf applyAlignment="1" applyBorder="1" applyFont="1" applyNumberFormat="1" borderId="51" fillId="0" fontId="4" numFmtId="164" xfId="1">
      <alignment horizontal="center"/>
    </xf>
    <xf applyAlignment="1" applyBorder="1" applyFont="1" borderId="38" fillId="0" fontId="4" numFmtId="0" xfId="1">
      <alignment horizontal="center"/>
    </xf>
    <xf applyAlignment="1" applyBorder="1" applyFont="1" borderId="4" fillId="0" fontId="16" numFmtId="0" xfId="1">
      <alignment horizontal="center" vertical="center" wrapText="1"/>
    </xf>
    <xf applyAlignment="1" applyBorder="1" applyFont="1" borderId="6" fillId="0" fontId="16" numFmtId="0" xfId="1">
      <alignment horizontal="center" vertical="center" wrapText="1"/>
    </xf>
    <xf applyAlignment="1" applyBorder="1" applyFill="1" applyFont="1" applyNumberFormat="1" applyProtection="1" borderId="51" fillId="2" fontId="17" numFmtId="1" xfId="1">
      <alignment horizontal="center" vertical="center"/>
      <protection locked="0"/>
    </xf>
    <xf applyAlignment="1" applyBorder="1" applyFont="1" applyNumberFormat="1" borderId="4" fillId="0" fontId="16" numFmtId="1" xfId="1">
      <alignment horizontal="center" vertical="center" wrapText="1"/>
    </xf>
    <xf applyAlignment="1" applyBorder="1" applyFont="1" applyNumberFormat="1" borderId="5" fillId="0" fontId="16" numFmtId="1" xfId="1">
      <alignment horizontal="center" vertical="center" wrapText="1"/>
    </xf>
    <xf applyAlignment="1" applyBorder="1" applyFont="1" applyNumberFormat="1" applyProtection="1" borderId="51" fillId="0" fontId="17" numFmtId="164" xfId="1">
      <alignment horizontal="center" vertical="center"/>
      <protection locked="0"/>
    </xf>
    <xf applyAlignment="1" applyFont="1" applyNumberFormat="1" borderId="0" fillId="0" fontId="23" numFmtId="2" xfId="1">
      <alignment horizontal="center" vertical="center"/>
    </xf>
    <xf applyAlignment="1" applyFont="1" borderId="0" fillId="0" fontId="24" numFmtId="0" xfId="1">
      <alignment horizontal="right"/>
    </xf>
    <xf applyAlignment="1" applyFont="1" applyNumberFormat="1" borderId="0" fillId="0" fontId="25" numFmtId="164" xfId="1">
      <alignment horizontal="center"/>
    </xf>
    <xf applyAlignment="1" applyFont="1" applyNumberFormat="1" borderId="0" fillId="0" fontId="24" numFmtId="1" xfId="1">
      <alignment horizontal="center"/>
    </xf>
    <xf applyAlignment="1" applyFont="1" applyNumberFormat="1" borderId="0" fillId="0" fontId="24" numFmtId="2" xfId="1">
      <alignment horizontal="center"/>
    </xf>
    <xf applyFont="1" borderId="0" fillId="0" fontId="24" numFmtId="0" xfId="1"/>
    <xf applyAlignment="1" applyFont="1" applyNumberFormat="1" borderId="0" fillId="0" fontId="24" numFmtId="164" xfId="1">
      <alignment horizontal="center"/>
    </xf>
    <xf applyAlignment="1" applyBorder="1" applyFont="1" borderId="7" fillId="0" fontId="26" numFmtId="0" xfId="1">
      <alignment horizontal="center"/>
    </xf>
    <xf applyAlignment="1" applyBorder="1" applyFont="1" borderId="4" fillId="0" fontId="26" numFmtId="0" xfId="1">
      <alignment horizontal="center"/>
    </xf>
    <xf applyAlignment="1" applyBorder="1" applyFont="1" borderId="6" fillId="0" fontId="26" numFmtId="0" xfId="1">
      <alignment horizontal="center"/>
    </xf>
    <xf applyAlignment="1" applyBorder="1" applyFont="1" borderId="54" fillId="0" fontId="26" numFmtId="0" xfId="1">
      <alignment horizontal="center" wrapText="1"/>
    </xf>
    <xf applyAlignment="1" applyBorder="1" applyFont="1" borderId="55" fillId="0" fontId="26" numFmtId="0" xfId="1">
      <alignment horizontal="center"/>
    </xf>
    <xf applyBorder="1" applyFont="1" applyNumberFormat="1" borderId="56" fillId="0" fontId="26" numFmtId="2" xfId="1"/>
    <xf applyAlignment="1" applyBorder="1" applyFont="1" applyNumberFormat="1" borderId="5" fillId="0" fontId="26" numFmtId="2" xfId="1">
      <alignment horizontal="center"/>
    </xf>
    <xf applyAlignment="1" applyBorder="1" applyFont="1" applyNumberFormat="1" borderId="6" fillId="0" fontId="26" numFmtId="2" xfId="1">
      <alignment horizontal="center"/>
    </xf>
    <xf applyAlignment="1" applyBorder="1" applyFont="1" borderId="56" fillId="0" fontId="26" numFmtId="0" xfId="1">
      <alignment horizontal="center"/>
    </xf>
    <xf applyAlignment="1" applyBorder="1" applyFont="1" borderId="5" fillId="0" fontId="26" numFmtId="0" xfId="1">
      <alignment horizontal="center"/>
    </xf>
    <xf applyAlignment="1" applyBorder="1" applyFont="1" applyNumberFormat="1" borderId="54" fillId="0" fontId="26" numFmtId="2" xfId="1">
      <alignment horizontal="center"/>
    </xf>
    <xf applyAlignment="1" applyBorder="1" applyFont="1" applyNumberFormat="1" borderId="55" fillId="0" fontId="26" numFmtId="2" xfId="1">
      <alignment horizontal="center"/>
    </xf>
    <xf applyAlignment="1" applyBorder="1" applyFont="1" applyNumberFormat="1" borderId="33" fillId="0" fontId="26" numFmtId="164" xfId="1">
      <alignment horizontal="centerContinuous"/>
    </xf>
    <xf applyAlignment="1" applyBorder="1" applyFont="1" borderId="34" fillId="0" fontId="26" numFmtId="0" xfId="1">
      <alignment horizontal="centerContinuous"/>
    </xf>
    <xf applyAlignment="1" applyBorder="1" applyFont="1" borderId="35" fillId="0" fontId="26" numFmtId="0" xfId="1">
      <alignment horizontal="centerContinuous"/>
    </xf>
    <xf applyAlignment="1" applyBorder="1" applyFont="1" borderId="54" fillId="0" fontId="26" numFmtId="0" xfId="1">
      <alignment horizontal="center"/>
    </xf>
    <xf applyBorder="1" borderId="7" fillId="0" fontId="2" numFmtId="0" xfId="1"/>
    <xf applyAlignment="1" borderId="0" fillId="0" fontId="2" numFmtId="0" xfId="1">
      <alignment horizontal="center"/>
    </xf>
    <xf applyNumberFormat="1" borderId="0" fillId="0" fontId="2" numFmtId="164" xfId="1"/>
    <xf applyAlignment="1" applyBorder="1" applyFont="1" borderId="15" fillId="0" fontId="26" numFmtId="0" xfId="1">
      <alignment horizontal="center"/>
    </xf>
    <xf applyAlignment="1" applyBorder="1" applyFont="1" borderId="33" fillId="0" fontId="26" numFmtId="0" xfId="1">
      <alignment horizontal="center"/>
    </xf>
    <xf applyAlignment="1" applyBorder="1" applyFont="1" applyNumberFormat="1" borderId="35" fillId="0" fontId="26" numFmtId="1" xfId="1">
      <alignment horizontal="center"/>
    </xf>
    <xf applyAlignment="1" applyBorder="1" applyFont="1" borderId="52" fillId="0" fontId="26" numFmtId="0" xfId="1">
      <alignment horizontal="center"/>
    </xf>
    <xf applyAlignment="1" applyBorder="1" applyFont="1" borderId="57" fillId="0" fontId="26" numFmtId="0" xfId="1">
      <alignment horizontal="center"/>
    </xf>
    <xf applyAlignment="1" applyBorder="1" applyFont="1" applyNumberFormat="1" borderId="15" fillId="0" fontId="26" numFmtId="2" xfId="1">
      <alignment horizontal="center"/>
    </xf>
    <xf applyAlignment="1" applyBorder="1" applyFont="1" applyNumberFormat="1" borderId="56" fillId="0" fontId="26" numFmtId="3" xfId="1">
      <alignment horizontal="center"/>
    </xf>
    <xf applyAlignment="1" applyBorder="1" applyFont="1" borderId="58" fillId="0" fontId="26" numFmtId="0" xfId="1">
      <alignment horizontal="center"/>
    </xf>
    <xf applyAlignment="1" applyBorder="1" applyFont="1" borderId="59" fillId="0" fontId="26" numFmtId="0" xfId="1">
      <alignment horizontal="center"/>
    </xf>
    <xf applyAlignment="1" applyBorder="1" applyFont="1" applyNumberFormat="1" borderId="59" fillId="0" fontId="26" numFmtId="1" xfId="1">
      <alignment horizontal="center"/>
    </xf>
    <xf applyAlignment="1" applyBorder="1" applyFont="1" applyNumberFormat="1" borderId="60" fillId="0" fontId="26" numFmtId="1" xfId="1">
      <alignment horizontal="center"/>
    </xf>
    <xf applyAlignment="1" applyBorder="1" applyFont="1" applyNumberFormat="1" borderId="52" fillId="0" fontId="26" numFmtId="2" xfId="1">
      <alignment horizontal="center"/>
    </xf>
    <xf applyAlignment="1" applyBorder="1" applyFont="1" applyNumberFormat="1" borderId="57" fillId="0" fontId="26" numFmtId="2" xfId="1">
      <alignment horizontal="center"/>
    </xf>
    <xf applyAlignment="1" applyBorder="1" applyFont="1" applyNumberFormat="1" borderId="37" fillId="0" fontId="26" numFmtId="164" xfId="1">
      <alignment horizontal="center"/>
    </xf>
    <xf applyAlignment="1" applyBorder="1" applyFont="1" applyNumberFormat="1" borderId="38" fillId="0" fontId="26" numFmtId="164" xfId="1">
      <alignment horizontal="center"/>
    </xf>
    <xf applyAlignment="1" applyBorder="1" applyFont="1" borderId="38" fillId="0" fontId="26" numFmtId="0" xfId="1">
      <alignment horizontal="center"/>
    </xf>
    <xf applyAlignment="1" applyBorder="1" applyFont="1" applyNumberFormat="1" borderId="39" fillId="0" fontId="26" numFmtId="2" xfId="1">
      <alignment horizontal="center"/>
    </xf>
    <xf applyAlignment="1" applyBorder="1" applyFont="1" borderId="60" fillId="0" fontId="26" numFmtId="0" xfId="1">
      <alignment horizontal="center"/>
    </xf>
    <xf applyAlignment="1" applyBorder="1" borderId="15" fillId="0" fontId="2" numFmtId="0" xfId="1">
      <alignment horizontal="center"/>
    </xf>
    <xf applyAlignment="1" applyBorder="1" applyFont="1" borderId="61" fillId="0" fontId="26" numFmtId="0" xfId="1">
      <alignment horizontal="center"/>
    </xf>
    <xf applyAlignment="1" applyBorder="1" applyFont="1" borderId="42" fillId="0" fontId="26" numFmtId="0" xfId="1">
      <alignment horizontal="center"/>
    </xf>
    <xf applyAlignment="1" applyBorder="1" applyFont="1" borderId="44" fillId="0" fontId="26" numFmtId="0" xfId="1">
      <alignment horizontal="center"/>
    </xf>
    <xf applyAlignment="1" applyBorder="1" applyFont="1" applyNumberFormat="1" borderId="61" fillId="0" fontId="26" numFmtId="2" xfId="1">
      <alignment horizontal="center"/>
    </xf>
    <xf applyAlignment="1" applyBorder="1" applyFont="1" applyNumberFormat="1" borderId="62" fillId="0" fontId="26" numFmtId="3" xfId="1">
      <alignment horizontal="center"/>
    </xf>
    <xf applyAlignment="1" applyBorder="1" applyFont="1" borderId="62" fillId="0" fontId="26" numFmtId="0" xfId="1">
      <alignment horizontal="center"/>
    </xf>
    <xf applyAlignment="1" applyBorder="1" applyFont="1" applyNumberFormat="1" borderId="57" fillId="0" fontId="26" numFmtId="2" xfId="1">
      <alignment horizontal="center"/>
    </xf>
    <xf applyAlignment="1" applyBorder="1" applyFont="1" applyNumberFormat="1" borderId="42" fillId="0" fontId="26" numFmtId="164" xfId="1">
      <alignment horizontal="center"/>
    </xf>
    <xf applyAlignment="1" applyBorder="1" applyFont="1" applyNumberFormat="1" borderId="43" fillId="0" fontId="26" numFmtId="164" xfId="1">
      <alignment horizontal="center"/>
    </xf>
    <xf applyAlignment="1" applyBorder="1" applyFont="1" borderId="43" fillId="0" fontId="26" numFmtId="0" xfId="1">
      <alignment horizontal="center"/>
    </xf>
    <xf applyAlignment="1" applyBorder="1" applyFont="1" applyNumberFormat="1" borderId="44" fillId="0" fontId="26" numFmtId="2" xfId="1">
      <alignment horizontal="center"/>
    </xf>
    <xf applyAlignment="1" applyBorder="1" applyFont="1" borderId="52" fillId="0" fontId="26" numFmtId="0" xfId="1">
      <alignment horizontal="center"/>
    </xf>
    <xf applyAlignment="1" applyBorder="1" borderId="61" fillId="0" fontId="2" numFmtId="0" xfId="1">
      <alignment horizontal="center"/>
    </xf>
    <xf applyAlignment="1" applyFont="1" applyNumberFormat="1" borderId="0" fillId="0" fontId="0" numFmtId="38" xfId="2">
      <alignment horizontal="center"/>
    </xf>
    <xf applyFont="1" applyNumberFormat="1" borderId="0" fillId="0" fontId="0" numFmtId="38" xfId="2"/>
    <xf applyFont="1" applyNumberFormat="1" borderId="0" fillId="0" fontId="0" numFmtId="164" xfId="2"/>
    <xf applyNumberFormat="1" borderId="0" fillId="0" fontId="2" numFmtId="166" xfId="1"/>
    <xf applyNumberFormat="1" borderId="0" fillId="0" fontId="2" numFmtId="167" quotePrefix="1" xfId="1"/>
    <xf applyAlignment="1" applyBorder="1" applyFont="1" borderId="8" fillId="0" fontId="26" numFmtId="0" xfId="1">
      <alignment horizontal="center"/>
    </xf>
    <xf applyAlignment="1" applyBorder="1" applyFill="1" applyFont="1" borderId="8" fillId="2" fontId="27" numFmtId="0" xfId="1">
      <alignment horizontal="center"/>
    </xf>
    <xf applyAlignment="1" applyBorder="1" applyFont="1" applyNumberFormat="1" borderId="8" fillId="0" fontId="26" numFmtId="2" xfId="1">
      <alignment horizontal="center"/>
    </xf>
    <xf applyAlignment="1" applyBorder="1" applyFont="1" applyNumberFormat="1" borderId="8" fillId="0" fontId="26" numFmtId="3" xfId="1">
      <alignment horizontal="center"/>
    </xf>
    <xf applyAlignment="1" applyBorder="1" applyFont="1" applyNumberFormat="1" borderId="8" fillId="0" fontId="26" numFmtId="164" xfId="1">
      <alignment horizontal="center"/>
    </xf>
    <xf applyAlignment="1" applyBorder="1" borderId="8" fillId="0" fontId="2" numFmtId="0" xfId="1">
      <alignment horizontal="center"/>
    </xf>
    <xf applyNumberFormat="1" borderId="0" fillId="0" fontId="2" numFmtId="2" xfId="1"/>
    <xf applyAlignment="1" applyBorder="1" applyFont="1" borderId="8" fillId="0" fontId="28" numFmtId="0" xfId="1">
      <alignment horizontal="center"/>
    </xf>
    <xf applyAlignment="1" applyBorder="1" applyFill="1" applyFont="1" applyNumberFormat="1" applyProtection="1" borderId="34" fillId="2" fontId="29" numFmtId="2" xfId="1">
      <alignment horizontal="center"/>
      <protection locked="0"/>
    </xf>
    <xf applyAlignment="1" applyBorder="1" applyFont="1" applyNumberFormat="1" borderId="8" fillId="0" fontId="28" numFmtId="165" xfId="1">
      <alignment horizontal="center"/>
    </xf>
    <xf applyAlignment="1" applyBorder="1" applyFill="1" applyFont="1" applyNumberFormat="1" borderId="8" fillId="2" fontId="12" numFmtId="1" xfId="1">
      <alignment horizontal="center"/>
    </xf>
    <xf applyAlignment="1" applyBorder="1" applyFill="1" applyFont="1" applyProtection="1" borderId="8" fillId="2" fontId="28" numFmtId="9" xfId="3">
      <alignment horizontal="center"/>
      <protection locked="0"/>
    </xf>
    <xf applyAlignment="1" applyBorder="1" applyFill="1" applyFont="1" applyNumberFormat="1" borderId="38" fillId="2" fontId="12" numFmtId="2" xfId="1">
      <alignment horizontal="center"/>
    </xf>
    <xf applyAlignment="1" applyBorder="1" applyFont="1" applyNumberFormat="1" applyProtection="1" borderId="8" fillId="0" fontId="28" numFmtId="3" xfId="1">
      <alignment horizontal="center"/>
      <protection locked="0"/>
    </xf>
    <xf applyAlignment="1" applyBorder="1" applyFill="1" applyFont="1" applyNumberFormat="1" borderId="8" fillId="2" fontId="4" numFmtId="164" xfId="1">
      <alignment horizontal="center"/>
    </xf>
    <xf applyAlignment="1" applyBorder="1" applyNumberFormat="1" borderId="8" fillId="0" fontId="2" numFmtId="165" xfId="1">
      <alignment horizontal="center"/>
    </xf>
    <xf applyAlignment="1" applyBorder="1" applyNumberFormat="1" borderId="8" fillId="0" fontId="2" numFmtId="164" xfId="1">
      <alignment horizontal="center"/>
    </xf>
    <xf applyAlignment="1" applyBorder="1" applyNumberFormat="1" borderId="8" fillId="0" fontId="2" numFmtId="168" xfId="1">
      <alignment horizontal="center"/>
    </xf>
    <xf applyAlignment="1" applyBorder="1" applyFill="1" applyFont="1" applyNumberFormat="1" borderId="8" fillId="3" fontId="4" numFmtId="164" xfId="1">
      <alignment horizontal="center"/>
    </xf>
    <xf applyAlignment="1" applyBorder="1" applyNumberFormat="1" borderId="8" fillId="0" fontId="2" numFmtId="13" xfId="1">
      <alignment horizontal="center"/>
    </xf>
    <xf applyAlignment="1" applyBorder="1" applyFont="1" applyNumberFormat="1" borderId="8" fillId="0" fontId="28" numFmtId="164" xfId="1">
      <alignment horizontal="center"/>
    </xf>
    <xf applyAlignment="1" applyBorder="1" applyFont="1" applyNumberFormat="1" borderId="8" fillId="0" fontId="28" numFmtId="2" xfId="1">
      <alignment horizontal="center"/>
    </xf>
    <xf applyAlignment="1" applyBorder="1" applyFont="1" applyNumberFormat="1" borderId="8" fillId="0" fontId="0" numFmtId="38" xfId="2">
      <alignment horizontal="center"/>
    </xf>
    <xf applyAlignment="1" applyBorder="1" applyNumberFormat="1" borderId="8" fillId="0" fontId="2" numFmtId="2" xfId="1">
      <alignment horizontal="center"/>
    </xf>
    <xf applyAlignment="1" applyBorder="1" applyFont="1" borderId="38" fillId="0" fontId="28" numFmtId="0" xfId="1">
      <alignment horizontal="center"/>
    </xf>
    <xf applyAlignment="1" applyBorder="1" applyFont="1" applyNumberFormat="1" borderId="38" fillId="0" fontId="28" numFmtId="165" xfId="1">
      <alignment horizontal="center"/>
    </xf>
    <xf applyAlignment="1" applyBorder="1" applyNumberFormat="1" borderId="38" fillId="0" fontId="2" numFmtId="165" xfId="1">
      <alignment horizontal="center"/>
    </xf>
    <xf applyAlignment="1" applyBorder="1" applyFont="1" applyNumberFormat="1" borderId="38" fillId="0" fontId="28" numFmtId="164" xfId="1">
      <alignment horizontal="center"/>
    </xf>
    <xf applyAlignment="1" applyBorder="1" applyFont="1" applyNumberFormat="1" borderId="38" fillId="0" fontId="28" numFmtId="2" xfId="1">
      <alignment horizontal="center"/>
    </xf>
    <xf applyAlignment="1" applyBorder="1" applyFont="1" applyNumberFormat="1" borderId="38" fillId="0" fontId="0" numFmtId="38" xfId="2">
      <alignment horizontal="center"/>
    </xf>
    <xf applyAlignment="1" applyBorder="1" applyNumberFormat="1" borderId="38" fillId="0" fontId="2" numFmtId="2" xfId="1">
      <alignment horizontal="center"/>
    </xf>
    <xf applyBorder="1" applyNumberFormat="1" borderId="8" fillId="0" fontId="2" numFmtId="13" xfId="1"/>
    <xf applyAlignment="1" applyBorder="1" applyFont="1" applyNumberFormat="1" applyProtection="1" borderId="38" fillId="0" fontId="28" numFmtId="3" xfId="1">
      <alignment horizontal="center"/>
      <protection locked="0"/>
    </xf>
    <xf applyAlignment="1" applyBorder="1" applyFill="1" applyFont="1" applyProtection="1" borderId="38" fillId="2" fontId="28" numFmtId="9" xfId="3">
      <alignment horizontal="center"/>
      <protection locked="0"/>
    </xf>
    <xf applyAlignment="1" applyBorder="1" applyFont="1" applyNumberFormat="1" borderId="16" fillId="0" fontId="28" numFmtId="165" xfId="1">
      <alignment horizontal="center"/>
    </xf>
    <xf applyAlignment="1" applyBorder="1" applyFill="1" applyFont="1" applyProtection="1" borderId="16" fillId="2" fontId="28" numFmtId="9" xfId="3">
      <alignment horizontal="center"/>
      <protection locked="0"/>
    </xf>
    <xf applyAlignment="1" applyBorder="1" applyFont="1" applyNumberFormat="1" applyProtection="1" borderId="16" fillId="0" fontId="28" numFmtId="3" xfId="1">
      <alignment horizontal="center"/>
      <protection locked="0"/>
    </xf>
    <xf applyAlignment="1" applyBorder="1" applyNumberFormat="1" borderId="16" fillId="0" fontId="2" numFmtId="165" xfId="1">
      <alignment horizontal="center"/>
    </xf>
    <xf applyAlignment="1" applyBorder="1" applyNumberFormat="1" borderId="23" fillId="0" fontId="2" numFmtId="164" xfId="1">
      <alignment horizontal="center"/>
    </xf>
    <xf applyAlignment="1" applyBorder="1" applyNumberFormat="1" borderId="23" fillId="0" fontId="2" numFmtId="168" xfId="1">
      <alignment horizontal="center"/>
    </xf>
    <xf applyBorder="1" applyNumberFormat="1" borderId="23" fillId="0" fontId="2" numFmtId="13" xfId="1"/>
    <xf applyAlignment="1" applyBorder="1" applyFont="1" applyNumberFormat="1" borderId="16" fillId="0" fontId="28" numFmtId="164" xfId="1">
      <alignment horizontal="center"/>
    </xf>
    <xf applyAlignment="1" applyBorder="1" applyFont="1" applyNumberFormat="1" borderId="16" fillId="0" fontId="28" numFmtId="2" xfId="1">
      <alignment horizontal="center"/>
    </xf>
    <xf applyAlignment="1" applyBorder="1" applyFont="1" applyNumberFormat="1" borderId="23" fillId="0" fontId="28" numFmtId="2" xfId="1">
      <alignment horizontal="center"/>
    </xf>
    <xf applyAlignment="1" applyBorder="1" applyFont="1" applyNumberFormat="1" borderId="16" fillId="0" fontId="0" numFmtId="38" xfId="2">
      <alignment horizontal="center"/>
    </xf>
    <xf applyAlignment="1" applyBorder="1" applyNumberFormat="1" borderId="16" fillId="0" fontId="2" numFmtId="2" xfId="1">
      <alignment horizontal="center"/>
    </xf>
    <xf applyAlignment="1" applyBorder="1" applyFont="1" borderId="1" fillId="0" fontId="26" numFmtId="0" xfId="1">
      <alignment horizontal="center"/>
    </xf>
    <xf applyAlignment="1" applyBorder="1" applyFill="1" applyFont="1" applyNumberFormat="1" applyProtection="1" borderId="7" fillId="2" fontId="29" numFmtId="2" xfId="1">
      <alignment horizontal="center"/>
      <protection locked="0"/>
    </xf>
    <xf applyAlignment="1" applyBorder="1" applyFont="1" applyNumberFormat="1" borderId="54" fillId="0" fontId="28" numFmtId="165" xfId="1">
      <alignment horizontal="center"/>
    </xf>
    <xf applyAlignment="1" applyBorder="1" applyFill="1" applyFont="1" applyNumberFormat="1" borderId="63" fillId="2" fontId="12" numFmtId="1" xfId="1">
      <alignment horizontal="center"/>
    </xf>
    <xf applyAlignment="1" applyBorder="1" applyFill="1" applyFont="1" applyProtection="1" borderId="63" fillId="2" fontId="28" numFmtId="9" xfId="3">
      <alignment horizontal="center"/>
      <protection locked="0"/>
    </xf>
    <xf applyAlignment="1" applyBorder="1" applyFill="1" applyFont="1" applyNumberFormat="1" borderId="63" fillId="2" fontId="12" numFmtId="2" xfId="1">
      <alignment horizontal="center"/>
    </xf>
    <xf applyAlignment="1" applyBorder="1" applyFont="1" applyNumberFormat="1" applyProtection="1" borderId="63" fillId="0" fontId="28" numFmtId="3" xfId="1">
      <alignment horizontal="center"/>
      <protection locked="0"/>
    </xf>
    <xf applyAlignment="1" applyBorder="1" applyFill="1" applyFont="1" applyNumberFormat="1" borderId="63" fillId="3" fontId="4" numFmtId="164" xfId="1">
      <alignment horizontal="center"/>
    </xf>
    <xf applyAlignment="1" applyBorder="1" applyNumberFormat="1" borderId="63" fillId="0" fontId="2" numFmtId="165" xfId="1">
      <alignment horizontal="center"/>
    </xf>
    <xf applyAlignment="1" applyBorder="1" applyNumberFormat="1" borderId="63" fillId="0" fontId="2" numFmtId="164" xfId="1">
      <alignment horizontal="center"/>
    </xf>
    <xf applyAlignment="1" applyBorder="1" applyNumberFormat="1" borderId="63" fillId="0" fontId="2" numFmtId="168" xfId="1">
      <alignment horizontal="center"/>
    </xf>
    <xf applyBorder="1" applyNumberFormat="1" borderId="63" fillId="0" fontId="2" numFmtId="13" xfId="1"/>
    <xf applyAlignment="1" applyBorder="1" applyFont="1" applyNumberFormat="1" borderId="63" fillId="0" fontId="28" numFmtId="164" xfId="1">
      <alignment horizontal="center"/>
    </xf>
    <xf applyAlignment="1" applyBorder="1" applyFont="1" applyNumberFormat="1" borderId="63" fillId="0" fontId="28" numFmtId="2" xfId="1">
      <alignment horizontal="center"/>
    </xf>
    <xf applyAlignment="1" applyBorder="1" applyFont="1" applyNumberFormat="1" borderId="63" fillId="0" fontId="0" numFmtId="38" xfId="2">
      <alignment horizontal="center"/>
    </xf>
    <xf applyAlignment="1" applyBorder="1" applyNumberFormat="1" borderId="63" fillId="0" fontId="2" numFmtId="2" xfId="1">
      <alignment horizontal="center"/>
    </xf>
    <xf applyAlignment="1" applyBorder="1" applyNumberFormat="1" borderId="55" fillId="0" fontId="2" numFmtId="2" xfId="1">
      <alignment horizontal="center"/>
    </xf>
    <xf applyAlignment="1" applyBorder="1" applyFont="1" borderId="5" fillId="0" fontId="28" numFmtId="0" xfId="1">
      <alignment horizontal="center"/>
    </xf>
    <xf applyAlignment="1" applyBorder="1" applyFont="1" borderId="4" fillId="0" fontId="28" numFmtId="0" xfId="1">
      <alignment horizontal="right"/>
    </xf>
    <xf applyAlignment="1" applyBorder="1" applyFont="1" applyNumberFormat="1" borderId="5" fillId="0" fontId="28" numFmtId="1" xfId="1">
      <alignment horizontal="left"/>
    </xf>
    <xf applyAlignment="1" applyBorder="1" applyFont="1" applyNumberFormat="1" borderId="5" fillId="0" fontId="28" numFmtId="1" xfId="1">
      <alignment horizontal="center"/>
    </xf>
    <xf applyAlignment="1" applyBorder="1" applyFont="1" applyNumberFormat="1" borderId="5" fillId="0" fontId="28" numFmtId="2" xfId="1">
      <alignment horizontal="center"/>
    </xf>
    <xf applyBorder="1" borderId="5" fillId="0" fontId="2" numFmtId="0" xfId="1"/>
    <xf applyAlignment="1" applyBorder="1" borderId="5" fillId="0" fontId="2" numFmtId="0" xfId="1">
      <alignment horizontal="center"/>
    </xf>
    <xf applyAlignment="1" applyBorder="1" applyNumberFormat="1" borderId="5" fillId="0" fontId="2" numFmtId="2" xfId="1">
      <alignment horizontal="center"/>
    </xf>
    <xf applyBorder="1" applyFont="1" borderId="5" fillId="0" fontId="28" numFmtId="0" xfId="1"/>
    <xf applyAlignment="1" applyBorder="1" applyFont="1" applyNumberFormat="1" borderId="64" fillId="0" fontId="30" numFmtId="164" xfId="1">
      <alignment horizontal="center"/>
    </xf>
    <xf applyAlignment="1" applyBorder="1" applyFont="1" applyNumberFormat="1" borderId="50" fillId="0" fontId="30" numFmtId="164" xfId="1">
      <alignment horizontal="center"/>
    </xf>
    <xf applyAlignment="1" applyBorder="1" applyFont="1" applyNumberFormat="1" borderId="65" fillId="0" fontId="30" numFmtId="2" xfId="1">
      <alignment horizontal="center"/>
    </xf>
    <xf applyAlignment="1" applyBorder="1" applyFont="1" applyNumberFormat="1" borderId="51" fillId="0" fontId="30" numFmtId="2" xfId="1">
      <alignment horizontal="center"/>
    </xf>
    <xf applyBorder="1" applyNumberFormat="1" borderId="51" fillId="0" fontId="2" numFmtId="2" xfId="1"/>
    <xf applyBorder="1" borderId="4" fillId="0" fontId="2" numFmtId="0" xfId="1"/>
    <xf applyBorder="1" borderId="6" fillId="0" fontId="2" numFmtId="0" xfId="1"/>
    <xf applyFont="1" applyNumberFormat="1" borderId="0" fillId="0" fontId="9" numFmtId="38" xfId="2"/>
    <xf applyFont="1" borderId="0" fillId="0" fontId="0" numFmtId="40" xfId="2"/>
    <xf applyAlignment="1" applyFont="1" applyNumberFormat="1" borderId="0" fillId="0" fontId="31" numFmtId="1" xfId="1">
      <alignment horizontal="left"/>
    </xf>
    <xf applyAlignment="1" applyFont="1" borderId="0" fillId="0" fontId="24" numFmtId="0" xfId="1">
      <alignment horizontal="center"/>
    </xf>
    <xf applyBorder="1" applyFill="1" applyFont="1" borderId="54" fillId="5" fontId="29" numFmtId="0" xfId="1"/>
    <xf applyAlignment="1" applyBorder="1" applyFont="1" borderId="34" fillId="0" fontId="28" numFmtId="0" xfId="1">
      <alignment horizontal="centerContinuous"/>
    </xf>
    <xf applyAlignment="1" applyBorder="1" applyFont="1" applyNumberFormat="1" borderId="34" fillId="0" fontId="28" numFmtId="1" xfId="1">
      <alignment horizontal="centerContinuous"/>
    </xf>
    <xf applyAlignment="1" applyBorder="1" applyNumberFormat="1" borderId="34" fillId="0" fontId="2" numFmtId="2" xfId="1">
      <alignment horizontal="center"/>
    </xf>
    <xf applyAlignment="1" applyBorder="1" applyFont="1" applyNumberFormat="1" borderId="66" fillId="0" fontId="28" numFmtId="2" xfId="1">
      <alignment horizontal="center"/>
    </xf>
    <xf applyAlignment="1" applyBorder="1" applyFont="1" applyNumberFormat="1" borderId="67" fillId="0" fontId="28" numFmtId="2" xfId="1">
      <alignment horizontal="center"/>
    </xf>
    <xf applyAlignment="1" applyBorder="1" applyFont="1" borderId="68" fillId="0" fontId="9" numFmtId="0" xfId="1">
      <alignment horizontal="center"/>
    </xf>
    <xf applyAlignment="1" applyBorder="1" borderId="34" fillId="0" fontId="2" numFmtId="0" xfId="1">
      <alignment horizontal="center"/>
    </xf>
    <xf applyAlignment="1" applyBorder="1" borderId="35" fillId="0" fontId="2" numFmtId="0" xfId="1">
      <alignment horizontal="center"/>
    </xf>
    <xf applyBorder="1" applyFont="1" borderId="60" fillId="0" fontId="28" numFmtId="0" xfId="1"/>
    <xf applyAlignment="1" applyBorder="1" applyFont="1" applyNumberFormat="1" borderId="38" fillId="0" fontId="28" numFmtId="1" xfId="1">
      <alignment horizontal="center"/>
    </xf>
    <xf applyAlignment="1" applyBorder="1" applyFont="1" applyNumberFormat="1" borderId="38" fillId="0" fontId="28" numFmtId="3" xfId="1">
      <alignment horizontal="center"/>
    </xf>
    <xf applyAlignment="1" applyBorder="1" applyFont="1" borderId="47" fillId="0" fontId="28" numFmtId="0" xfId="1">
      <alignment horizontal="center"/>
    </xf>
    <xf applyAlignment="1" applyBorder="1" borderId="38" fillId="0" fontId="2" numFmtId="0" xfId="1">
      <alignment horizontal="center"/>
    </xf>
    <xf applyAlignment="1" applyBorder="1" borderId="39" fillId="0" fontId="2" numFmtId="0" xfId="1">
      <alignment horizontal="center"/>
    </xf>
    <xf applyAlignment="1" applyFont="1" borderId="0" fillId="0" fontId="4" numFmtId="0" xfId="1">
      <alignment horizontal="center"/>
    </xf>
    <xf applyAlignment="1" applyBorder="1" applyFont="1" borderId="52" fillId="0" fontId="28" numFmtId="0" xfId="1">
      <alignment horizontal="right"/>
    </xf>
    <xf applyAlignment="1" applyBorder="1" applyFont="1" borderId="43" fillId="0" fontId="9" numFmtId="0" xfId="1">
      <alignment horizontal="center"/>
    </xf>
    <xf applyAlignment="1" applyBorder="1" applyFont="1" applyNumberFormat="1" borderId="43" fillId="0" fontId="28" numFmtId="2" xfId="1">
      <alignment horizontal="center"/>
    </xf>
    <xf applyAlignment="1" applyBorder="1" applyFont="1" applyNumberFormat="1" borderId="43" fillId="0" fontId="28" numFmtId="3" xfId="1">
      <alignment horizontal="center"/>
    </xf>
    <xf applyAlignment="1" applyBorder="1" applyFont="1" borderId="69" fillId="0" fontId="9" numFmtId="0" xfId="1">
      <alignment horizontal="center"/>
    </xf>
    <xf applyAlignment="1" applyBorder="1" applyFont="1" borderId="70" fillId="0" fontId="9" numFmtId="0" xfId="1">
      <alignment horizontal="center"/>
    </xf>
    <xf applyAlignment="1" applyBorder="1" applyFont="1" borderId="44" fillId="0" fontId="9" numFmtId="0" xfId="1">
      <alignment horizontal="center"/>
    </xf>
    <xf applyAlignment="1" applyFont="1" borderId="0" fillId="0" fontId="4" numFmtId="0" quotePrefix="1" xfId="1">
      <alignment horizontal="center"/>
    </xf>
    <xf applyBorder="1" applyFont="1" borderId="71" fillId="0" fontId="28" numFmtId="0" xfId="1"/>
    <xf applyAlignment="1" applyBorder="1" applyFont="1" applyProtection="1" borderId="8" fillId="0" fontId="28" numFmtId="0" xfId="1">
      <alignment horizontal="center"/>
      <protection locked="0"/>
    </xf>
    <xf applyAlignment="1" applyBorder="1" applyFont="1" applyNumberFormat="1" applyProtection="1" borderId="8" fillId="0" fontId="28" numFmtId="164" xfId="1">
      <alignment horizontal="center"/>
      <protection locked="0"/>
    </xf>
    <xf applyAlignment="1" applyBorder="1" applyFont="1" applyProtection="1" borderId="11" fillId="0" fontId="29" numFmtId="0" xfId="1">
      <alignment horizontal="center"/>
      <protection locked="0"/>
    </xf>
    <xf applyBorder="1" applyFont="1" borderId="37" fillId="0" fontId="28" numFmtId="0" xfId="1"/>
    <xf applyAlignment="1" applyBorder="1" applyFont="1" applyProtection="1" borderId="38" fillId="0" fontId="28" numFmtId="0" xfId="1">
      <alignment horizontal="center"/>
      <protection locked="0"/>
    </xf>
    <xf applyAlignment="1" applyBorder="1" applyFont="1" applyNumberFormat="1" applyProtection="1" borderId="38" fillId="0" fontId="28" numFmtId="164" xfId="1">
      <alignment horizontal="center"/>
      <protection locked="0"/>
    </xf>
    <xf applyAlignment="1" applyBorder="1" applyFont="1" applyProtection="1" borderId="47" fillId="0" fontId="29" numFmtId="0" xfId="1">
      <alignment horizontal="center"/>
      <protection locked="0"/>
    </xf>
    <xf applyNumberFormat="1" borderId="0" fillId="0" fontId="2" numFmtId="4" xfId="1"/>
    <xf applyNumberFormat="1" borderId="0" fillId="0" fontId="2" numFmtId="165" xfId="1"/>
    <xf applyBorder="1" applyFont="1" borderId="72" fillId="0" fontId="28" numFmtId="0" xfId="1"/>
    <xf applyAlignment="1" applyBorder="1" applyFont="1" applyProtection="1" borderId="16" fillId="0" fontId="28" numFmtId="0" xfId="1">
      <alignment horizontal="center"/>
      <protection locked="0"/>
    </xf>
    <xf applyAlignment="1" applyBorder="1" applyFont="1" applyNumberFormat="1" applyProtection="1" borderId="16" fillId="0" fontId="28" numFmtId="164" xfId="1">
      <alignment horizontal="center"/>
      <protection locked="0"/>
    </xf>
    <xf applyAlignment="1" applyBorder="1" applyFont="1" applyNumberFormat="1" borderId="23" fillId="0" fontId="28" numFmtId="165" xfId="1">
      <alignment horizontal="center"/>
    </xf>
    <xf applyAlignment="1" applyBorder="1" applyFont="1" applyNumberFormat="1" applyProtection="1" borderId="1" fillId="0" fontId="29" numFmtId="164" xfId="1">
      <alignment horizontal="center"/>
      <protection locked="0"/>
    </xf>
    <xf applyAlignment="1" applyBorder="1" borderId="16" fillId="0" fontId="2" numFmtId="0" xfId="1">
      <alignment horizontal="center"/>
    </xf>
    <xf applyAlignment="1" applyBorder="1" applyFont="1" applyNumberFormat="1" borderId="5" fillId="0" fontId="28" numFmtId="164" xfId="1">
      <alignment horizontal="center"/>
    </xf>
    <xf applyAlignment="1" applyBorder="1" applyFont="1" borderId="5" fillId="0" fontId="20" numFmtId="0" xfId="1">
      <alignment horizontal="right"/>
    </xf>
    <xf applyAlignment="1" applyBorder="1" applyNumberFormat="1" borderId="50" fillId="0" fontId="2" numFmtId="2" xfId="1">
      <alignment horizontal="center"/>
    </xf>
    <xf applyAlignment="1" applyBorder="1" applyNumberFormat="1" borderId="73" fillId="0" fontId="2" numFmtId="2" xfId="1">
      <alignment horizontal="center"/>
    </xf>
    <xf applyAlignment="1" applyBorder="1" applyNumberFormat="1" borderId="34" fillId="0" fontId="2" numFmtId="164" xfId="1">
      <alignment horizontal="center"/>
    </xf>
    <xf applyAlignment="1" applyBorder="1" applyFont="1" borderId="74" fillId="0" fontId="9" numFmtId="0" xfId="1">
      <alignment horizontal="center"/>
    </xf>
    <xf applyBorder="1" applyFont="1" borderId="60" fillId="0" fontId="29" numFmtId="0" xfId="1"/>
    <xf applyAlignment="1" applyBorder="1" applyFont="1" borderId="39" fillId="0" fontId="28" numFmtId="0" xfId="1">
      <alignment horizontal="center"/>
    </xf>
    <xf applyAlignment="1" applyBorder="1" applyFont="1" applyNumberFormat="1" borderId="43" fillId="0" fontId="28" numFmtId="164" xfId="1">
      <alignment horizontal="center"/>
    </xf>
    <xf applyAlignment="1" applyBorder="1" applyFont="1" applyNumberFormat="1" applyProtection="1" borderId="75" fillId="0" fontId="29" numFmtId="169" xfId="1">
      <alignment horizontal="center"/>
      <protection locked="0"/>
    </xf>
    <xf applyAlignment="1" applyBorder="1" applyFont="1" applyNumberFormat="1" applyProtection="1" borderId="39" fillId="0" fontId="29" numFmtId="169" xfId="1">
      <alignment horizontal="center"/>
      <protection locked="0"/>
    </xf>
    <xf applyBorder="1" applyFont="1" borderId="6" fillId="0" fontId="28" numFmtId="0" xfId="1"/>
    <xf applyAlignment="1" applyBorder="1" applyFill="1" applyFont="1" borderId="60" fillId="5" fontId="29" numFmtId="0" xfId="1">
      <alignment horizontal="left"/>
    </xf>
    <xf applyAlignment="1" applyFont="1" borderId="0" fillId="0" fontId="28" numFmtId="0" xfId="1">
      <alignment horizontal="center"/>
    </xf>
    <xf applyAlignment="1" applyFont="1" applyNumberFormat="1" borderId="0" fillId="0" fontId="28" numFmtId="1" xfId="1">
      <alignment horizontal="center"/>
    </xf>
    <xf applyAlignment="1" applyFont="1" applyNumberFormat="1" borderId="0" fillId="0" fontId="28" numFmtId="2" xfId="1">
      <alignment horizontal="center"/>
    </xf>
    <xf applyFont="1" borderId="0" fillId="0" fontId="28" numFmtId="0" xfId="1"/>
    <xf applyBorder="1" applyFont="1" borderId="76" fillId="0" fontId="28" numFmtId="0" xfId="1"/>
    <xf applyAlignment="1" applyBorder="1" applyFont="1" borderId="52" fillId="0" fontId="29" numFmtId="0" xfId="1">
      <alignment horizontal="right"/>
    </xf>
    <xf applyAlignment="1" applyBorder="1" applyFont="1" borderId="17" fillId="0" fontId="9" numFmtId="0" xfId="1">
      <alignment horizontal="center"/>
    </xf>
    <xf applyAlignment="1" borderId="0" fillId="0" fontId="2" numFmtId="0" xfId="1">
      <alignment textRotation="90"/>
    </xf>
    <xf applyAlignment="1" applyNumberFormat="1" borderId="0" fillId="0" fontId="2" numFmtId="2" xfId="1">
      <alignment horizontal="center" textRotation="90"/>
    </xf>
    <xf applyAlignment="1" applyNumberFormat="1" borderId="0" fillId="0" fontId="2" numFmtId="3" xfId="1">
      <alignment horizontal="center" textRotation="90"/>
    </xf>
    <xf applyAlignment="1" applyNumberFormat="1" borderId="0" fillId="0" fontId="2" numFmtId="165" xfId="1">
      <alignment horizontal="center" textRotation="90"/>
    </xf>
    <xf applyAlignment="1" applyFont="1" borderId="0" fillId="0" fontId="9" numFmtId="0" xfId="1">
      <alignment textRotation="90"/>
    </xf>
    <xf applyAlignment="1" borderId="0" fillId="0" fontId="2" numFmtId="0" quotePrefix="1" xfId="1">
      <alignment textRotation="90"/>
    </xf>
    <xf applyAlignment="1" applyFont="1" borderId="0" fillId="0" fontId="0" numFmtId="40" xfId="2">
      <alignment horizontal="center"/>
    </xf>
    <xf applyFont="1" borderId="0" fillId="0" fontId="32" numFmtId="0" xfId="1"/>
    <xf applyAlignment="1" applyNumberFormat="1" borderId="0" fillId="0" fontId="2" numFmtId="2" xfId="1">
      <alignment horizontal="center"/>
    </xf>
    <xf applyAlignment="1" applyNumberFormat="1" borderId="0" fillId="0" fontId="2" numFmtId="3" xfId="1">
      <alignment horizontal="center"/>
    </xf>
    <xf applyAlignment="1" borderId="0" fillId="0" fontId="2" numFmtId="0" quotePrefix="1" xfId="1">
      <alignment horizontal="center"/>
    </xf>
    <xf applyAlignment="1" applyNumberFormat="1" borderId="0" fillId="0" fontId="2" numFmtId="164" quotePrefix="1" xfId="1">
      <alignment horizontal="center"/>
    </xf>
    <xf applyAlignment="1" applyNumberFormat="1" borderId="0" fillId="0" fontId="2" numFmtId="2" quotePrefix="1" xfId="1">
      <alignment horizontal="center"/>
    </xf>
    <xf applyAlignment="1" applyFont="1" applyNumberFormat="1" borderId="0" fillId="0" fontId="3" numFmtId="38" xfId="2">
      <alignment horizontal="center"/>
    </xf>
    <xf applyFont="1" applyNumberFormat="1" borderId="0" fillId="0" fontId="3" numFmtId="38" xfId="2"/>
    <xf applyAlignment="1" applyFont="1" applyNumberFormat="1" borderId="0" fillId="0" fontId="0" numFmtId="38" xfId="2">
      <alignment horizontal="right"/>
    </xf>
    <xf applyAlignment="1" applyNumberFormat="1" borderId="0" fillId="0" fontId="2" numFmtId="13" xfId="1">
      <alignment horizontal="center"/>
    </xf>
    <xf applyAlignment="1" applyNumberFormat="1" borderId="0" fillId="0" fontId="2" numFmtId="170" xfId="1">
      <alignment horizontal="center"/>
    </xf>
    <xf applyAlignment="1" applyFont="1" applyNumberFormat="1" borderId="0" fillId="0" fontId="9" numFmtId="13" xfId="1">
      <alignment horizontal="center"/>
    </xf>
    <xf applyAlignment="1" applyBorder="1" applyFont="1" borderId="4" fillId="0" fontId="9" numFmtId="0" xfId="1">
      <alignment textRotation="90"/>
    </xf>
    <xf applyAlignment="1" applyBorder="1" applyFont="1" borderId="51" fillId="0" fontId="9" numFmtId="0" xfId="1">
      <alignment horizontal="center" textRotation="90"/>
    </xf>
    <xf applyAlignment="1" applyBorder="1" applyFont="1" applyNumberFormat="1" borderId="51" fillId="0" fontId="9" numFmtId="1" xfId="1">
      <alignment horizontal="center" textRotation="90"/>
    </xf>
    <xf applyAlignment="1" applyBorder="1" applyFont="1" applyNumberFormat="1" borderId="7" fillId="0" fontId="9" numFmtId="1" xfId="1">
      <alignment horizontal="center" textRotation="90"/>
    </xf>
    <xf applyAlignment="1" applyBorder="1" applyNumberFormat="1" borderId="8" fillId="0" fontId="2" numFmtId="171" xfId="1">
      <alignment horizontal="center"/>
    </xf>
    <xf applyAlignment="1" applyBorder="1" applyNumberFormat="1" borderId="38" fillId="0" fontId="2" numFmtId="1" xfId="1">
      <alignment horizontal="center"/>
    </xf>
    <xf applyAlignment="1" applyBorder="1" applyNumberFormat="1" borderId="38" fillId="0" fontId="2" numFmtId="171" xfId="1">
      <alignment horizontal="center"/>
    </xf>
    <xf applyBorder="1" borderId="38" fillId="0" fontId="2" numFmtId="0" xfId="1"/>
    <xf applyAlignment="1" borderId="0" fillId="0" fontId="2" numFmtId="0" xfId="1">
      <alignment horizontal="left"/>
    </xf>
    <xf numFmtId="0" fontId="33" fillId="7" borderId="0" xfId="0" applyFont="true" applyFill="true">
      <alignment horizontal="center"/>
    </xf>
    <xf numFmtId="0" fontId="33" fillId="0" borderId="0" xfId="0" applyFont="true"/>
  </cellXfs>
  <cellStyles count="4">
    <cellStyle name="Comma 2" xfId="2" xr:uid="{38A89A94-7D90-4155-B292-0197774EA176}"/>
    <cellStyle builtinId="0" name="Normal" xfId="0"/>
    <cellStyle name="Normal 2" xfId="1" xr:uid="{EB2D5E70-D8CF-40C9-A280-51E8AF1CB89E}"/>
    <cellStyle name="Percent 2" xfId="3" xr:uid="{1AE8A40A-839E-437C-B1A7-4A686F333AB4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 val="0"/>
        <strike val="0"/>
        <color rgb="FFFF0000"/>
      </font>
      <fill>
        <patternFill>
          <bgColor theme="0"/>
        </patternFill>
      </fill>
    </dxf>
    <dxf>
      <font>
        <b/>
        <i val="0"/>
        <strike val="0"/>
        <color rgb="FFFF0000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11" Target="worksheets/sheet3.xml" Type="http://schemas.openxmlformats.org/officeDocument/2006/relationships/worksheet"/><Relationship Id="rId12" Target="worksheets/sheet4.xml" Type="http://schemas.openxmlformats.org/officeDocument/2006/relationships/worksheet"/><Relationship Id="rId13" Target="worksheets/sheet5.xml" Type="http://schemas.openxmlformats.org/officeDocument/2006/relationships/worksheet"/><Relationship Id="rId14" Target="worksheets/sheet6.xml" Type="http://schemas.openxmlformats.org/officeDocument/2006/relationships/worksheet"/><Relationship Id="rId15" Target="worksheets/sheet7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externalLinks/externalLink4.xml" Type="http://schemas.openxmlformats.org/officeDocument/2006/relationships/externalLink"/><Relationship Id="rId6" Target="externalLinks/externalLink5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baseline="0" i="0" strike="noStrike" sz="800" u="non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1st Shell Course Thickness Vs Fill Height 
for material storage @ 12lbs/gal 
in a 45 ft dia Steel Tank 
API 653 Unknown Material
Joint Efficiency of 85%</a:t>
            </a:r>
          </a:p>
        </c:rich>
      </c:tx>
      <c:layout>
        <c:manualLayout>
          <c:xMode val="edge"/>
          <c:yMode val="edge"/>
          <c:x val="0.264344348688697"/>
          <c:y val="3.7037037037037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6000713198899"/>
          <c:y val="0.41852003226284901"/>
          <c:w val="0.78543382581222299"/>
          <c:h val="0.35185312446876599"/>
        </c:manualLayout>
      </c:layout>
      <c:scatterChart>
        <c:scatterStyle val="smoothMarker"/>
        <c:varyColors val="0"/>
        <c:ser>
          <c:idx val="0"/>
          <c:order val="0"/>
          <c:tx>
            <c:v>Fill Height 12 lbs/ft^3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'Shell Distortion Criteria'!$T$240</c:f>
              <c:numCache>
                <c:formatCode>General</c:formatCode>
                <c:ptCount val="1"/>
              </c:numCache>
            </c:numRef>
          </c:xVal>
          <c:yVal>
            <c:numRef>
              <c:f>'Shell Distortion Criteria'!$U$240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2-4F2D-905C-8379C249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290552"/>
        <c:axId val="1885496664"/>
      </c:scatterChart>
      <c:valAx>
        <c:axId val="2039290552"/>
        <c:scaling>
          <c:orientation val="minMax"/>
          <c:max val="36"/>
          <c:min val="24"/>
        </c:scaling>
        <c:delete val="0"/>
        <c:axPos val="b"/>
        <c:title>
          <c:tx>
            <c:rich>
              <a:bodyPr/>
              <a:lstStyle/>
              <a:p>
                <a:pPr>
                  <a:defRPr b="1" baseline="0" i="0" strike="noStrike" sz="800" u="non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Fill height (ft)</a:t>
                </a:r>
              </a:p>
            </c:rich>
          </c:tx>
          <c:layout>
            <c:manualLayout>
              <c:xMode val="edge"/>
              <c:yMode val="edge"/>
              <c:x val="0.48770496207659098"/>
              <c:y val="0.86666977738893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="0" baseline="0" i="0" strike="noStrike" sz="800" u="non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496664"/>
        <c:crosses val="autoZero"/>
        <c:crossBetween val="midCat"/>
        <c:majorUnit val="1"/>
      </c:valAx>
      <c:valAx>
        <c:axId val="1885496664"/>
        <c:scaling>
          <c:orientation val="minMax"/>
          <c:min val="0.18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1" baseline="0" i="0" strike="noStrike" sz="800" u="non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Thickness (in)</a:t>
                </a:r>
              </a:p>
            </c:rich>
          </c:tx>
          <c:layout>
            <c:manualLayout>
              <c:xMode val="edge"/>
              <c:yMode val="edge"/>
              <c:x val="3.2786905573811198E-2"/>
              <c:y val="0.444445999805580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="0" baseline="0" i="0" strike="noStrike" sz="800" u="non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290552"/>
        <c:crosses val="autoZero"/>
        <c:crossBetween val="midCat"/>
        <c:majorUnit val="3.125E-2"/>
      </c:valAx>
      <c:spPr>
        <a:noFill/>
        <a:ln w="12700">
          <a:solidFill>
            <a:srgbClr val="FFFF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b="0" baseline="0" i="0" strike="noStrike" sz="1000" u="non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footer="0.5" header="0.5" l="0.750000000000001" r="0.750000000000001" t="1"/>
    <c:pageSetup orientation="landscape"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25736738704"/>
          <c:y val="0.126761144554837"/>
          <c:w val="0.59921414538310402"/>
          <c:h val="0.6478902943913890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4315651604453199E-3"/>
                  <c:y val="-0.3606579555523369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b="0" baseline="0" i="0" strike="noStrike" sz="875" u="none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'Shell Distortion Criteria'!$AS$239:$AS$242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'Shell Distortion Criteria'!$AT$239:$AT$242</c:f>
              <c:numCache>
                <c:formatCode>General</c:formatCode>
                <c:ptCount val="4"/>
                <c:pt idx="0">
                  <c:v>0.91</c:v>
                </c:pt>
                <c:pt idx="1">
                  <c:v>0.88</c:v>
                </c:pt>
                <c:pt idx="2">
                  <c:v>0.85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A-4AB2-A7FC-1DE8BB968E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-6.3143521598110694E-2"/>
                  <c:y val="-5.147100902825579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b="0" baseline="0" i="0" strike="noStrike" sz="875" u="none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'Shell Distortion Criteria'!$AS$239:$AS$242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'Shell Distortion Criteria'!$AU$239:$AU$242</c:f>
              <c:numCache>
                <c:formatCode>General</c:formatCode>
                <c:ptCount val="4"/>
                <c:pt idx="0">
                  <c:v>0.88</c:v>
                </c:pt>
                <c:pt idx="1">
                  <c:v>0.81</c:v>
                </c:pt>
                <c:pt idx="2">
                  <c:v>0.75</c:v>
                </c:pt>
                <c:pt idx="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9A-4AB2-A7FC-1DE8BB968E9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4977079240340495E-2"/>
                  <c:y val="-0.47727217692487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b="0" baseline="0" i="0" strike="noStrike" sz="875" u="none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'Shell Distortion Criteria'!$AS$239:$AS$242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'Shell Distortion Criteria'!$AV$239:$AV$242</c:f>
              <c:numCache>
                <c:formatCode>General</c:formatCode>
                <c:ptCount val="4"/>
                <c:pt idx="0">
                  <c:v>0.92</c:v>
                </c:pt>
                <c:pt idx="1">
                  <c:v>0.87</c:v>
                </c:pt>
                <c:pt idx="2">
                  <c:v>0.83</c:v>
                </c:pt>
                <c:pt idx="3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9A-4AB2-A7FC-1DE8BB96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85416"/>
        <c:axId val="2142973896"/>
      </c:scatterChart>
      <c:valAx>
        <c:axId val="2142885416"/>
        <c:scaling>
          <c:orientation val="minMax"/>
          <c:max val="5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="0" baseline="0" i="0" strike="noStrike" sz="875" u="non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973896"/>
        <c:crosses val="autoZero"/>
        <c:crossBetween val="midCat"/>
      </c:valAx>
      <c:valAx>
        <c:axId val="2142973896"/>
        <c:scaling>
          <c:orientation val="minMax"/>
          <c:min val="0.7000000000000009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="0" baseline="0" i="0" strike="noStrike" sz="875" u="non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885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49115913556097"/>
          <c:y val="0.136150727637918"/>
          <c:w val="0.23379174852652199"/>
          <c:h val="0.563382746170812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b="0" baseline="0" i="0" strike="noStrike" sz="805" u="non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b="0" baseline="0" i="0" strike="noStrike" sz="875" u="non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footer="0.5" header="0.5" l="0.750000000000001" r="0.750000000000001" t="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media/image1.png" Type="http://schemas.openxmlformats.org/officeDocument/2006/relationships/image"/><Relationship Id="rId4" Target="../media/image2.jp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25</xdr:col>
      <xdr:colOff>19050</xdr:colOff>
      <xdr:row>233</xdr:row>
      <xdr:rowOff>190500</xdr:rowOff>
    </xdr:from>
    <xdr:to>
      <xdr:col>32</xdr:col>
      <xdr:colOff>323850</xdr:colOff>
      <xdr:row>245</xdr:row>
      <xdr:rowOff>409575</xdr:rowOff>
    </xdr:to>
    <xdr:graphicFrame macro="">
      <xdr:nvGraphicFramePr>
        <xdr:cNvPr id="2" name="Chart 39">
          <a:extLst>
            <a:ext uri="{FF2B5EF4-FFF2-40B4-BE49-F238E27FC236}">
              <a16:creationId xmlns:a16="http://schemas.microsoft.com/office/drawing/2014/main" id="{50E2B7AC-E6E9-4D12-91AA-FEB575478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152400</xdr:colOff>
      <xdr:row>243</xdr:row>
      <xdr:rowOff>38100</xdr:rowOff>
    </xdr:from>
    <xdr:to>
      <xdr:col>49</xdr:col>
      <xdr:colOff>514350</xdr:colOff>
      <xdr:row>253</xdr:row>
      <xdr:rowOff>28575</xdr:rowOff>
    </xdr:to>
    <xdr:graphicFrame macro="">
      <xdr:nvGraphicFramePr>
        <xdr:cNvPr id="3" name="Chart 86">
          <a:extLst>
            <a:ext uri="{FF2B5EF4-FFF2-40B4-BE49-F238E27FC236}">
              <a16:creationId xmlns:a16="http://schemas.microsoft.com/office/drawing/2014/main" id="{4767934F-2885-420F-BE56-CC1DB6DC8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102054</xdr:colOff>
      <xdr:row>14</xdr:row>
      <xdr:rowOff>123265</xdr:rowOff>
    </xdr:from>
    <xdr:to>
      <xdr:col>35</xdr:col>
      <xdr:colOff>562730</xdr:colOff>
      <xdr:row>37</xdr:row>
      <xdr:rowOff>189672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43E856-B465-4014-B6A2-6B1941E87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2729" y="2780740"/>
          <a:ext cx="5785151" cy="5209907"/>
        </a:xfrm>
        <a:prstGeom prst="rect">
          <a:avLst/>
        </a:prstGeom>
      </xdr:spPr>
    </xdr:pic>
    <xdr:clientData/>
  </xdr:twoCellAnchor>
  <xdr:twoCellAnchor editAs="oneCell">
    <xdr:from>
      <xdr:col>29</xdr:col>
      <xdr:colOff>22410</xdr:colOff>
      <xdr:row>1</xdr:row>
      <xdr:rowOff>22412</xdr:rowOff>
    </xdr:from>
    <xdr:to>
      <xdr:col>35</xdr:col>
      <xdr:colOff>381202</xdr:colOff>
      <xdr:row>17</xdr:row>
      <xdr:rowOff>168303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6B067E-36B2-4A83-BB13-579871138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15660" y="184337"/>
          <a:ext cx="4130692" cy="31938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SAMPLE2019%20-%20API653%20Calcs%203d%20Data%20Analysis%20Shore%20Terminals%20LLC%20Selby,%20CA%2020103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C/InspectionData/Dropbox/InspectionData/Aloha%20Petroleum/Hilo/TkNo1_2011/iAPI6532009TkNo2HECOFrangibleRoofJointCalc.xls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C/InspectionData/My%20Dropbox/InspectionData/Chevron/San%20Jose/TkNo144_2010/iAPI653_2010_TkNo144.xls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/C/InspectionData/Dropbox%20(Powers%20EI)/WorkInProgress2017/Nustar%20Portland,%20OR%20Tank%203204%20API%20653%203d%20Shell%20Analysis%202017/Vaio/viao/My%20Documents/SURVEY.xls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file://///Pavilion/pavilion/Powers%20and%20Associates/Master/Inspection(s)/NewExternalSurvey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Notes"/>
      <sheetName val="BasicData"/>
      <sheetName val="qryExcelBasicData"/>
      <sheetName val="Shell Nozzles and Appurtenances"/>
      <sheetName val="Shell Thickness"/>
      <sheetName val="Shell Distortion Criteria"/>
      <sheetName val="Shell Summary "/>
      <sheetName val="Shell Data "/>
      <sheetName val="Verticality Plot"/>
      <sheetName val="Shell Roundness Plot 1"/>
      <sheetName val="Shell Roundness Data 1"/>
      <sheetName val="Shell Roundness Plot 2"/>
      <sheetName val="Shell Roundness Data 2"/>
      <sheetName val="Shell Roundness Plot 3"/>
      <sheetName val="Shell Roundness Data 3"/>
      <sheetName val="Earthquake New Appendix E"/>
      <sheetName val="Survey 4 to 24 pt"/>
      <sheetName val="Shell and Bottom UT v2"/>
      <sheetName val="NextInspection"/>
      <sheetName val="API 2000 Calcs (JC-Rev 2)"/>
      <sheetName val="BasicDataChart"/>
      <sheetName val="CustomerData (IBC 2006-09)"/>
      <sheetName val="CustomerData (IBC 2012)    "/>
      <sheetName val="KM VOR"/>
      <sheetName val="Repair Statistics"/>
      <sheetName val="Heat Coil Calcs - BETA"/>
      <sheetName val="API 2000 Calculations"/>
      <sheetName val="Overall Venting"/>
      <sheetName val="FrangibleRoof"/>
      <sheetName val="STI Venting (Emergency)"/>
      <sheetName val=" Draft Venting Calculations"/>
      <sheetName val="FR - Venting"/>
      <sheetName val="Diagrams"/>
      <sheetName val="Wind 11th Edition"/>
      <sheetName val="Allow Nozzle Loads"/>
      <sheetName val="Self Supporting Roof"/>
      <sheetName val="Wind Old Edition"/>
      <sheetName val="Repad Requirement(s) 2xBottom"/>
      <sheetName val="Repad Requirement(s)"/>
      <sheetName val="Earthquake Old Appendix E"/>
      <sheetName val="Indications"/>
    </sheetNames>
    <sheetDataSet>
      <sheetData sheetId="0"/>
      <sheetData sheetId="1">
        <row r="9">
          <cell r="D9">
            <v>34</v>
          </cell>
          <cell r="H9">
            <v>30</v>
          </cell>
        </row>
        <row r="14">
          <cell r="D14" t="str">
            <v>JP-8</v>
          </cell>
          <cell r="J14">
            <v>0.84</v>
          </cell>
          <cell r="O14">
            <v>100</v>
          </cell>
        </row>
        <row r="16">
          <cell r="D16">
            <v>40</v>
          </cell>
        </row>
        <row r="23">
          <cell r="O23">
            <v>2016</v>
          </cell>
        </row>
        <row r="24">
          <cell r="D24">
            <v>1978</v>
          </cell>
        </row>
        <row r="42">
          <cell r="F42">
            <v>0</v>
          </cell>
        </row>
        <row r="86">
          <cell r="F86">
            <v>2016</v>
          </cell>
        </row>
        <row r="87">
          <cell r="C87">
            <v>0</v>
          </cell>
        </row>
        <row r="88">
          <cell r="C88">
            <v>68.571428571428569</v>
          </cell>
          <cell r="E88">
            <v>0.625</v>
          </cell>
          <cell r="F88">
            <v>0.625</v>
          </cell>
          <cell r="G88">
            <v>0.625</v>
          </cell>
          <cell r="H88" t="str">
            <v>85% Butt Weld</v>
          </cell>
          <cell r="J88" t="str">
            <v>A 36</v>
          </cell>
        </row>
        <row r="89">
          <cell r="C89">
            <v>137.14285714285714</v>
          </cell>
          <cell r="E89">
            <v>0.5</v>
          </cell>
          <cell r="F89">
            <v>0.5</v>
          </cell>
          <cell r="G89">
            <v>0.5</v>
          </cell>
          <cell r="H89" t="str">
            <v>85% Butt Weld</v>
          </cell>
          <cell r="J89" t="str">
            <v>A 36</v>
          </cell>
        </row>
        <row r="90">
          <cell r="C90">
            <v>205.71428571428572</v>
          </cell>
          <cell r="E90">
            <v>0.375</v>
          </cell>
          <cell r="F90">
            <v>0.375</v>
          </cell>
          <cell r="G90">
            <v>0.375</v>
          </cell>
          <cell r="H90" t="str">
            <v>85% Butt Weld</v>
          </cell>
          <cell r="J90" t="str">
            <v>A 36</v>
          </cell>
        </row>
        <row r="91">
          <cell r="C91">
            <v>274.28571428571428</v>
          </cell>
          <cell r="E91">
            <v>0.3125</v>
          </cell>
          <cell r="F91">
            <v>0.3125</v>
          </cell>
          <cell r="G91">
            <v>0.3125</v>
          </cell>
          <cell r="H91" t="str">
            <v>85% Butt Weld</v>
          </cell>
          <cell r="J91" t="str">
            <v>A 36</v>
          </cell>
        </row>
        <row r="92">
          <cell r="C92">
            <v>342.85714285714289</v>
          </cell>
          <cell r="E92">
            <v>0.3125</v>
          </cell>
          <cell r="F92">
            <v>0.3125</v>
          </cell>
          <cell r="G92">
            <v>0.3125</v>
          </cell>
          <cell r="H92" t="str">
            <v>85% Butt Weld</v>
          </cell>
          <cell r="J92" t="str">
            <v>A 36</v>
          </cell>
        </row>
        <row r="93">
          <cell r="C93">
            <v>411.42857142857144</v>
          </cell>
          <cell r="H93" t="str">
            <v>85% Butt Weld</v>
          </cell>
          <cell r="J93" t="str">
            <v>A 36</v>
          </cell>
        </row>
        <row r="94">
          <cell r="C94">
            <v>480</v>
          </cell>
          <cell r="H94" t="str">
            <v>85% Butt Weld</v>
          </cell>
          <cell r="J94" t="str">
            <v>A 36</v>
          </cell>
        </row>
        <row r="95">
          <cell r="C95">
            <v>0</v>
          </cell>
          <cell r="H95" t="str">
            <v>85% Butt Weld</v>
          </cell>
          <cell r="J95" t="str">
            <v>A 36</v>
          </cell>
        </row>
        <row r="96">
          <cell r="C96">
            <v>0</v>
          </cell>
          <cell r="H96" t="str">
            <v>85% Butt Weld</v>
          </cell>
          <cell r="J96" t="str">
            <v>A 36</v>
          </cell>
        </row>
        <row r="97">
          <cell r="C97">
            <v>0</v>
          </cell>
          <cell r="H97" t="str">
            <v>85% Butt Weld</v>
          </cell>
          <cell r="J97" t="str">
            <v>A 36</v>
          </cell>
        </row>
        <row r="98">
          <cell r="C98">
            <v>0</v>
          </cell>
        </row>
        <row r="415">
          <cell r="G415" t="str">
            <v>Ht BT</v>
          </cell>
        </row>
      </sheetData>
      <sheetData sheetId="2">
        <row r="2">
          <cell r="B2">
            <v>0</v>
          </cell>
          <cell r="C2" t="str">
            <v>San Antonio, TX</v>
          </cell>
          <cell r="D2">
            <v>218</v>
          </cell>
        </row>
      </sheetData>
      <sheetData sheetId="3"/>
      <sheetData sheetId="4">
        <row r="92">
          <cell r="F92">
            <v>34</v>
          </cell>
        </row>
        <row r="93">
          <cell r="F93">
            <v>30</v>
          </cell>
        </row>
        <row r="94">
          <cell r="F94">
            <v>40</v>
          </cell>
        </row>
        <row r="95">
          <cell r="F95">
            <v>0.84</v>
          </cell>
        </row>
        <row r="96">
          <cell r="F96">
            <v>1978</v>
          </cell>
          <cell r="L96">
            <v>38</v>
          </cell>
        </row>
        <row r="97">
          <cell r="I97">
            <v>1</v>
          </cell>
        </row>
        <row r="103">
          <cell r="N103">
            <v>0.625</v>
          </cell>
        </row>
        <row r="104">
          <cell r="N104">
            <v>0.5</v>
          </cell>
        </row>
        <row r="105">
          <cell r="N105">
            <v>0.375</v>
          </cell>
        </row>
        <row r="106">
          <cell r="N106">
            <v>0.3125</v>
          </cell>
        </row>
        <row r="107">
          <cell r="N107">
            <v>0.3125</v>
          </cell>
        </row>
        <row r="108">
          <cell r="N108">
            <v>0</v>
          </cell>
        </row>
        <row r="109">
          <cell r="N109">
            <v>0</v>
          </cell>
        </row>
        <row r="110">
          <cell r="N110">
            <v>0</v>
          </cell>
        </row>
        <row r="111">
          <cell r="N111">
            <v>0</v>
          </cell>
        </row>
        <row r="112">
          <cell r="N112">
            <v>0</v>
          </cell>
        </row>
      </sheetData>
      <sheetData sheetId="5">
        <row r="239">
          <cell r="AS239">
            <v>200</v>
          </cell>
          <cell r="AT239">
            <v>0.91</v>
          </cell>
          <cell r="AU239">
            <v>0.88</v>
          </cell>
          <cell r="AV239">
            <v>0.92</v>
          </cell>
        </row>
        <row r="240">
          <cell r="AS240">
            <v>300</v>
          </cell>
          <cell r="AT240">
            <v>0.88</v>
          </cell>
          <cell r="AU240">
            <v>0.81</v>
          </cell>
          <cell r="AV240">
            <v>0.87</v>
          </cell>
        </row>
        <row r="241">
          <cell r="AS241">
            <v>400</v>
          </cell>
          <cell r="AT241">
            <v>0.85</v>
          </cell>
          <cell r="AU241">
            <v>0.75</v>
          </cell>
          <cell r="AV241">
            <v>0.83</v>
          </cell>
        </row>
        <row r="242">
          <cell r="AS242">
            <v>500</v>
          </cell>
          <cell r="AT242">
            <v>0.8</v>
          </cell>
          <cell r="AU242">
            <v>0.7</v>
          </cell>
          <cell r="AV242">
            <v>0.79</v>
          </cell>
        </row>
      </sheetData>
      <sheetData sheetId="6"/>
      <sheetData sheetId="7">
        <row r="2">
          <cell r="D2" t="str">
            <v>arc length/height (in)</v>
          </cell>
          <cell r="E2">
            <v>12</v>
          </cell>
          <cell r="F2">
            <v>36</v>
          </cell>
          <cell r="G2">
            <v>60</v>
          </cell>
          <cell r="H2">
            <v>84</v>
          </cell>
          <cell r="I2">
            <v>108</v>
          </cell>
          <cell r="J2">
            <v>132</v>
          </cell>
          <cell r="K2">
            <v>156</v>
          </cell>
          <cell r="L2">
            <v>180</v>
          </cell>
          <cell r="M2">
            <v>204</v>
          </cell>
          <cell r="N2">
            <v>228</v>
          </cell>
          <cell r="O2">
            <v>252</v>
          </cell>
          <cell r="P2">
            <v>276</v>
          </cell>
          <cell r="Q2">
            <v>300</v>
          </cell>
          <cell r="R2">
            <v>324</v>
          </cell>
          <cell r="S2">
            <v>348</v>
          </cell>
          <cell r="T2">
            <v>372</v>
          </cell>
          <cell r="U2">
            <v>396</v>
          </cell>
          <cell r="V2">
            <v>420</v>
          </cell>
          <cell r="W2">
            <v>444</v>
          </cell>
          <cell r="X2">
            <v>468</v>
          </cell>
          <cell r="Y2">
            <v>492</v>
          </cell>
          <cell r="Z2">
            <v>516</v>
          </cell>
          <cell r="AA2">
            <v>540</v>
          </cell>
          <cell r="AB2">
            <v>564</v>
          </cell>
          <cell r="AC2">
            <v>588</v>
          </cell>
          <cell r="AD2">
            <v>612</v>
          </cell>
          <cell r="AE2">
            <v>636</v>
          </cell>
          <cell r="AF2">
            <v>660</v>
          </cell>
          <cell r="AG2">
            <v>684</v>
          </cell>
          <cell r="AH2">
            <v>708</v>
          </cell>
          <cell r="AI2">
            <v>732</v>
          </cell>
          <cell r="AJ2">
            <v>756</v>
          </cell>
          <cell r="AK2">
            <v>780</v>
          </cell>
        </row>
        <row r="3">
          <cell r="D3">
            <v>36</v>
          </cell>
          <cell r="E3">
            <v>-1.5286823723173699</v>
          </cell>
          <cell r="H3">
            <v>-1.21321550291586</v>
          </cell>
          <cell r="I3">
            <v>-1.2110543904156501</v>
          </cell>
          <cell r="J3">
            <v>-1.38481673839181</v>
          </cell>
          <cell r="K3">
            <v>-1.6340437898536799</v>
          </cell>
          <cell r="L3">
            <v>-1.8815124706139199</v>
          </cell>
          <cell r="M3">
            <v>-2.0011075322622198</v>
          </cell>
          <cell r="N3">
            <v>-2.02907600307076</v>
          </cell>
          <cell r="O3">
            <v>-2.01182091909675</v>
          </cell>
          <cell r="P3">
            <v>-1.9435211976139799</v>
          </cell>
          <cell r="Q3">
            <v>-1.7643934768873599</v>
          </cell>
          <cell r="R3">
            <v>-1.6175898681258001</v>
          </cell>
          <cell r="S3">
            <v>-1.62200392895132</v>
          </cell>
          <cell r="T3">
            <v>-1.5836266894842399</v>
          </cell>
          <cell r="U3">
            <v>-1.55574969157973</v>
          </cell>
          <cell r="V3">
            <v>-1.4724016705974801</v>
          </cell>
          <cell r="W3">
            <v>-1.55158915292873</v>
          </cell>
          <cell r="X3">
            <v>-1.5782087740902799</v>
          </cell>
          <cell r="Y3">
            <v>-1.51626657972373</v>
          </cell>
          <cell r="Z3">
            <v>-1.3887501030885601</v>
          </cell>
          <cell r="AA3">
            <v>-1.3877101097310001</v>
          </cell>
          <cell r="AB3">
            <v>-1.5218738527461699</v>
          </cell>
          <cell r="AC3">
            <v>-1.5569212792437599</v>
          </cell>
          <cell r="AD3">
            <v>-1.55490313781336</v>
          </cell>
          <cell r="AE3">
            <v>-1.47237915656574</v>
          </cell>
          <cell r="AF3">
            <v>-1.4187364832587801</v>
          </cell>
          <cell r="AG3">
            <v>-1.39206608585893</v>
          </cell>
          <cell r="AH3">
            <v>-1.37700502521821</v>
          </cell>
          <cell r="AI3">
            <v>-1.25379587147602</v>
          </cell>
          <cell r="AJ3">
            <v>-1.1349953559474399</v>
          </cell>
          <cell r="AK3">
            <v>-1.0527716721737199</v>
          </cell>
        </row>
        <row r="4">
          <cell r="D4">
            <v>60</v>
          </cell>
          <cell r="E4">
            <v>-0.43244359990036901</v>
          </cell>
          <cell r="H4">
            <v>-0.181719520005199</v>
          </cell>
          <cell r="I4">
            <v>-0.30241865152492498</v>
          </cell>
          <cell r="J4">
            <v>-0.71988446046136201</v>
          </cell>
          <cell r="K4">
            <v>-1.1099103731807101</v>
          </cell>
          <cell r="L4">
            <v>-1.56724724291887</v>
          </cell>
          <cell r="M4">
            <v>-1.91731413233981</v>
          </cell>
          <cell r="N4">
            <v>-2.0454225628554901</v>
          </cell>
          <cell r="O4">
            <v>-2.0394646987808702</v>
          </cell>
          <cell r="P4">
            <v>-1.91347419834734</v>
          </cell>
          <cell r="Q4">
            <v>-1.76048528089495</v>
          </cell>
          <cell r="R4">
            <v>-1.63715891255936</v>
          </cell>
          <cell r="S4">
            <v>-1.6592465867914801</v>
          </cell>
          <cell r="T4">
            <v>-1.7196367424838599</v>
          </cell>
          <cell r="U4">
            <v>-1.8023106467260599</v>
          </cell>
          <cell r="V4">
            <v>-1.80468309117421</v>
          </cell>
          <cell r="W4">
            <v>-1.79629967684485</v>
          </cell>
          <cell r="X4">
            <v>-1.7600059576004199</v>
          </cell>
          <cell r="Y4">
            <v>-1.7205213614064301</v>
          </cell>
          <cell r="Z4">
            <v>-1.69009330881902</v>
          </cell>
          <cell r="AA4">
            <v>-1.80697344691529</v>
          </cell>
          <cell r="AB4">
            <v>-1.90097185835412</v>
          </cell>
          <cell r="AC4">
            <v>-1.79498380872122</v>
          </cell>
          <cell r="AD4">
            <v>-1.7186228749135499</v>
          </cell>
          <cell r="AE4">
            <v>-1.6370843336691701</v>
          </cell>
          <cell r="AF4">
            <v>-1.5995099203648599</v>
          </cell>
          <cell r="AG4">
            <v>-1.58090320635522</v>
          </cell>
          <cell r="AH4">
            <v>-1.55736273046361</v>
          </cell>
          <cell r="AI4">
            <v>-1.46882094958664</v>
          </cell>
          <cell r="AJ4">
            <v>-1.36935796678779</v>
          </cell>
          <cell r="AK4">
            <v>-1.2526791381551501</v>
          </cell>
        </row>
        <row r="5">
          <cell r="D5">
            <v>84</v>
          </cell>
          <cell r="E5">
            <v>0.789850632481649</v>
          </cell>
          <cell r="F5">
            <v>0.90878598928360399</v>
          </cell>
          <cell r="G5">
            <v>1.0171466543410199</v>
          </cell>
          <cell r="H5">
            <v>1.06584147527255</v>
          </cell>
          <cell r="I5">
            <v>0.63009936760907803</v>
          </cell>
          <cell r="J5">
            <v>2.12764109376627E-2</v>
          </cell>
          <cell r="K5">
            <v>-0.58212115890340699</v>
          </cell>
          <cell r="L5">
            <v>-1.2379833087646299</v>
          </cell>
          <cell r="M5">
            <v>-1.78891120553146</v>
          </cell>
          <cell r="N5">
            <v>-2.0293354099462602</v>
          </cell>
          <cell r="O5">
            <v>-2.0664411743898401</v>
          </cell>
          <cell r="P5">
            <v>-1.92449600003226</v>
          </cell>
          <cell r="Q5">
            <v>-1.7826247725633599</v>
          </cell>
          <cell r="R5">
            <v>-1.6672225356583901</v>
          </cell>
          <cell r="S5">
            <v>-1.6861860425998001</v>
          </cell>
          <cell r="T5">
            <v>-1.72143615243186</v>
          </cell>
          <cell r="U5">
            <v>-1.7785528402788799</v>
          </cell>
          <cell r="V5">
            <v>-1.7610682235803601</v>
          </cell>
          <cell r="W5">
            <v>-1.7102414328817901</v>
          </cell>
          <cell r="X5">
            <v>-1.6794645305982501</v>
          </cell>
          <cell r="Y5">
            <v>-1.64739279472438</v>
          </cell>
          <cell r="Z5">
            <v>-1.63544283922449</v>
          </cell>
          <cell r="AA5">
            <v>-1.75300758429688</v>
          </cell>
          <cell r="AB5">
            <v>-1.77767863503701</v>
          </cell>
          <cell r="AC5">
            <v>-1.6253905869120699</v>
          </cell>
          <cell r="AD5">
            <v>-1.57956192900945</v>
          </cell>
          <cell r="AE5">
            <v>-1.5311863507054599</v>
          </cell>
          <cell r="AF5">
            <v>-1.5015829180349101</v>
          </cell>
          <cell r="AG5">
            <v>-1.49753145125965</v>
          </cell>
          <cell r="AH5">
            <v>-1.4718258717880099</v>
          </cell>
          <cell r="AI5">
            <v>-1.3966423136499699</v>
          </cell>
          <cell r="AJ5">
            <v>-1.29912106433168</v>
          </cell>
          <cell r="AK5">
            <v>-1.1600487355862199</v>
          </cell>
        </row>
        <row r="6">
          <cell r="D6">
            <v>108</v>
          </cell>
          <cell r="E6">
            <v>1.7544709942533001</v>
          </cell>
          <cell r="F6">
            <v>1.9815709252011899</v>
          </cell>
          <cell r="G6">
            <v>2.0421159278877399</v>
          </cell>
          <cell r="H6">
            <v>1.85908330333981</v>
          </cell>
          <cell r="I6">
            <v>1.3642361556807401</v>
          </cell>
          <cell r="J6">
            <v>0.714609744067635</v>
          </cell>
          <cell r="K6">
            <v>-6.0886082896156997E-2</v>
          </cell>
          <cell r="L6">
            <v>-0.88607697060104296</v>
          </cell>
          <cell r="M6">
            <v>-1.62319826784487</v>
          </cell>
          <cell r="N6">
            <v>-2.0019632494534001</v>
          </cell>
          <cell r="O6">
            <v>-2.0833682313645401</v>
          </cell>
          <cell r="P6">
            <v>-1.92491677531613</v>
          </cell>
          <cell r="Q6">
            <v>-1.76878462235903</v>
          </cell>
          <cell r="R6">
            <v>-1.6333022360259599</v>
          </cell>
          <cell r="S6">
            <v>-1.6222679220832401</v>
          </cell>
          <cell r="T6">
            <v>-1.63471662944494</v>
          </cell>
          <cell r="U6">
            <v>-1.67090307645739</v>
          </cell>
          <cell r="V6">
            <v>-1.6926395408535999</v>
          </cell>
          <cell r="W6">
            <v>-1.5904624567240899</v>
          </cell>
          <cell r="X6">
            <v>-1.56588282018768</v>
          </cell>
          <cell r="Y6">
            <v>-1.5567013042676501</v>
          </cell>
          <cell r="Z6">
            <v>-1.60522829271956</v>
          </cell>
          <cell r="AA6">
            <v>-1.7558720208969301</v>
          </cell>
          <cell r="AB6">
            <v>-1.72410738243798</v>
          </cell>
          <cell r="AC6">
            <v>-1.50274666185396</v>
          </cell>
          <cell r="AD6">
            <v>-1.4480973288618699</v>
          </cell>
          <cell r="AE6">
            <v>-1.4167203388641401</v>
          </cell>
          <cell r="AF6">
            <v>-1.3871563877523401</v>
          </cell>
          <cell r="AG6">
            <v>-1.3921155943226899</v>
          </cell>
          <cell r="AH6">
            <v>-1.36117918569718</v>
          </cell>
          <cell r="AI6">
            <v>-1.31424894124893</v>
          </cell>
          <cell r="AJ6">
            <v>-1.20935498980117</v>
          </cell>
          <cell r="AK6">
            <v>-1.06184344493234</v>
          </cell>
        </row>
        <row r="9">
          <cell r="E9">
            <v>2.75960961056481</v>
          </cell>
          <cell r="F9">
            <v>3.0751684788696201</v>
          </cell>
          <cell r="G9">
            <v>3.0373865863569001</v>
          </cell>
          <cell r="H9">
            <v>2.7717252513358299</v>
          </cell>
          <cell r="I9">
            <v>2.2673485724627498</v>
          </cell>
          <cell r="J9">
            <v>1.7314873638891299</v>
          </cell>
          <cell r="K9">
            <v>1.12014600362931</v>
          </cell>
          <cell r="L9">
            <v>0.36600583380206902</v>
          </cell>
          <cell r="M9">
            <v>-0.44193732194029001</v>
          </cell>
          <cell r="N9">
            <v>-1.11284076199645</v>
          </cell>
          <cell r="O9">
            <v>-1.54030372385124</v>
          </cell>
          <cell r="P9">
            <v>-1.7496805330587399</v>
          </cell>
          <cell r="Q9">
            <v>-1.7555092322679999</v>
          </cell>
          <cell r="R9">
            <v>-1.5896716900733201</v>
          </cell>
          <cell r="S9">
            <v>-1.39504514358223</v>
          </cell>
          <cell r="T9">
            <v>-1.20161237267098</v>
          </cell>
          <cell r="U9">
            <v>-1.1668852151787701</v>
          </cell>
          <cell r="V9">
            <v>-1.29504885628385</v>
          </cell>
          <cell r="W9">
            <v>-1.4876294081154899</v>
          </cell>
          <cell r="X9">
            <v>-1.73063758933709</v>
          </cell>
          <cell r="Y9">
            <v>-1.97720547847248</v>
          </cell>
          <cell r="Z9">
            <v>-2.2112108474026901</v>
          </cell>
          <cell r="AA9">
            <v>-2.0632339008384899</v>
          </cell>
          <cell r="AB9">
            <v>-1.82445907169327</v>
          </cell>
          <cell r="AC9">
            <v>-1.6596048133930501</v>
          </cell>
          <cell r="AD9">
            <v>-1.49668655650584</v>
          </cell>
          <cell r="AE9">
            <v>-1.3410768940921101</v>
          </cell>
          <cell r="AF9">
            <v>-1.2408038980682601</v>
          </cell>
          <cell r="AG9">
            <v>-1.1851793498771399</v>
          </cell>
          <cell r="AH9">
            <v>-1.1398447631487101</v>
          </cell>
          <cell r="AI9">
            <v>-1.0415655609602099</v>
          </cell>
          <cell r="AJ9">
            <v>-0.92617477678780902</v>
          </cell>
          <cell r="AK9">
            <v>-0.74247050957208105</v>
          </cell>
        </row>
        <row r="10">
          <cell r="E10">
            <v>2.4840997997787002</v>
          </cell>
          <cell r="F10">
            <v>2.7225346106406798</v>
          </cell>
          <cell r="G10">
            <v>2.68758640236226</v>
          </cell>
          <cell r="H10">
            <v>2.50389931749184</v>
          </cell>
          <cell r="I10">
            <v>2.1548480390460698</v>
          </cell>
          <cell r="J10">
            <v>1.81773139516646</v>
          </cell>
          <cell r="K10">
            <v>1.3038256376391999</v>
          </cell>
          <cell r="L10">
            <v>0.64897260521700795</v>
          </cell>
          <cell r="M10">
            <v>-7.4196909842089501E-2</v>
          </cell>
          <cell r="N10">
            <v>-0.75568421790947704</v>
          </cell>
          <cell r="O10">
            <v>-1.3134542265367699</v>
          </cell>
          <cell r="P10">
            <v>-1.6493560151376001</v>
          </cell>
          <cell r="Q10">
            <v>-1.7195767239702699</v>
          </cell>
          <cell r="R10">
            <v>-1.54589199019509</v>
          </cell>
          <cell r="S10">
            <v>-1.32240251374546</v>
          </cell>
          <cell r="T10">
            <v>-1.11070710608748</v>
          </cell>
          <cell r="U10">
            <v>-1.06949692902368</v>
          </cell>
          <cell r="V10">
            <v>-1.25109349651942</v>
          </cell>
          <cell r="W10">
            <v>-1.54371454298313</v>
          </cell>
          <cell r="X10">
            <v>-1.88857806126067</v>
          </cell>
          <cell r="Y10">
            <v>-2.14681667246494</v>
          </cell>
          <cell r="Z10">
            <v>-2.2989416466582102</v>
          </cell>
          <cell r="AA10">
            <v>-2.0507339436680199</v>
          </cell>
          <cell r="AB10">
            <v>-1.7797687319572699</v>
          </cell>
          <cell r="AC10">
            <v>-1.6264890514855901</v>
          </cell>
          <cell r="AD10">
            <v>-1.4712387427377001</v>
          </cell>
          <cell r="AE10">
            <v>-1.3092352463963799</v>
          </cell>
          <cell r="AF10">
            <v>-1.19426038261858</v>
          </cell>
          <cell r="AG10">
            <v>-1.13027348228636</v>
          </cell>
          <cell r="AH10">
            <v>-1.07097682232556</v>
          </cell>
          <cell r="AI10">
            <v>-0.98710871564243796</v>
          </cell>
          <cell r="AJ10">
            <v>-0.87226760068197395</v>
          </cell>
          <cell r="AK10">
            <v>-0.67971896491956896</v>
          </cell>
        </row>
        <row r="11">
          <cell r="E11">
            <v>1.7939317703025499</v>
          </cell>
          <cell r="F11">
            <v>1.9580644070775399</v>
          </cell>
          <cell r="G11">
            <v>1.9970471997978601</v>
          </cell>
          <cell r="H11">
            <v>2.01117761283904</v>
          </cell>
          <cell r="I11">
            <v>2.0189529922151599</v>
          </cell>
          <cell r="J11">
            <v>1.9287303893632</v>
          </cell>
          <cell r="K11">
            <v>1.5390585602805</v>
          </cell>
          <cell r="L11">
            <v>0.99746902112367797</v>
          </cell>
          <cell r="M11">
            <v>0.349070833914643</v>
          </cell>
          <cell r="N11">
            <v>-0.35172593435916399</v>
          </cell>
          <cell r="O11">
            <v>-1.0377726310527899</v>
          </cell>
          <cell r="P11">
            <v>-1.5068292721907</v>
          </cell>
          <cell r="Q11">
            <v>-1.6434410926787599</v>
          </cell>
          <cell r="R11">
            <v>-1.48432847046021</v>
          </cell>
          <cell r="S11">
            <v>-1.26646352238316</v>
          </cell>
          <cell r="T11">
            <v>-1.06761017308152</v>
          </cell>
          <cell r="U11">
            <v>-1.0388901315105601</v>
          </cell>
          <cell r="V11">
            <v>-1.22830507382009</v>
          </cell>
          <cell r="W11">
            <v>-1.5989616633645001</v>
          </cell>
          <cell r="X11">
            <v>-2.0816253059066101</v>
          </cell>
          <cell r="Y11">
            <v>-2.5189733623375399</v>
          </cell>
          <cell r="Z11">
            <v>-2.8036756872016801</v>
          </cell>
          <cell r="AA11">
            <v>-2.4434187207084599</v>
          </cell>
          <cell r="AB11">
            <v>-1.97379130198164</v>
          </cell>
          <cell r="AC11">
            <v>-1.6883038714846901</v>
          </cell>
          <cell r="AD11">
            <v>-1.4792688762338499</v>
          </cell>
          <cell r="AE11">
            <v>-1.2878815637151599</v>
          </cell>
          <cell r="AF11">
            <v>-1.1500777703999301</v>
          </cell>
          <cell r="AG11">
            <v>-1.08724250261686</v>
          </cell>
          <cell r="AH11">
            <v>-1.04525199913947</v>
          </cell>
          <cell r="AI11">
            <v>-0.982503752504437</v>
          </cell>
          <cell r="AJ11">
            <v>-0.88762129830668102</v>
          </cell>
          <cell r="AK11">
            <v>-0.72714856797210503</v>
          </cell>
        </row>
        <row r="12">
          <cell r="E12">
            <v>1.2791857954092301</v>
          </cell>
          <cell r="F12">
            <v>1.36407640182421</v>
          </cell>
          <cell r="G12">
            <v>1.4433036797270899</v>
          </cell>
          <cell r="H12">
            <v>1.4842292188744</v>
          </cell>
          <cell r="I12">
            <v>1.50640823298718</v>
          </cell>
          <cell r="J12">
            <v>1.54264812052393</v>
          </cell>
          <cell r="K12">
            <v>1.3796734811742</v>
          </cell>
          <cell r="L12">
            <v>1.0261701821051701</v>
          </cell>
          <cell r="M12">
            <v>0.47393182118281701</v>
          </cell>
          <cell r="N12">
            <v>-0.20004843644342901</v>
          </cell>
          <cell r="O12">
            <v>-0.86048727261326197</v>
          </cell>
          <cell r="P12">
            <v>-1.2456430390334901</v>
          </cell>
          <cell r="Q12">
            <v>-1.36947814914958</v>
          </cell>
          <cell r="R12">
            <v>-1.2092113734506</v>
          </cell>
          <cell r="S12">
            <v>-1.0224089752180301</v>
          </cell>
          <cell r="T12">
            <v>-0.85312264083671696</v>
          </cell>
          <cell r="U12">
            <v>-0.86944692194439099</v>
          </cell>
          <cell r="V12">
            <v>-1.02207508746974</v>
          </cell>
          <cell r="W12">
            <v>-1.3441144421470499</v>
          </cell>
          <cell r="X12">
            <v>-1.7948975584948701</v>
          </cell>
          <cell r="Y12">
            <v>-2.2736370838634801</v>
          </cell>
          <cell r="Z12">
            <v>-2.57032388869299</v>
          </cell>
          <cell r="AA12">
            <v>-2.4843038959025199</v>
          </cell>
          <cell r="AB12">
            <v>-2.2151624965250001</v>
          </cell>
          <cell r="AC12">
            <v>-1.88169451115592</v>
          </cell>
          <cell r="AD12">
            <v>-1.62403082997683</v>
          </cell>
          <cell r="AE12">
            <v>-1.38441115036309</v>
          </cell>
          <cell r="AF12">
            <v>-1.2316962969805501</v>
          </cell>
          <cell r="AG12">
            <v>-1.1055779571467099</v>
          </cell>
          <cell r="AH12">
            <v>-0.93849640082931096</v>
          </cell>
          <cell r="AI12">
            <v>-0.82198358892374002</v>
          </cell>
          <cell r="AJ12">
            <v>-0.70105562877437999</v>
          </cell>
          <cell r="AK12">
            <v>-0.56387401730511799</v>
          </cell>
        </row>
        <row r="13">
          <cell r="E13">
            <v>1.06518085146568</v>
          </cell>
          <cell r="F13">
            <v>1.0692312366577601</v>
          </cell>
          <cell r="G13">
            <v>1.0962205771564399</v>
          </cell>
          <cell r="H13">
            <v>1.11641368559577</v>
          </cell>
          <cell r="I13">
            <v>1.12703623354128</v>
          </cell>
          <cell r="J13">
            <v>1.0939910771105199</v>
          </cell>
          <cell r="K13">
            <v>0.96424289921029904</v>
          </cell>
          <cell r="L13">
            <v>0.66139549188880897</v>
          </cell>
          <cell r="M13">
            <v>0.180104749364319</v>
          </cell>
          <cell r="N13">
            <v>-0.32555819551173998</v>
          </cell>
          <cell r="O13">
            <v>-0.77955210516974505</v>
          </cell>
          <cell r="P13">
            <v>-1.0506645018324401</v>
          </cell>
          <cell r="Q13">
            <v>-1.1310884294269401</v>
          </cell>
          <cell r="R13">
            <v>-1.0218124062464899</v>
          </cell>
          <cell r="S13">
            <v>-0.92257052893461799</v>
          </cell>
          <cell r="T13">
            <v>-0.82364468722564199</v>
          </cell>
          <cell r="U13">
            <v>-0.86329191221382595</v>
          </cell>
          <cell r="V13">
            <v>-1.00294071270371</v>
          </cell>
          <cell r="W13">
            <v>-1.2458627042395101</v>
          </cell>
          <cell r="X13">
            <v>-1.5979930761615699</v>
          </cell>
          <cell r="Y13">
            <v>-2.02101158430224</v>
          </cell>
          <cell r="Z13">
            <v>-2.3448788887127598</v>
          </cell>
          <cell r="AA13">
            <v>-2.47169333514569</v>
          </cell>
          <cell r="AB13">
            <v>-2.4707929101150801</v>
          </cell>
          <cell r="AC13">
            <v>-2.3260525098240099</v>
          </cell>
          <cell r="AD13">
            <v>-2.1540824766640698</v>
          </cell>
          <cell r="AE13">
            <v>-1.91101138283821</v>
          </cell>
          <cell r="AF13">
            <v>-1.63167580171464</v>
          </cell>
          <cell r="AG13">
            <v>-1.34090536788859</v>
          </cell>
          <cell r="AH13">
            <v>-1.0302039193836401</v>
          </cell>
          <cell r="AI13">
            <v>-0.80260609419811202</v>
          </cell>
          <cell r="AJ13">
            <v>-0.59222025578987203</v>
          </cell>
          <cell r="AK13">
            <v>-0.40041645351181698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>
        <row r="18">
          <cell r="Y18" t="str">
            <v>A</v>
          </cell>
          <cell r="Z18">
            <v>0.8</v>
          </cell>
          <cell r="AA18">
            <v>0.8</v>
          </cell>
          <cell r="AB18">
            <v>0.8</v>
          </cell>
          <cell r="AC18">
            <v>0.8</v>
          </cell>
          <cell r="AD18">
            <v>0.8</v>
          </cell>
        </row>
        <row r="19">
          <cell r="Y19" t="str">
            <v>B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</row>
        <row r="20">
          <cell r="Y20" t="str">
            <v>C</v>
          </cell>
          <cell r="Z20">
            <v>1.2</v>
          </cell>
          <cell r="AA20">
            <v>1.2</v>
          </cell>
          <cell r="AB20">
            <v>1.1000000000000001</v>
          </cell>
          <cell r="AC20">
            <v>1</v>
          </cell>
          <cell r="AD20">
            <v>1</v>
          </cell>
        </row>
        <row r="21">
          <cell r="Y21" t="str">
            <v>D</v>
          </cell>
          <cell r="Z21">
            <v>1.6</v>
          </cell>
          <cell r="AA21">
            <v>1.4</v>
          </cell>
          <cell r="AB21">
            <v>1.2</v>
          </cell>
          <cell r="AC21">
            <v>1.1000000000000001</v>
          </cell>
          <cell r="AD21">
            <v>1</v>
          </cell>
        </row>
        <row r="22">
          <cell r="Y22" t="str">
            <v>E</v>
          </cell>
          <cell r="Z22">
            <v>2.5</v>
          </cell>
          <cell r="AA22">
            <v>1.7</v>
          </cell>
          <cell r="AB22">
            <v>1.2</v>
          </cell>
          <cell r="AC22">
            <v>0.9</v>
          </cell>
          <cell r="AD22">
            <v>0.9</v>
          </cell>
        </row>
        <row r="46">
          <cell r="C46">
            <v>168.48</v>
          </cell>
        </row>
        <row r="208">
          <cell r="B208">
            <v>0</v>
          </cell>
        </row>
        <row r="335">
          <cell r="C335">
            <v>0.85</v>
          </cell>
        </row>
        <row r="445">
          <cell r="C445">
            <v>1.1764705882352942</v>
          </cell>
        </row>
        <row r="471">
          <cell r="C471">
            <v>0.30880952380952381</v>
          </cell>
        </row>
      </sheetData>
      <sheetData sheetId="16">
        <row r="14">
          <cell r="C14">
            <v>0.13523910513389256</v>
          </cell>
        </row>
        <row r="70">
          <cell r="D70">
            <v>4</v>
          </cell>
        </row>
        <row r="72">
          <cell r="A72">
            <v>4.791666666666667</v>
          </cell>
          <cell r="E72">
            <v>12</v>
          </cell>
        </row>
        <row r="107">
          <cell r="CU107">
            <v>8.3333333333333037E-2</v>
          </cell>
        </row>
      </sheetData>
      <sheetData sheetId="17">
        <row r="4">
          <cell r="CH4">
            <v>0</v>
          </cell>
          <cell r="CI4">
            <v>-0.02</v>
          </cell>
          <cell r="CK4">
            <v>0</v>
          </cell>
          <cell r="CL4">
            <v>0.4</v>
          </cell>
        </row>
        <row r="5">
          <cell r="CI5">
            <v>-0.02</v>
          </cell>
          <cell r="CK5">
            <v>0</v>
          </cell>
          <cell r="CL5">
            <v>0.4</v>
          </cell>
        </row>
        <row r="6">
          <cell r="CI6">
            <v>-0.02</v>
          </cell>
          <cell r="CK6">
            <v>0</v>
          </cell>
          <cell r="CL6">
            <v>0.4</v>
          </cell>
        </row>
        <row r="7">
          <cell r="BR7">
            <v>3</v>
          </cell>
          <cell r="BW7">
            <v>2</v>
          </cell>
          <cell r="DD7">
            <v>0.5</v>
          </cell>
          <cell r="DF7">
            <v>0.51</v>
          </cell>
          <cell r="DG7">
            <v>1</v>
          </cell>
        </row>
        <row r="45">
          <cell r="J45">
            <v>0.245</v>
          </cell>
          <cell r="L45">
            <v>0.3125</v>
          </cell>
          <cell r="M45">
            <v>0.9</v>
          </cell>
          <cell r="T45">
            <v>0.49</v>
          </cell>
          <cell r="V45">
            <v>0.5</v>
          </cell>
          <cell r="W45">
            <v>0.01</v>
          </cell>
          <cell r="AD45">
            <v>0.19710422979506187</v>
          </cell>
          <cell r="AF45">
            <v>0.21</v>
          </cell>
          <cell r="AG45">
            <v>0.25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7">
          <cell r="M47" t="str">
            <v>Detail_d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>
        <row r="31">
          <cell r="H31">
            <v>0</v>
          </cell>
        </row>
        <row r="36">
          <cell r="I36">
            <v>0</v>
          </cell>
        </row>
      </sheetData>
      <sheetData sheetId="37"/>
      <sheetData sheetId="38"/>
      <sheetData sheetId="39">
        <row r="9">
          <cell r="N9" t="str">
            <v>none</v>
          </cell>
        </row>
        <row r="17">
          <cell r="B17">
            <v>30000</v>
          </cell>
        </row>
      </sheetData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Venting Calculations"/>
      <sheetName val="Sheet1"/>
      <sheetName val="FrangibleRoof"/>
      <sheetName val="qryExcelBasicData"/>
      <sheetName val="Shell Thickness"/>
      <sheetName val="Earthquake"/>
      <sheetName val="NextInspection"/>
      <sheetName val="Survey 8 pt"/>
      <sheetName val="Shell and Bottom UT"/>
      <sheetName val="Repad Requirement(s)"/>
      <sheetName val="Wind"/>
      <sheetName val="Allow Nozzle Loads"/>
      <sheetName val="Dome Roof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ExcelBasicData"/>
      <sheetName val="BasicData"/>
      <sheetName val="Shell Thickness"/>
      <sheetName val="Earthquake Old Appendix E"/>
      <sheetName val="Earthquake New Appendix E"/>
      <sheetName val="Survey 8 pt"/>
      <sheetName val="NextInspection"/>
      <sheetName val="Repad Requirement(s) 2xBottom"/>
      <sheetName val="Nozzle and Appurtences Table"/>
      <sheetName val="Shell and Bottom UT"/>
      <sheetName val="Repad Requirement(s)"/>
      <sheetName val="Wind"/>
      <sheetName val="Allow Nozzle Loads"/>
      <sheetName val="Dome Roof"/>
      <sheetName val="FrangibleRoof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-Pt SURVEY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18"/>
      <sheetName val="1740"/>
    </sheetNames>
    <sheetDataSet>
      <sheetData refreshError="1" sheetId="0"/>
      <sheetData refreshError="1"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ABCE-625B-4BA2-B487-FCC42DFF8134}">
  <sheetPr>
    <tabColor rgb="FFFFC000"/>
    <pageSetUpPr fitToPage="1"/>
  </sheetPr>
  <dimension ref="A1:BK656"/>
  <sheetViews>
    <sheetView showGridLines="0" tabSelected="1" topLeftCell="J1" workbookViewId="0" zoomScale="85" zoomScaleNormal="85" zoomScalePageLayoutView="70" zoomScaleSheetLayoutView="115">
      <selection activeCell="S22" sqref="S22"/>
    </sheetView>
  </sheetViews>
  <sheetFormatPr defaultColWidth="8.7109375" defaultRowHeight="12.75" x14ac:dyDescent="0.2"/>
  <cols>
    <col min="1" max="1" style="1" width="8.7109375" collapsed="false"/>
    <col min="2" max="2" customWidth="true" style="1" width="8.42578125" collapsed="false"/>
    <col min="3" max="3" customWidth="true" style="1" width="3.28515625" collapsed="false"/>
    <col min="4" max="4" customWidth="true" style="1" width="10.5703125" collapsed="false"/>
    <col min="5" max="5" bestFit="true" customWidth="true" style="4" width="17.5703125" collapsed="false"/>
    <col min="6" max="6" bestFit="true" customWidth="true" style="5" width="11.7109375" collapsed="false"/>
    <col min="7" max="7" customWidth="true" style="5" width="16.28515625" collapsed="false"/>
    <col min="8" max="8" customWidth="true" style="2" width="11.42578125" collapsed="false"/>
    <col min="9" max="9" customWidth="true" style="2" width="19.5703125" collapsed="false"/>
    <col min="10" max="10" bestFit="true" customWidth="true" style="2" width="11.42578125" collapsed="false"/>
    <col min="11" max="11" bestFit="true" customWidth="true" style="1" width="19.7109375" collapsed="false"/>
    <col min="12" max="12" bestFit="true" customWidth="true" style="3" width="15.42578125" collapsed="false"/>
    <col min="13" max="13" customWidth="true" style="2" width="11.0" collapsed="false"/>
    <col min="14" max="14" customWidth="true" style="1" width="11.85546875" collapsed="false"/>
    <col min="15" max="15" customWidth="true" style="1" width="8.28515625" collapsed="false"/>
    <col min="16" max="16" bestFit="true" customWidth="true" style="1" width="12.140625" collapsed="false"/>
    <col min="17" max="17" bestFit="true" customWidth="true" style="1" width="11.140625" collapsed="false"/>
    <col min="18" max="18" customWidth="true" style="1" width="11.28515625" collapsed="false"/>
    <col min="19" max="20" bestFit="true" customWidth="true" style="1" width="12.0" collapsed="false"/>
    <col min="21" max="21" bestFit="true" customWidth="true" style="1" width="6.85546875" collapsed="false"/>
    <col min="22" max="22" bestFit="true" customWidth="true" style="1" width="11.42578125" collapsed="false"/>
    <col min="23" max="23" bestFit="true" customWidth="true" style="1" width="7.0" collapsed="false"/>
    <col min="24" max="26" bestFit="true" customWidth="true" style="1" width="12.0" collapsed="false"/>
    <col min="27" max="27" bestFit="true" customWidth="true" style="1" width="4.42578125" collapsed="false"/>
    <col min="28" max="28" bestFit="true" customWidth="true" style="115" width="13.85546875" collapsed="false"/>
    <col min="29" max="34" bestFit="true" customWidth="true" style="1" width="9.42578125" collapsed="false"/>
    <col min="35" max="35" customWidth="true" style="1" width="9.42578125" collapsed="false"/>
    <col min="36" max="46" style="1" width="8.7109375" collapsed="false"/>
    <col min="47" max="47" customWidth="true" style="1" width="12.42578125" collapsed="false"/>
    <col min="48" max="170" style="1" width="8.7109375" collapsed="false"/>
    <col min="171" max="171" customWidth="true" hidden="true" style="1" width="0.0" collapsed="false"/>
    <col min="172" max="172" style="1" width="8.7109375" collapsed="false"/>
    <col min="173" max="177" customWidth="true" hidden="true" style="1" width="0.0" collapsed="false"/>
    <col min="178" max="16384" style="1" width="8.7109375" collapsed="false"/>
  </cols>
  <sheetData>
    <row r="1" spans="2:19" x14ac:dyDescent="0.2">
      <c r="E1" s="1"/>
      <c r="F1" s="1"/>
      <c r="G1" s="1"/>
    </row>
    <row r="2" spans="2:19" x14ac:dyDescent="0.2">
      <c r="J2" s="6" t="str">
        <f xml:space="preserve"> "© POWERS Engineering and Inspection, Inc. "&amp;[1]BasicData!O23</f>
        <v>© POWERS Engineering and Inspection, Inc. 2016</v>
      </c>
    </row>
    <row r="3" spans="2:19" x14ac:dyDescent="0.2">
      <c r="B3" s="7"/>
      <c r="D3" s="7"/>
      <c r="E3" s="8"/>
      <c r="F3" s="9"/>
      <c r="G3" s="9"/>
      <c r="H3" s="10"/>
      <c r="I3" s="10"/>
      <c r="J3" s="10"/>
      <c r="K3" s="7"/>
      <c r="L3" s="11"/>
      <c r="M3" s="10"/>
    </row>
    <row ht="15" r="4" spans="2:19" x14ac:dyDescent="0.25">
      <c r="B4" s="12"/>
      <c r="C4" s="13"/>
      <c r="D4" s="12"/>
      <c r="E4" s="14"/>
      <c r="F4" s="15"/>
      <c r="G4" s="15"/>
      <c r="H4" s="16"/>
      <c r="I4" s="16"/>
      <c r="J4" s="16"/>
      <c r="K4" s="12"/>
      <c r="L4" s="17"/>
      <c r="M4" s="16"/>
      <c r="N4" s="18"/>
      <c r="O4" s="18"/>
      <c r="P4" s="18"/>
      <c r="Q4" s="18"/>
      <c r="R4" s="18"/>
      <c r="S4" s="18"/>
    </row>
    <row ht="15" r="5" spans="2:19" x14ac:dyDescent="0.25">
      <c r="B5" s="18"/>
      <c r="C5" s="19" t="s">
        <v>0</v>
      </c>
      <c r="D5" s="18"/>
      <c r="E5" s="20"/>
      <c r="F5" s="15"/>
      <c r="G5" s="15"/>
      <c r="H5" s="16"/>
      <c r="I5" s="16"/>
      <c r="J5" s="12"/>
      <c r="K5" s="12"/>
      <c r="L5" s="17"/>
      <c r="M5" s="16"/>
      <c r="N5" s="18"/>
      <c r="O5" s="18"/>
      <c r="P5" s="18"/>
      <c r="Q5" s="18"/>
      <c r="R5" s="18"/>
      <c r="S5" s="18"/>
    </row>
    <row ht="15" r="6" spans="2:19" x14ac:dyDescent="0.25">
      <c r="B6" s="21"/>
      <c r="C6" s="21"/>
      <c r="D6" s="18"/>
      <c r="E6" s="22"/>
      <c r="F6" s="20"/>
      <c r="G6" s="20"/>
      <c r="H6" s="20"/>
      <c r="I6" s="20"/>
      <c r="J6" s="12"/>
      <c r="K6" s="12"/>
      <c r="L6" s="17"/>
      <c r="M6" s="16"/>
      <c r="N6" s="18"/>
      <c r="O6" s="18"/>
      <c r="P6" s="18"/>
      <c r="Q6" s="18"/>
      <c r="R6" s="18"/>
      <c r="S6" s="18"/>
    </row>
    <row ht="15" r="7" spans="2:19" x14ac:dyDescent="0.25">
      <c r="B7" s="21"/>
      <c r="C7" s="23" t="s">
        <v>1</v>
      </c>
      <c r="D7" s="12"/>
      <c r="E7" s="20"/>
      <c r="F7" s="20"/>
      <c r="G7" s="20"/>
      <c r="H7" s="20"/>
      <c r="I7" s="20"/>
      <c r="J7" s="12"/>
      <c r="K7" s="12"/>
      <c r="L7" s="17"/>
      <c r="M7" s="16"/>
      <c r="N7" s="18"/>
      <c r="O7" s="18"/>
      <c r="P7" s="18"/>
      <c r="Q7" s="18"/>
      <c r="R7" s="18"/>
      <c r="S7" s="18"/>
    </row>
    <row ht="15" r="8" spans="2:19" x14ac:dyDescent="0.25">
      <c r="B8" s="12"/>
      <c r="C8" s="18"/>
      <c r="D8" s="18"/>
      <c r="E8" s="24" t="s">
        <v>2</v>
      </c>
      <c r="F8" s="15"/>
      <c r="G8" s="25" t="s">
        <v>3</v>
      </c>
      <c r="H8" s="26" t="s">
        <v>4</v>
      </c>
      <c r="I8" s="27" t="s">
        <v>5</v>
      </c>
      <c r="J8" s="16"/>
      <c r="K8" s="12"/>
      <c r="L8" s="17"/>
      <c r="M8" s="16"/>
      <c r="N8" s="18"/>
      <c r="O8" s="18"/>
      <c r="P8" s="18"/>
      <c r="Q8" s="18"/>
      <c r="R8" s="18"/>
      <c r="S8" s="18"/>
    </row>
    <row customHeight="1" ht="21" r="9" spans="2:19" x14ac:dyDescent="0.25">
      <c r="B9" s="12"/>
      <c r="C9" s="12"/>
      <c r="D9" s="12"/>
      <c r="E9" s="28" t="s">
        <v>6</v>
      </c>
      <c r="F9" s="15"/>
      <c r="G9" s="28" t="s">
        <v>7</v>
      </c>
      <c r="H9" s="29">
        <v>64</v>
      </c>
      <c r="I9" s="30" t="s">
        <v>8</v>
      </c>
      <c r="J9" s="16"/>
      <c r="K9" s="12"/>
      <c r="L9" s="17"/>
      <c r="M9" s="16"/>
      <c r="N9" s="18"/>
      <c r="O9" s="18"/>
      <c r="P9" s="18"/>
      <c r="Q9" s="18"/>
      <c r="R9" s="18"/>
      <c r="S9" s="18"/>
    </row>
    <row ht="15" r="10" spans="2:19" x14ac:dyDescent="0.25">
      <c r="B10" s="12"/>
      <c r="C10" s="12"/>
      <c r="D10" s="12"/>
      <c r="E10" s="28" t="s">
        <v>9</v>
      </c>
      <c r="F10" s="15"/>
      <c r="G10" s="28" t="s">
        <v>10</v>
      </c>
      <c r="H10" s="31">
        <v>150</v>
      </c>
      <c r="I10" s="16"/>
      <c r="J10" s="16"/>
      <c r="K10" s="12"/>
      <c r="L10" s="17"/>
      <c r="M10" s="16"/>
      <c r="N10" s="18"/>
      <c r="O10" s="18"/>
      <c r="P10" s="18"/>
      <c r="Q10" s="18"/>
      <c r="R10" s="18"/>
      <c r="S10" s="18"/>
    </row>
    <row ht="15" r="11" spans="2:19" x14ac:dyDescent="0.25">
      <c r="B11" s="12"/>
      <c r="C11" s="12"/>
      <c r="D11" s="12"/>
      <c r="E11" s="28" t="s">
        <v>11</v>
      </c>
      <c r="F11" s="15"/>
      <c r="G11" s="28" t="s">
        <v>12</v>
      </c>
      <c r="H11" s="31">
        <v>0.79</v>
      </c>
      <c r="I11" s="16"/>
      <c r="J11" s="16"/>
      <c r="K11" s="12"/>
      <c r="L11" s="17"/>
      <c r="M11" s="16"/>
      <c r="N11" s="18"/>
      <c r="O11" s="18"/>
      <c r="P11" s="18"/>
      <c r="Q11" s="18"/>
      <c r="R11" s="18"/>
      <c r="S11" s="18"/>
    </row>
    <row ht="15" r="12" spans="2:19" x14ac:dyDescent="0.25">
      <c r="B12" s="12"/>
      <c r="C12" s="12"/>
      <c r="D12" s="12"/>
      <c r="E12" s="28" t="s">
        <v>13</v>
      </c>
      <c r="F12" s="15"/>
      <c r="G12" s="28" t="s">
        <v>14</v>
      </c>
      <c r="H12" s="32" t="s">
        <v>15</v>
      </c>
      <c r="I12" s="30" t="s">
        <v>16</v>
      </c>
      <c r="J12" s="16"/>
      <c r="K12" s="12"/>
      <c r="L12" s="17"/>
      <c r="M12" s="16"/>
      <c r="N12" s="18"/>
      <c r="O12" s="18"/>
      <c r="P12" s="18"/>
      <c r="Q12" s="18"/>
      <c r="R12" s="18"/>
      <c r="S12" s="18"/>
    </row>
    <row ht="15" r="13" spans="2:19" x14ac:dyDescent="0.25">
      <c r="B13" s="12"/>
      <c r="C13" s="12"/>
      <c r="D13" s="12"/>
      <c r="E13" s="28" t="s">
        <v>17</v>
      </c>
      <c r="F13" s="15"/>
      <c r="G13" s="28" t="s">
        <v>18</v>
      </c>
      <c r="H13" s="32" t="s">
        <v>15</v>
      </c>
      <c r="I13" s="30" t="s">
        <v>19</v>
      </c>
      <c r="J13" s="16"/>
      <c r="K13" s="12"/>
      <c r="L13" s="17"/>
      <c r="M13" s="16"/>
      <c r="N13" s="18"/>
      <c r="O13" s="18"/>
      <c r="P13" s="18"/>
      <c r="Q13" s="18"/>
      <c r="R13" s="18"/>
      <c r="S13" s="18"/>
    </row>
    <row ht="15" r="14" spans="2:19" x14ac:dyDescent="0.25">
      <c r="B14" s="12"/>
      <c r="C14" s="12"/>
      <c r="D14" s="12"/>
      <c r="E14" s="33" t="s">
        <v>20</v>
      </c>
      <c r="F14" s="16">
        <f>TempModifier</f>
        <v>1</v>
      </c>
      <c r="G14" s="15" t="s">
        <v>21</v>
      </c>
      <c r="H14" s="16" t="s">
        <v>15</v>
      </c>
      <c r="I14" s="30" t="s">
        <v>22</v>
      </c>
      <c r="J14" s="16"/>
      <c r="K14" s="12"/>
      <c r="L14" s="17"/>
      <c r="M14" s="16"/>
      <c r="N14" s="18"/>
      <c r="O14" s="18"/>
      <c r="P14" s="18"/>
      <c r="Q14" s="18"/>
      <c r="R14" s="18"/>
      <c r="S14" s="18"/>
    </row>
    <row ht="15" r="15" spans="2:19" x14ac:dyDescent="0.25">
      <c r="B15" s="12"/>
      <c r="C15" s="34"/>
      <c r="D15" s="34"/>
      <c r="E15" s="14"/>
      <c r="F15" s="15"/>
      <c r="G15" s="35"/>
      <c r="H15" s="16"/>
      <c r="I15" s="36"/>
      <c r="J15" s="25"/>
      <c r="K15" s="12"/>
      <c r="L15" s="17"/>
      <c r="M15" s="16"/>
      <c r="N15" s="18"/>
      <c r="O15" s="18"/>
      <c r="P15" s="18"/>
      <c r="Q15" s="18"/>
      <c r="R15" s="18"/>
      <c r="S15" s="18"/>
    </row>
    <row ht="15.75" r="16" spans="2:19" thickBot="1" x14ac:dyDescent="0.3">
      <c r="B16" s="12"/>
      <c r="C16" s="18"/>
      <c r="D16" s="18"/>
      <c r="E16" s="14"/>
      <c r="F16" s="15"/>
      <c r="G16" s="15"/>
      <c r="H16" s="16"/>
      <c r="I16" s="16"/>
      <c r="J16" s="16"/>
      <c r="K16" s="12"/>
      <c r="L16" s="17"/>
      <c r="M16" s="16"/>
      <c r="N16" s="18"/>
      <c r="O16" s="18"/>
      <c r="P16" s="18"/>
      <c r="Q16" s="18"/>
      <c r="R16" s="18"/>
      <c r="S16" s="18"/>
    </row>
    <row customHeight="1" ht="12.95" r="17" spans="2:19" thickBot="1" x14ac:dyDescent="0.3">
      <c r="B17" s="12"/>
      <c r="C17" s="37" t="s">
        <v>23</v>
      </c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40" t="s">
        <v>24</v>
      </c>
      <c r="O17" s="41"/>
      <c r="P17" s="41"/>
      <c r="Q17" s="42"/>
      <c r="R17" s="43" t="s">
        <v>25</v>
      </c>
      <c r="S17" s="18"/>
    </row>
    <row customHeight="1" ht="14.25" r="18" spans="2:19" thickBot="1" thickTop="1" x14ac:dyDescent="0.3">
      <c r="B18" s="12"/>
      <c r="C18" s="44"/>
      <c r="D18" s="37" t="s">
        <v>26</v>
      </c>
      <c r="E18" s="45"/>
      <c r="F18" s="46" t="s">
        <v>6</v>
      </c>
      <c r="G18" s="46"/>
      <c r="H18" s="47" t="s">
        <v>17</v>
      </c>
      <c r="I18" s="47"/>
      <c r="J18" s="47" t="s">
        <v>13</v>
      </c>
      <c r="K18" s="48"/>
      <c r="L18" s="49" t="s">
        <v>27</v>
      </c>
      <c r="M18" s="50" t="s">
        <v>28</v>
      </c>
      <c r="N18" s="51" t="s">
        <v>29</v>
      </c>
      <c r="O18" s="51" t="s">
        <v>30</v>
      </c>
      <c r="P18" s="51" t="s">
        <v>31</v>
      </c>
      <c r="Q18" s="52" t="s">
        <v>32</v>
      </c>
      <c r="R18" s="53"/>
      <c r="S18" s="18"/>
    </row>
    <row customHeight="1" ht="12.75" r="19" spans="2:19" thickTop="1" x14ac:dyDescent="0.25">
      <c r="B19" s="12"/>
      <c r="C19" s="54" t="s">
        <v>33</v>
      </c>
      <c r="D19" s="55"/>
      <c r="E19" s="56"/>
      <c r="F19" s="57" t="s">
        <v>34</v>
      </c>
      <c r="G19" s="57" t="s">
        <v>35</v>
      </c>
      <c r="H19" s="58" t="s">
        <v>36</v>
      </c>
      <c r="I19" s="58" t="s">
        <v>37</v>
      </c>
      <c r="J19" s="58" t="s">
        <v>38</v>
      </c>
      <c r="K19" s="59" t="s">
        <v>39</v>
      </c>
      <c r="L19" s="60" t="s">
        <v>40</v>
      </c>
      <c r="M19" s="61" t="s">
        <v>41</v>
      </c>
      <c r="N19" s="62"/>
      <c r="O19" s="62"/>
      <c r="P19" s="62"/>
      <c r="Q19" s="63"/>
      <c r="R19" s="53"/>
      <c r="S19" s="18"/>
    </row>
    <row customHeight="1" ht="18.75" r="20" spans="2:19" x14ac:dyDescent="0.25">
      <c r="B20" s="12"/>
      <c r="C20" s="64"/>
      <c r="D20" s="55"/>
      <c r="E20" s="56"/>
      <c r="F20" s="65"/>
      <c r="G20" s="65"/>
      <c r="H20" s="66"/>
      <c r="I20" s="66"/>
      <c r="J20" s="66"/>
      <c r="K20" s="67"/>
      <c r="L20" s="68"/>
      <c r="M20" s="62"/>
      <c r="N20" s="62"/>
      <c r="O20" s="62"/>
      <c r="P20" s="62"/>
      <c r="Q20" s="63"/>
      <c r="R20" s="53"/>
      <c r="S20" s="18"/>
    </row>
    <row customHeight="1" ht="14.25" r="21" spans="2:19" x14ac:dyDescent="0.25">
      <c r="B21" s="12"/>
      <c r="C21" s="64"/>
      <c r="D21" s="55"/>
      <c r="E21" s="56"/>
      <c r="F21" s="65"/>
      <c r="G21" s="65"/>
      <c r="H21" s="66"/>
      <c r="I21" s="66"/>
      <c r="J21" s="66"/>
      <c r="K21" s="67"/>
      <c r="L21" s="68"/>
      <c r="M21" s="62"/>
      <c r="N21" s="62"/>
      <c r="O21" s="62"/>
      <c r="P21" s="62"/>
      <c r="Q21" s="63"/>
      <c r="R21" s="53"/>
      <c r="S21" s="18"/>
    </row>
    <row customHeight="1" ht="24.75" r="22" spans="2:19" thickBot="1" x14ac:dyDescent="0.3">
      <c r="B22" s="12"/>
      <c r="C22" s="64"/>
      <c r="D22" s="69"/>
      <c r="E22" s="70"/>
      <c r="F22" s="71"/>
      <c r="G22" s="71"/>
      <c r="H22" s="72"/>
      <c r="I22" s="72"/>
      <c r="J22" s="72"/>
      <c r="K22" s="73"/>
      <c r="L22" s="74"/>
      <c r="M22" s="75"/>
      <c r="N22" s="62"/>
      <c r="O22" s="62"/>
      <c r="P22" s="62"/>
      <c r="Q22" s="63"/>
      <c r="R22" s="53"/>
      <c r="S22" s="18"/>
    </row>
    <row customHeight="1" ht="24.75" r="23" spans="2:19" thickBot="1" thickTop="1" x14ac:dyDescent="0.3">
      <c r="B23" s="12"/>
      <c r="C23" s="76"/>
      <c r="D23" s="77" t="s">
        <v>42</v>
      </c>
      <c r="E23" s="77" t="s">
        <v>43</v>
      </c>
      <c r="F23" s="78" t="s">
        <v>43</v>
      </c>
      <c r="G23" s="78"/>
      <c r="H23" s="79" t="s">
        <v>44</v>
      </c>
      <c r="I23" s="79"/>
      <c r="J23" s="79" t="s">
        <v>45</v>
      </c>
      <c r="K23" s="80" t="s">
        <v>42</v>
      </c>
      <c r="L23" s="81" t="s">
        <v>42</v>
      </c>
      <c r="M23" s="50" t="s">
        <v>46</v>
      </c>
      <c r="N23" s="75"/>
      <c r="O23" s="62"/>
      <c r="P23" s="62"/>
      <c r="Q23" s="63"/>
      <c r="R23" s="53"/>
      <c r="S23" s="18"/>
    </row>
    <row ht="15.75" r="24" spans="2:19" thickTop="1" x14ac:dyDescent="0.25">
      <c r="B24" s="12"/>
      <c r="C24" s="82">
        <v>1</v>
      </c>
      <c r="D24" s="83">
        <v>120</v>
      </c>
      <c r="E24" s="82">
        <f>D24/12</f>
        <v>10</v>
      </c>
      <c r="F24" s="84">
        <v>61.9</v>
      </c>
      <c r="G24" s="83" t="s">
        <v>47</v>
      </c>
      <c r="H24" s="83">
        <v>1</v>
      </c>
      <c r="I24" s="83" t="s">
        <v>48</v>
      </c>
      <c r="J24" s="85">
        <v>30030</v>
      </c>
      <c r="K24" s="86">
        <v>0.62480000000000002</v>
      </c>
      <c r="L24" s="87">
        <v>0.81499999999999995</v>
      </c>
      <c r="M24" s="88" t="str">
        <f>IF(L24&gt;=K24,"Ok", "Not Ok**")</f>
        <v>Ok</v>
      </c>
      <c r="N24" s="89">
        <f>_roundnessc-L24</f>
        <v>2.1850000000000001</v>
      </c>
      <c r="O24" s="90" t="s">
        <v>49</v>
      </c>
      <c r="P24" s="91" t="s">
        <v>49</v>
      </c>
      <c r="Q24" s="92">
        <f>IF(AND(O24="yes",P24="yes"),G89,IF(AND(O24="no",P24="no"),Q89,IF(AND(O24="yes",P24="no"),MIN(G89,Q89),IF(AND(O24="no",P24="yes"),G89))))</f>
        <v>5</v>
      </c>
      <c r="R24" s="93">
        <f><![CDATA[IF(P24="Yes",IF(H10<40,F94,IF(H10<150,F95,IF(H10<250,F96,IF(H10>250,F97)))),IF(H10<40,Q94,IF(H10<150,Q95,IF(H10<250,Q96,IF(H10>250,Q97)))))]]></f>
        <v>3</v>
      </c>
      <c r="S24" s="18"/>
    </row>
    <row customHeight="1" ht="12.75" r="25" spans="2:19" x14ac:dyDescent="0.25">
      <c r="B25" s="12"/>
      <c r="C25" s="94"/>
      <c r="D25" s="95"/>
      <c r="E25" s="94"/>
      <c r="F25" s="95"/>
      <c r="G25" s="95"/>
      <c r="H25" s="95"/>
      <c r="I25" s="95"/>
      <c r="J25" s="96"/>
      <c r="K25" s="97"/>
      <c r="L25" s="98"/>
      <c r="M25" s="99"/>
      <c r="N25" s="100"/>
      <c r="O25" s="101"/>
      <c r="P25" s="102"/>
      <c r="Q25" s="103"/>
      <c r="R25" s="104"/>
      <c r="S25" s="18"/>
    </row>
    <row ht="15.75" r="26" spans="2:19" thickBot="1" x14ac:dyDescent="0.3">
      <c r="B26" s="12"/>
      <c r="C26" s="105"/>
      <c r="D26" s="106"/>
      <c r="E26" s="105"/>
      <c r="F26" s="106"/>
      <c r="G26" s="107"/>
      <c r="H26" s="107"/>
      <c r="I26" s="106"/>
      <c r="J26" s="108"/>
      <c r="K26" s="109"/>
      <c r="L26" s="110"/>
      <c r="M26" s="111"/>
      <c r="N26" s="112"/>
      <c r="O26" s="101"/>
      <c r="P26" s="102"/>
      <c r="Q26" s="103"/>
      <c r="R26" s="104"/>
      <c r="S26" s="18"/>
    </row>
    <row customHeight="1" ht="26.1" r="27" spans="2:19" thickTop="1" x14ac:dyDescent="0.25">
      <c r="B27" s="12"/>
      <c r="C27" s="113">
        <v>2</v>
      </c>
      <c r="D27" s="83">
        <v>240</v>
      </c>
      <c r="E27" s="82">
        <f>D27/12</f>
        <v>20</v>
      </c>
      <c r="F27" s="84">
        <v>51.9</v>
      </c>
      <c r="G27" s="83" t="s">
        <v>47</v>
      </c>
      <c r="H27" s="83">
        <v>1</v>
      </c>
      <c r="I27" s="83" t="s">
        <v>48</v>
      </c>
      <c r="J27" s="85">
        <v>30030</v>
      </c>
      <c r="K27" s="86">
        <v>0.5222</v>
      </c>
      <c r="L27" s="86">
        <v>0.67500000000000004</v>
      </c>
      <c r="M27" s="88" t="str">
        <f>IF(L27&gt;=K27,"Ok", "Not Ok**")</f>
        <v>Ok</v>
      </c>
      <c r="N27" s="89">
        <f>_roundnessc-L27</f>
        <v>2.3250000000000002</v>
      </c>
      <c r="O27" s="101"/>
      <c r="P27" s="102"/>
      <c r="Q27" s="103"/>
      <c r="R27" s="104"/>
      <c r="S27" s="18"/>
    </row>
    <row customHeight="1" ht="12.75" r="28" spans="2:19" x14ac:dyDescent="0.25">
      <c r="B28" s="12"/>
      <c r="C28" s="94"/>
      <c r="D28" s="95"/>
      <c r="E28" s="94"/>
      <c r="F28" s="95"/>
      <c r="G28" s="95"/>
      <c r="H28" s="95"/>
      <c r="I28" s="95"/>
      <c r="J28" s="96"/>
      <c r="K28" s="97"/>
      <c r="L28" s="97"/>
      <c r="M28" s="99"/>
      <c r="N28" s="100"/>
      <c r="O28" s="101"/>
      <c r="P28" s="102"/>
      <c r="Q28" s="103"/>
      <c r="R28" s="104"/>
      <c r="S28" s="18"/>
    </row>
    <row ht="15.75" r="29" spans="2:19" thickBot="1" x14ac:dyDescent="0.3">
      <c r="B29" s="12"/>
      <c r="C29" s="105"/>
      <c r="D29" s="107"/>
      <c r="E29" s="105"/>
      <c r="F29" s="106"/>
      <c r="G29" s="107"/>
      <c r="H29" s="107"/>
      <c r="I29" s="106"/>
      <c r="J29" s="108"/>
      <c r="K29" s="109"/>
      <c r="L29" s="109"/>
      <c r="M29" s="111"/>
      <c r="N29" s="112"/>
      <c r="O29" s="101"/>
      <c r="P29" s="102"/>
      <c r="Q29" s="103"/>
      <c r="R29" s="104"/>
      <c r="S29" s="18"/>
    </row>
    <row customHeight="1" ht="26.1" r="30" spans="2:19" thickTop="1" x14ac:dyDescent="0.25">
      <c r="B30" s="12"/>
      <c r="C30" s="113">
        <v>3</v>
      </c>
      <c r="D30" s="83">
        <f>$D$24*C30</f>
        <v>360</v>
      </c>
      <c r="E30" s="82">
        <f>D30/12</f>
        <v>30</v>
      </c>
      <c r="F30" s="84">
        <v>41.9</v>
      </c>
      <c r="G30" s="83" t="s">
        <v>47</v>
      </c>
      <c r="H30" s="83">
        <v>1</v>
      </c>
      <c r="I30" s="83" t="s">
        <v>48</v>
      </c>
      <c r="J30" s="85">
        <v>33040</v>
      </c>
      <c r="K30" s="86">
        <v>0.38140000000000002</v>
      </c>
      <c r="L30" s="86">
        <v>0.54</v>
      </c>
      <c r="M30" s="88" t="str">
        <f>IF(L30&gt;=K30,"Ok", "Not Ok**")</f>
        <v>Ok</v>
      </c>
      <c r="N30" s="89">
        <f>_roundnessc-L30</f>
        <v>2.46</v>
      </c>
      <c r="O30" s="101"/>
      <c r="P30" s="102"/>
      <c r="Q30" s="103"/>
      <c r="R30" s="104"/>
      <c r="S30" s="18"/>
    </row>
    <row ht="15" r="31" spans="2:19" x14ac:dyDescent="0.25">
      <c r="B31" s="12"/>
      <c r="C31" s="94"/>
      <c r="D31" s="95"/>
      <c r="E31" s="94"/>
      <c r="F31" s="95"/>
      <c r="G31" s="95"/>
      <c r="H31" s="95"/>
      <c r="I31" s="95"/>
      <c r="J31" s="96"/>
      <c r="K31" s="97"/>
      <c r="L31" s="97"/>
      <c r="M31" s="99"/>
      <c r="N31" s="100"/>
      <c r="O31" s="101"/>
      <c r="P31" s="102"/>
      <c r="Q31" s="103"/>
      <c r="R31" s="104"/>
      <c r="S31" s="18"/>
    </row>
    <row ht="15.75" r="32" spans="2:19" thickBot="1" x14ac:dyDescent="0.3">
      <c r="B32" s="12"/>
      <c r="C32" s="105"/>
      <c r="D32" s="107"/>
      <c r="E32" s="105"/>
      <c r="F32" s="106"/>
      <c r="G32" s="107"/>
      <c r="H32" s="107"/>
      <c r="I32" s="106"/>
      <c r="J32" s="114"/>
      <c r="K32" s="109"/>
      <c r="L32" s="109"/>
      <c r="M32" s="111"/>
      <c r="N32" s="112"/>
      <c r="O32" s="101"/>
      <c r="P32" s="102"/>
      <c r="Q32" s="103"/>
      <c r="R32" s="104"/>
      <c r="S32" s="18"/>
    </row>
    <row customHeight="1" ht="26.1" r="33" spans="2:19" thickTop="1" x14ac:dyDescent="0.25">
      <c r="B33" s="12"/>
      <c r="C33" s="113">
        <v>4</v>
      </c>
      <c r="D33" s="83">
        <f>$D$24*C33</f>
        <v>480</v>
      </c>
      <c r="E33" s="82">
        <f>D33/12</f>
        <v>40</v>
      </c>
      <c r="F33" s="84">
        <v>31.9</v>
      </c>
      <c r="G33" s="83" t="s">
        <v>47</v>
      </c>
      <c r="H33" s="83">
        <v>1</v>
      </c>
      <c r="I33" s="83" t="s">
        <v>48</v>
      </c>
      <c r="J33" s="85">
        <v>33040</v>
      </c>
      <c r="K33" s="86">
        <v>0.28810000000000002</v>
      </c>
      <c r="L33" s="86">
        <v>0.45</v>
      </c>
      <c r="M33" s="88" t="str">
        <f>IF(L33&gt;=K33,"Ok", "Not Ok**")</f>
        <v>Ok</v>
      </c>
      <c r="N33" s="89">
        <f>_roundnessc-L33</f>
        <v>2.5499999999999998</v>
      </c>
      <c r="O33" s="101"/>
      <c r="P33" s="102"/>
      <c r="Q33" s="103"/>
      <c r="R33" s="104"/>
      <c r="S33" s="18"/>
    </row>
    <row ht="15" r="34" spans="2:19" x14ac:dyDescent="0.25">
      <c r="B34" s="12"/>
      <c r="C34" s="94"/>
      <c r="D34" s="95"/>
      <c r="E34" s="94"/>
      <c r="F34" s="95"/>
      <c r="G34" s="95"/>
      <c r="H34" s="95"/>
      <c r="I34" s="95"/>
      <c r="J34" s="96"/>
      <c r="K34" s="97"/>
      <c r="L34" s="97"/>
      <c r="M34" s="99"/>
      <c r="N34" s="100"/>
      <c r="O34" s="101"/>
      <c r="P34" s="102"/>
      <c r="Q34" s="103"/>
      <c r="R34" s="104"/>
      <c r="S34" s="18"/>
    </row>
    <row ht="15.75" r="35" spans="2:19" thickBot="1" x14ac:dyDescent="0.3">
      <c r="B35" s="12"/>
      <c r="C35" s="105"/>
      <c r="D35" s="107"/>
      <c r="E35" s="105"/>
      <c r="F35" s="106"/>
      <c r="G35" s="107"/>
      <c r="H35" s="107"/>
      <c r="I35" s="106"/>
      <c r="J35" s="114"/>
      <c r="K35" s="109"/>
      <c r="L35" s="109"/>
      <c r="M35" s="111"/>
      <c r="N35" s="112"/>
      <c r="O35" s="101"/>
      <c r="P35" s="102"/>
      <c r="Q35" s="103"/>
      <c r="R35" s="104"/>
      <c r="S35" s="18"/>
    </row>
    <row customHeight="1" ht="26.1" r="36" spans="2:19" thickTop="1" x14ac:dyDescent="0.25">
      <c r="B36" s="12"/>
      <c r="C36" s="113">
        <v>5</v>
      </c>
      <c r="D36" s="83">
        <f>D33+96</f>
        <v>576</v>
      </c>
      <c r="E36" s="82">
        <f>D36/12</f>
        <v>48</v>
      </c>
      <c r="F36" s="84">
        <v>21.9</v>
      </c>
      <c r="G36" s="83" t="s">
        <v>47</v>
      </c>
      <c r="H36" s="83">
        <v>1</v>
      </c>
      <c r="I36" s="83" t="s">
        <v>50</v>
      </c>
      <c r="J36" s="85">
        <v>27376</v>
      </c>
      <c r="K36" s="86">
        <v>0.23519999999999999</v>
      </c>
      <c r="L36" s="87">
        <v>0.41</v>
      </c>
      <c r="M36" s="88" t="str">
        <f>IF(L36&gt;=K36,"Ok", "Not Ok**")</f>
        <v>Ok</v>
      </c>
      <c r="N36" s="89">
        <f>_roundnessc-L36</f>
        <v>2.59</v>
      </c>
      <c r="O36" s="101"/>
      <c r="P36" s="102"/>
      <c r="Q36" s="103"/>
      <c r="R36" s="104"/>
      <c r="S36" s="18"/>
    </row>
    <row customHeight="1" ht="15.75" r="37" spans="2:19" x14ac:dyDescent="0.25">
      <c r="B37" s="12"/>
      <c r="C37" s="94"/>
      <c r="D37" s="95"/>
      <c r="E37" s="94"/>
      <c r="F37" s="95"/>
      <c r="G37" s="95"/>
      <c r="H37" s="95"/>
      <c r="I37" s="95"/>
      <c r="J37" s="96"/>
      <c r="K37" s="97"/>
      <c r="L37" s="98"/>
      <c r="M37" s="99"/>
      <c r="N37" s="100"/>
      <c r="O37" s="101"/>
      <c r="P37" s="102"/>
      <c r="Q37" s="103"/>
      <c r="R37" s="104"/>
      <c r="S37" s="18"/>
    </row>
    <row customHeight="1" ht="16.5" r="38" spans="2:19" thickBot="1" x14ac:dyDescent="0.3">
      <c r="B38" s="12"/>
      <c r="C38" s="105"/>
      <c r="D38" s="107"/>
      <c r="E38" s="105"/>
      <c r="F38" s="106"/>
      <c r="G38" s="107"/>
      <c r="H38" s="107"/>
      <c r="I38" s="106"/>
      <c r="J38" s="108"/>
      <c r="K38" s="109"/>
      <c r="L38" s="110"/>
      <c r="M38" s="111"/>
      <c r="N38" s="112"/>
      <c r="O38" s="101"/>
      <c r="P38" s="102"/>
      <c r="Q38" s="103"/>
      <c r="R38" s="104"/>
      <c r="S38" s="18"/>
    </row>
    <row customHeight="1" ht="25.5" r="39" spans="2:19" thickTop="1" x14ac:dyDescent="0.25">
      <c r="B39" s="12"/>
      <c r="C39" s="82">
        <v>6</v>
      </c>
      <c r="D39" s="83">
        <f ref="D39" si="0" t="shared">D36+96</f>
        <v>672</v>
      </c>
      <c r="E39" s="82">
        <f>D39/12</f>
        <v>56</v>
      </c>
      <c r="F39" s="84">
        <v>13.9</v>
      </c>
      <c r="G39" s="83" t="s">
        <v>47</v>
      </c>
      <c r="H39" s="83">
        <v>1</v>
      </c>
      <c r="I39" s="83" t="s">
        <v>50</v>
      </c>
      <c r="J39" s="85">
        <v>27376</v>
      </c>
      <c r="K39" s="86">
        <v>0.1452</v>
      </c>
      <c r="L39" s="87">
        <v>0.36</v>
      </c>
      <c r="M39" s="88" t="str">
        <f>IF(L39&gt;=K39,"Ok", "Not Ok**")</f>
        <v>Ok</v>
      </c>
      <c r="N39" s="89">
        <f>_roundnessc-L39</f>
        <v>2.64</v>
      </c>
      <c r="O39" s="101"/>
      <c r="P39" s="102"/>
      <c r="Q39" s="103"/>
      <c r="R39" s="104"/>
      <c r="S39" s="18"/>
    </row>
    <row customHeight="1" ht="15.95" r="40" spans="2:19" x14ac:dyDescent="0.25">
      <c r="B40" s="12"/>
      <c r="C40" s="94"/>
      <c r="D40" s="95"/>
      <c r="E40" s="94"/>
      <c r="F40" s="95"/>
      <c r="G40" s="95"/>
      <c r="H40" s="95"/>
      <c r="I40" s="95"/>
      <c r="J40" s="96"/>
      <c r="K40" s="97"/>
      <c r="L40" s="98"/>
      <c r="M40" s="99"/>
      <c r="N40" s="100"/>
      <c r="O40" s="101"/>
      <c r="P40" s="102"/>
      <c r="Q40" s="103"/>
      <c r="R40" s="104"/>
      <c r="S40" s="18"/>
    </row>
    <row customHeight="1" ht="16.5" r="41" spans="2:19" thickBot="1" x14ac:dyDescent="0.3">
      <c r="B41" s="12"/>
      <c r="C41" s="105"/>
      <c r="D41" s="107"/>
      <c r="E41" s="105"/>
      <c r="F41" s="106"/>
      <c r="G41" s="107"/>
      <c r="H41" s="107"/>
      <c r="I41" s="106"/>
      <c r="J41" s="108"/>
      <c r="K41" s="109"/>
      <c r="L41" s="110"/>
      <c r="M41" s="111"/>
      <c r="N41" s="112"/>
      <c r="O41" s="101"/>
      <c r="P41" s="102"/>
      <c r="Q41" s="103"/>
      <c r="R41" s="104"/>
      <c r="S41" s="18"/>
    </row>
    <row customHeight="1" ht="16.5" r="42" spans="2:19" thickTop="1" x14ac:dyDescent="0.25">
      <c r="B42" s="12"/>
      <c r="C42" s="82">
        <v>7</v>
      </c>
      <c r="D42" s="83">
        <f ref="D42" si="1" t="shared">D39+96</f>
        <v>768</v>
      </c>
      <c r="E42" s="82">
        <f>D42/12</f>
        <v>64</v>
      </c>
      <c r="F42" s="84">
        <v>5.9</v>
      </c>
      <c r="G42" s="83" t="s">
        <v>47</v>
      </c>
      <c r="H42" s="83">
        <v>1</v>
      </c>
      <c r="I42" s="83" t="s">
        <v>50</v>
      </c>
      <c r="J42" s="85">
        <v>27376</v>
      </c>
      <c r="K42" s="86">
        <v>0.1</v>
      </c>
      <c r="L42" s="87">
        <v>0.312</v>
      </c>
      <c r="M42" s="88" t="str">
        <f>IF(L42&gt;=K42,"Ok", "Not Ok**")</f>
        <v>Ok</v>
      </c>
      <c r="N42" s="89">
        <f>_roundnessc-L42</f>
        <v>2.6880000000000002</v>
      </c>
      <c r="O42" s="101"/>
      <c r="P42" s="102"/>
      <c r="Q42" s="103"/>
      <c r="R42" s="104"/>
      <c r="S42" s="18"/>
    </row>
    <row customHeight="1" ht="16.5" r="43" spans="2:19" x14ac:dyDescent="0.25">
      <c r="B43" s="12"/>
      <c r="C43" s="94"/>
      <c r="D43" s="95"/>
      <c r="E43" s="94"/>
      <c r="F43" s="95"/>
      <c r="G43" s="95"/>
      <c r="H43" s="95"/>
      <c r="I43" s="95"/>
      <c r="J43" s="96"/>
      <c r="K43" s="97"/>
      <c r="L43" s="98"/>
      <c r="M43" s="99"/>
      <c r="N43" s="100"/>
      <c r="O43" s="101"/>
      <c r="P43" s="102"/>
      <c r="Q43" s="103"/>
      <c r="R43" s="104"/>
      <c r="S43" s="18"/>
    </row>
    <row customHeight="1" ht="16.5" r="44" spans="2:19" thickBot="1" x14ac:dyDescent="0.3">
      <c r="B44" s="12"/>
      <c r="C44" s="105"/>
      <c r="D44" s="107"/>
      <c r="E44" s="105"/>
      <c r="F44" s="106"/>
      <c r="G44" s="107"/>
      <c r="H44" s="107"/>
      <c r="I44" s="106"/>
      <c r="J44" s="108"/>
      <c r="K44" s="109"/>
      <c r="L44" s="110"/>
      <c r="M44" s="111"/>
      <c r="N44" s="112"/>
      <c r="O44" s="116"/>
      <c r="P44" s="117"/>
      <c r="Q44" s="118"/>
      <c r="R44" s="119"/>
      <c r="S44" s="18"/>
    </row>
    <row ht="15.75" r="45" spans="2:19" thickTop="1" x14ac:dyDescent="0.25">
      <c r="B45" s="120" t="str">
        <f>D263</f>
        <v>Sum</v>
      </c>
      <c r="C45" s="120"/>
      <c r="D45" s="121">
        <f>SUM(D24:D41)</f>
        <v>2448</v>
      </c>
      <c r="E45" s="122">
        <f>E263</f>
        <v>160</v>
      </c>
      <c r="F45" s="16"/>
      <c r="G45" s="16"/>
      <c r="H45" s="16"/>
      <c r="I45" s="16"/>
      <c r="J45" s="16"/>
      <c r="K45" s="12"/>
      <c r="L45" s="17"/>
      <c r="M45" s="16"/>
      <c r="N45" s="18"/>
      <c r="O45" s="18"/>
      <c r="P45" s="18"/>
      <c r="Q45" s="18"/>
      <c r="R45" s="18"/>
      <c r="S45" s="18"/>
    </row>
    <row ht="15" r="46" spans="2:19" x14ac:dyDescent="0.25">
      <c r="B46" s="123"/>
      <c r="C46" s="124" t="s">
        <v>51</v>
      </c>
      <c r="D46" s="121"/>
      <c r="E46" s="122"/>
      <c r="F46" s="16"/>
      <c r="G46" s="16"/>
      <c r="H46" s="16"/>
      <c r="I46" s="16"/>
      <c r="J46" s="16"/>
      <c r="K46" s="12"/>
      <c r="L46" s="17"/>
      <c r="M46" s="16"/>
      <c r="N46" s="18"/>
      <c r="O46" s="18"/>
      <c r="P46" s="18"/>
      <c r="Q46" s="18"/>
      <c r="R46" s="18"/>
      <c r="S46" s="18"/>
    </row>
    <row customHeight="1" hidden="1" ht="12.75" r="47" spans="2:19" x14ac:dyDescent="0.25">
      <c r="B47" s="123"/>
      <c r="C47" s="54" t="s">
        <v>33</v>
      </c>
      <c r="D47" s="57" t="s">
        <v>52</v>
      </c>
      <c r="E47" s="58" t="s">
        <v>53</v>
      </c>
      <c r="F47" s="58" t="s">
        <v>54</v>
      </c>
      <c r="G47" s="58" t="s">
        <v>55</v>
      </c>
      <c r="H47" s="58" t="s">
        <v>56</v>
      </c>
      <c r="I47" s="58" t="s">
        <v>56</v>
      </c>
      <c r="J47" s="58" t="s">
        <v>57</v>
      </c>
      <c r="K47" s="58" t="s">
        <v>53</v>
      </c>
      <c r="L47" s="58" t="s">
        <v>54</v>
      </c>
      <c r="M47" s="58" t="s">
        <v>55</v>
      </c>
      <c r="N47" s="58" t="s">
        <v>56</v>
      </c>
      <c r="O47" s="58" t="s">
        <v>56</v>
      </c>
      <c r="P47" s="58" t="s">
        <v>57</v>
      </c>
      <c r="Q47" s="18"/>
      <c r="R47" s="18"/>
      <c r="S47" s="18"/>
    </row>
    <row customHeight="1" hidden="1" ht="12.75" r="48" spans="2:19" x14ac:dyDescent="0.25">
      <c r="B48" s="123"/>
      <c r="C48" s="64"/>
      <c r="D48" s="65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18"/>
      <c r="R48" s="18"/>
      <c r="S48" s="18"/>
    </row>
    <row customHeight="1" hidden="1" ht="15" r="49" spans="2:19" x14ac:dyDescent="0.25">
      <c r="B49" s="123"/>
      <c r="C49" s="64"/>
      <c r="D49" s="65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18"/>
      <c r="R49" s="18"/>
      <c r="S49" s="18"/>
    </row>
    <row customHeight="1" hidden="1" ht="15" r="50" spans="2:19" x14ac:dyDescent="0.25">
      <c r="B50" s="123"/>
      <c r="C50" s="64"/>
      <c r="D50" s="71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18"/>
      <c r="R50" s="18"/>
      <c r="S50" s="18"/>
    </row>
    <row customHeight="1" hidden="1" ht="15.75" r="51" spans="2:19" thickBot="1" x14ac:dyDescent="0.3">
      <c r="B51" s="123"/>
      <c r="C51" s="76"/>
      <c r="D51" s="125" t="s">
        <v>42</v>
      </c>
      <c r="E51" s="125" t="s">
        <v>43</v>
      </c>
      <c r="F51" s="126" t="s">
        <v>44</v>
      </c>
      <c r="G51" s="126"/>
      <c r="H51" s="126"/>
      <c r="I51" s="126"/>
      <c r="J51" s="125" t="s">
        <v>43</v>
      </c>
      <c r="K51" s="125" t="s">
        <v>43</v>
      </c>
      <c r="L51" s="126" t="s">
        <v>44</v>
      </c>
      <c r="M51" s="126"/>
      <c r="N51" s="126"/>
      <c r="O51" s="126"/>
      <c r="P51" s="125" t="s">
        <v>43</v>
      </c>
      <c r="Q51" s="18"/>
      <c r="R51" s="18"/>
      <c r="S51" s="18"/>
    </row>
    <row customHeight="1" hidden="1" ht="15.75" r="52" spans="2:19" thickTop="1" x14ac:dyDescent="0.25">
      <c r="B52" s="123"/>
      <c r="C52" s="127">
        <v>1</v>
      </c>
      <c r="D52" s="128">
        <f>LARGE('[1]Shell Data '!$E$9:$AK$13,'Shell Distortion Criteria'!C52)</f>
        <v>3.0751684788696201</v>
      </c>
      <c r="E52" s="129" t="s">
        <v>58</v>
      </c>
      <c r="F52" s="129" t="e">
        <f>VLOOKUP(D52,'[1]Shell Data '!D2:AK6,1)</f>
        <v>#N/A</v>
      </c>
      <c r="G52" s="129"/>
      <c r="H52" s="129"/>
      <c r="I52" s="129"/>
      <c r="J52" s="129" t="s">
        <v>58</v>
      </c>
      <c r="K52" s="129" t="s">
        <v>58</v>
      </c>
      <c r="L52" s="129"/>
      <c r="M52" s="129"/>
      <c r="N52" s="129"/>
      <c r="O52" s="129"/>
      <c r="P52" s="129" t="s">
        <v>58</v>
      </c>
      <c r="Q52" s="18"/>
      <c r="R52" s="18"/>
      <c r="S52" s="18"/>
    </row>
    <row customHeight="1" hidden="1" ht="15" r="53" spans="2:19" x14ac:dyDescent="0.25">
      <c r="B53" s="123"/>
      <c r="C53" s="130">
        <v>2</v>
      </c>
      <c r="D53" s="128">
        <f>LARGE('[1]Shell Data '!$E$9:$AK$13,'Shell Distortion Criteria'!C53)</f>
        <v>3.0373865863569001</v>
      </c>
      <c r="E53" s="129" t="s">
        <v>58</v>
      </c>
      <c r="F53" s="129"/>
      <c r="G53" s="129"/>
      <c r="H53" s="129"/>
      <c r="I53" s="129"/>
      <c r="J53" s="129" t="s">
        <v>58</v>
      </c>
      <c r="K53" s="129" t="s">
        <v>58</v>
      </c>
      <c r="L53" s="129"/>
      <c r="M53" s="129"/>
      <c r="N53" s="129"/>
      <c r="O53" s="129"/>
      <c r="P53" s="129" t="s">
        <v>58</v>
      </c>
      <c r="Q53" s="18"/>
      <c r="R53" s="18"/>
      <c r="S53" s="18"/>
    </row>
    <row customHeight="1" hidden="1" ht="15" r="54" spans="2:19" x14ac:dyDescent="0.25">
      <c r="B54" s="123"/>
      <c r="C54" s="130">
        <v>3</v>
      </c>
      <c r="D54" s="128">
        <f>LARGE('[1]Shell Data '!$E$9:$AK$13,'Shell Distortion Criteria'!C54)</f>
        <v>2.7717252513358299</v>
      </c>
      <c r="E54" s="129" t="s">
        <v>58</v>
      </c>
      <c r="F54" s="129">
        <f>MAX(H56:J65)</f>
        <v>0</v>
      </c>
      <c r="G54" s="129"/>
      <c r="H54" s="129"/>
      <c r="I54" s="129"/>
      <c r="J54" s="129" t="s">
        <v>58</v>
      </c>
      <c r="K54" s="129" t="s">
        <v>58</v>
      </c>
      <c r="L54" s="129">
        <f>MAX(N56:P65)</f>
        <v>0</v>
      </c>
      <c r="M54" s="129"/>
      <c r="N54" s="129"/>
      <c r="O54" s="129"/>
      <c r="P54" s="129" t="s">
        <v>58</v>
      </c>
      <c r="Q54" s="18"/>
      <c r="R54" s="18"/>
      <c r="S54" s="18"/>
    </row>
    <row customHeight="1" hidden="1" ht="15" r="55" spans="2:19" x14ac:dyDescent="0.25">
      <c r="B55" s="123"/>
      <c r="C55" s="130">
        <v>4</v>
      </c>
      <c r="D55" s="128">
        <f>LARGE('[1]Shell Data '!$E$9:$AK$13,'Shell Distortion Criteria'!C55)</f>
        <v>2.75960961056481</v>
      </c>
      <c r="E55" s="129" t="s">
        <v>58</v>
      </c>
      <c r="F55" s="129"/>
      <c r="G55" s="129"/>
      <c r="H55" s="129"/>
      <c r="I55" s="129"/>
      <c r="J55" s="129" t="s">
        <v>58</v>
      </c>
      <c r="K55" s="129" t="s">
        <v>58</v>
      </c>
      <c r="L55" s="129"/>
      <c r="M55" s="129"/>
      <c r="N55" s="129"/>
      <c r="O55" s="129"/>
      <c r="P55" s="129" t="s">
        <v>58</v>
      </c>
      <c r="Q55" s="18"/>
      <c r="R55" s="18"/>
      <c r="S55" s="18"/>
    </row>
    <row customHeight="1" hidden="1" ht="15" r="56" spans="2:19" x14ac:dyDescent="0.25">
      <c r="B56" s="123"/>
      <c r="C56" s="130">
        <v>5</v>
      </c>
      <c r="D56" s="128">
        <f>LARGE('[1]Shell Data '!$E$9:$AK$13,'Shell Distortion Criteria'!C56)</f>
        <v>2.7225346106406798</v>
      </c>
      <c r="E56" s="129" t="s">
        <v>58</v>
      </c>
      <c r="F56" s="129"/>
      <c r="G56" s="129"/>
      <c r="H56" s="129"/>
      <c r="I56" s="129"/>
      <c r="J56" s="129" t="s">
        <v>58</v>
      </c>
      <c r="K56" s="129" t="s">
        <v>58</v>
      </c>
      <c r="L56" s="129"/>
      <c r="M56" s="129"/>
      <c r="N56" s="129"/>
      <c r="O56" s="129"/>
      <c r="P56" s="129" t="s">
        <v>58</v>
      </c>
      <c r="Q56" s="18"/>
      <c r="R56" s="18"/>
      <c r="S56" s="18"/>
    </row>
    <row customHeight="1" hidden="1" ht="15" r="57" spans="2:19" x14ac:dyDescent="0.25">
      <c r="B57" s="123"/>
      <c r="C57" s="130">
        <v>7</v>
      </c>
      <c r="D57" s="128">
        <f>LARGE('[1]Shell Data '!$E$9:$AK$13,'Shell Distortion Criteria'!C57)</f>
        <v>2.50389931749184</v>
      </c>
      <c r="E57" s="129" t="s">
        <v>58</v>
      </c>
      <c r="F57" s="129"/>
      <c r="G57" s="129"/>
      <c r="H57" s="129"/>
      <c r="I57" s="129"/>
      <c r="J57" s="129" t="s">
        <v>58</v>
      </c>
      <c r="K57" s="129" t="s">
        <v>58</v>
      </c>
      <c r="L57" s="129"/>
      <c r="M57" s="129"/>
      <c r="N57" s="129"/>
      <c r="O57" s="129"/>
      <c r="P57" s="129" t="s">
        <v>58</v>
      </c>
      <c r="Q57" s="18"/>
      <c r="R57" s="18"/>
      <c r="S57" s="18"/>
    </row>
    <row customHeight="1" hidden="1" ht="15" r="58" spans="2:19" x14ac:dyDescent="0.25">
      <c r="B58" s="123"/>
      <c r="C58" s="130">
        <v>8</v>
      </c>
      <c r="D58" s="128">
        <f>LARGE('[1]Shell Data '!$E$9:$AK$13,'Shell Distortion Criteria'!C58)</f>
        <v>2.4840997997787002</v>
      </c>
      <c r="E58" s="129" t="s">
        <v>58</v>
      </c>
      <c r="F58" s="129"/>
      <c r="G58" s="129"/>
      <c r="H58" s="129"/>
      <c r="I58" s="129"/>
      <c r="J58" s="129" t="s">
        <v>58</v>
      </c>
      <c r="K58" s="129" t="s">
        <v>58</v>
      </c>
      <c r="L58" s="129"/>
      <c r="M58" s="129"/>
      <c r="N58" s="129"/>
      <c r="O58" s="129"/>
      <c r="P58" s="129" t="s">
        <v>58</v>
      </c>
      <c r="Q58" s="18"/>
      <c r="R58" s="18"/>
      <c r="S58" s="18"/>
    </row>
    <row customHeight="1" hidden="1" ht="15" r="59" spans="2:19" x14ac:dyDescent="0.25">
      <c r="B59" s="123"/>
      <c r="C59" s="130">
        <v>9</v>
      </c>
      <c r="D59" s="128">
        <f>LARGE('[1]Shell Data '!$E$9:$AK$13,'Shell Distortion Criteria'!C59)</f>
        <v>2.2673485724627498</v>
      </c>
      <c r="E59" s="129" t="s">
        <v>58</v>
      </c>
      <c r="F59" s="129"/>
      <c r="G59" s="129"/>
      <c r="H59" s="129"/>
      <c r="I59" s="129"/>
      <c r="J59" s="129" t="s">
        <v>58</v>
      </c>
      <c r="K59" s="129" t="s">
        <v>58</v>
      </c>
      <c r="L59" s="129"/>
      <c r="M59" s="129"/>
      <c r="N59" s="129"/>
      <c r="O59" s="129"/>
      <c r="P59" s="129" t="s">
        <v>58</v>
      </c>
      <c r="Q59" s="18"/>
      <c r="R59" s="18"/>
      <c r="S59" s="18"/>
    </row>
    <row customHeight="1" hidden="1" ht="15" r="60" spans="2:19" x14ac:dyDescent="0.25">
      <c r="B60" s="123"/>
      <c r="C60" s="130">
        <v>10</v>
      </c>
      <c r="D60" s="128">
        <f>LARGE('[1]Shell Data '!$E$9:$AK$13,'Shell Distortion Criteria'!C60)</f>
        <v>2.1548480390460698</v>
      </c>
      <c r="E60" s="129" t="s">
        <v>58</v>
      </c>
      <c r="F60" s="129"/>
      <c r="G60" s="129"/>
      <c r="H60" s="129"/>
      <c r="I60" s="129"/>
      <c r="J60" s="129" t="s">
        <v>58</v>
      </c>
      <c r="K60" s="129" t="s">
        <v>58</v>
      </c>
      <c r="L60" s="129"/>
      <c r="M60" s="129"/>
      <c r="N60" s="129"/>
      <c r="O60" s="129"/>
      <c r="P60" s="129" t="s">
        <v>58</v>
      </c>
      <c r="Q60" s="18"/>
      <c r="R60" s="18"/>
      <c r="S60" s="18"/>
    </row>
    <row customHeight="1" hidden="1" ht="15" r="61" spans="2:19" x14ac:dyDescent="0.25">
      <c r="B61" s="123"/>
      <c r="C61" s="130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8"/>
      <c r="R61" s="18"/>
      <c r="S61" s="18"/>
    </row>
    <row customHeight="1" hidden="1" ht="15" r="62" spans="2:19" x14ac:dyDescent="0.25">
      <c r="B62" s="123"/>
      <c r="C62" s="130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8"/>
      <c r="R62" s="18"/>
      <c r="S62" s="18"/>
    </row>
    <row customHeight="1" hidden="1" ht="15" r="63" spans="2:19" x14ac:dyDescent="0.25">
      <c r="B63" s="123"/>
      <c r="C63" s="130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8"/>
      <c r="R63" s="18"/>
      <c r="S63" s="18"/>
    </row>
    <row customHeight="1" hidden="1" ht="15" r="64" spans="2:19" x14ac:dyDescent="0.25">
      <c r="B64" s="123"/>
      <c r="C64" s="130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8"/>
      <c r="R64" s="18"/>
      <c r="S64" s="18"/>
    </row>
    <row hidden="1" ht="15" r="65" spans="2:19" x14ac:dyDescent="0.25">
      <c r="B65" s="123"/>
      <c r="C65" s="130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8"/>
      <c r="R65" s="18"/>
      <c r="S65" s="18"/>
    </row>
    <row hidden="1" ht="15" r="66" spans="2:19" x14ac:dyDescent="0.25">
      <c r="B66" s="123"/>
      <c r="C66" s="130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8"/>
      <c r="R66" s="18"/>
      <c r="S66" s="18"/>
    </row>
    <row hidden="1" ht="15" r="67" spans="2:19" x14ac:dyDescent="0.25">
      <c r="B67" s="123"/>
      <c r="C67" s="130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8"/>
      <c r="R67" s="18"/>
      <c r="S67" s="18"/>
    </row>
    <row hidden="1" ht="15" r="68" spans="2:19" x14ac:dyDescent="0.25">
      <c r="B68" s="123"/>
      <c r="C68" s="130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8"/>
      <c r="R68" s="18"/>
      <c r="S68" s="18"/>
    </row>
    <row hidden="1" ht="15" r="69" spans="2:19" x14ac:dyDescent="0.25">
      <c r="B69" s="123"/>
      <c r="C69" s="130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8"/>
      <c r="R69" s="18"/>
      <c r="S69" s="18"/>
    </row>
    <row hidden="1" ht="15" r="70" spans="2:19" x14ac:dyDescent="0.25">
      <c r="B70" s="123"/>
      <c r="C70" s="123"/>
      <c r="D70" s="121"/>
      <c r="E70" s="122"/>
      <c r="F70" s="16"/>
      <c r="G70" s="16"/>
      <c r="H70" s="16"/>
      <c r="I70" s="16"/>
      <c r="J70" s="16"/>
      <c r="K70" s="12"/>
      <c r="L70" s="17"/>
      <c r="M70" s="16"/>
      <c r="N70" s="18"/>
      <c r="O70" s="18"/>
      <c r="P70" s="18"/>
      <c r="Q70" s="18"/>
      <c r="R70" s="18"/>
      <c r="S70" s="18"/>
    </row>
    <row hidden="1" ht="15" r="71" spans="2:19" x14ac:dyDescent="0.25">
      <c r="B71" s="123"/>
      <c r="C71" s="123"/>
      <c r="D71" s="121"/>
      <c r="E71" s="122"/>
      <c r="F71" s="16"/>
      <c r="G71" s="16"/>
      <c r="H71" s="16"/>
      <c r="I71" s="16"/>
      <c r="J71" s="16"/>
      <c r="K71" s="12"/>
      <c r="L71" s="17"/>
      <c r="M71" s="16"/>
      <c r="N71" s="18"/>
      <c r="O71" s="18"/>
      <c r="P71" s="18"/>
      <c r="Q71" s="18"/>
      <c r="R71" s="18"/>
      <c r="S71" s="18"/>
    </row>
    <row hidden="1" ht="15" r="72" spans="2:19" x14ac:dyDescent="0.25">
      <c r="B72" s="123"/>
      <c r="C72" s="123"/>
      <c r="D72" s="121"/>
      <c r="E72" s="122"/>
      <c r="F72" s="16"/>
      <c r="G72" s="16"/>
      <c r="H72" s="16"/>
      <c r="I72" s="16"/>
      <c r="J72" s="16"/>
      <c r="K72" s="12"/>
      <c r="L72" s="17"/>
      <c r="M72" s="16"/>
      <c r="N72" s="18"/>
      <c r="O72" s="18"/>
      <c r="P72" s="18"/>
      <c r="Q72" s="18"/>
      <c r="R72" s="18"/>
      <c r="S72" s="18"/>
    </row>
    <row hidden="1" ht="15" r="73" spans="2:19" x14ac:dyDescent="0.25">
      <c r="B73" s="123"/>
      <c r="C73" s="123"/>
      <c r="D73" s="121"/>
      <c r="E73" s="122"/>
      <c r="F73" s="16"/>
      <c r="G73" s="16"/>
      <c r="H73" s="16"/>
      <c r="I73" s="16"/>
      <c r="J73" s="16"/>
      <c r="K73" s="12"/>
      <c r="L73" s="17"/>
      <c r="M73" s="16"/>
      <c r="N73" s="18"/>
      <c r="O73" s="18"/>
      <c r="P73" s="18"/>
      <c r="Q73" s="18"/>
      <c r="R73" s="18"/>
      <c r="S73" s="18"/>
    </row>
    <row hidden="1" ht="15" r="74" spans="2:19" x14ac:dyDescent="0.25">
      <c r="B74" s="123"/>
      <c r="C74" s="123"/>
      <c r="D74" s="121"/>
      <c r="E74" s="122"/>
      <c r="F74" s="16"/>
      <c r="G74" s="16"/>
      <c r="H74" s="16"/>
      <c r="I74" s="16"/>
      <c r="J74" s="16"/>
      <c r="K74" s="12"/>
      <c r="L74" s="17"/>
      <c r="M74" s="16"/>
      <c r="N74" s="18"/>
      <c r="O74" s="18"/>
      <c r="P74" s="18"/>
      <c r="Q74" s="18"/>
      <c r="R74" s="18"/>
      <c r="S74" s="18"/>
    </row>
    <row hidden="1" ht="15" r="75" spans="2:19" x14ac:dyDescent="0.25">
      <c r="B75" s="123"/>
      <c r="C75" s="123"/>
      <c r="D75" s="121"/>
      <c r="E75" s="122"/>
      <c r="F75" s="16"/>
      <c r="G75" s="16"/>
      <c r="H75" s="16"/>
      <c r="I75" s="16"/>
      <c r="J75" s="16"/>
      <c r="K75" s="12"/>
      <c r="L75" s="17"/>
      <c r="M75" s="16"/>
      <c r="N75" s="18"/>
      <c r="O75" s="18"/>
      <c r="P75" s="18"/>
      <c r="Q75" s="18"/>
      <c r="R75" s="18"/>
      <c r="S75" s="18"/>
    </row>
    <row ht="15" r="76" spans="2:19" x14ac:dyDescent="0.25">
      <c r="B76" s="123"/>
      <c r="C76" s="123"/>
      <c r="D76" s="121"/>
      <c r="E76" s="122"/>
      <c r="F76" s="16"/>
      <c r="G76" s="16"/>
      <c r="H76" s="16"/>
      <c r="I76" s="16"/>
      <c r="J76" s="16"/>
      <c r="K76" s="12"/>
      <c r="L76" s="17"/>
      <c r="M76" s="16"/>
      <c r="N76" s="18"/>
      <c r="O76" s="18"/>
      <c r="P76" s="18"/>
      <c r="Q76" s="18"/>
      <c r="R76" s="18"/>
      <c r="S76" s="18"/>
    </row>
    <row ht="15" r="77" spans="2:19" x14ac:dyDescent="0.25">
      <c r="B77" s="18"/>
      <c r="C77" s="124" t="s">
        <v>59</v>
      </c>
      <c r="D77" s="131"/>
      <c r="E77" s="132"/>
      <c r="F77" s="132"/>
      <c r="G77" s="132"/>
      <c r="H77" s="132"/>
      <c r="I77" s="132"/>
      <c r="J77" s="132"/>
      <c r="K77" s="133"/>
      <c r="L77" s="134"/>
      <c r="M77" s="36"/>
      <c r="N77" s="18"/>
      <c r="O77" s="18"/>
      <c r="P77" s="18"/>
      <c r="Q77" s="18"/>
      <c r="R77" s="18"/>
      <c r="S77" s="18"/>
    </row>
    <row ht="15" r="78" spans="2:19" x14ac:dyDescent="0.25">
      <c r="B78" s="18"/>
      <c r="C78" s="135" t="s">
        <v>60</v>
      </c>
      <c r="D78" s="136"/>
      <c r="E78" s="136"/>
      <c r="F78" s="137" t="s">
        <v>61</v>
      </c>
      <c r="G78" s="36"/>
      <c r="H78" s="36"/>
      <c r="I78" s="36"/>
      <c r="J78" s="36"/>
      <c r="K78" s="138"/>
      <c r="L78" s="134"/>
      <c r="M78" s="36"/>
      <c r="N78" s="18"/>
      <c r="O78" s="18"/>
      <c r="P78" s="18"/>
      <c r="Q78" s="18"/>
      <c r="R78" s="18"/>
      <c r="S78" s="18"/>
    </row>
    <row ht="15" r="79" spans="2:19" x14ac:dyDescent="0.25">
      <c r="B79" s="139"/>
      <c r="C79" s="135"/>
      <c r="D79" s="136"/>
      <c r="E79" s="136"/>
      <c r="F79" s="35">
        <v>4</v>
      </c>
      <c r="G79" s="35">
        <v>5</v>
      </c>
      <c r="H79" s="35">
        <v>6</v>
      </c>
      <c r="I79" s="35">
        <v>7</v>
      </c>
      <c r="J79" s="35">
        <v>8</v>
      </c>
      <c r="K79" s="140">
        <v>10</v>
      </c>
      <c r="L79" s="134"/>
      <c r="M79" s="36"/>
      <c r="N79" s="18"/>
      <c r="O79" s="18"/>
      <c r="P79" s="18"/>
      <c r="Q79" s="18"/>
      <c r="R79" s="18"/>
      <c r="S79" s="18"/>
    </row>
    <row ht="15" r="80" spans="2:19" x14ac:dyDescent="0.25">
      <c r="B80" s="139"/>
      <c r="C80" s="141"/>
      <c r="D80" s="142">
        <v>0</v>
      </c>
      <c r="E80" s="36">
        <v>0.25</v>
      </c>
      <c r="F80" s="143">
        <v>0.9375</v>
      </c>
      <c r="G80" s="143">
        <v>1.25</v>
      </c>
      <c r="H80" s="143">
        <v>1.375</v>
      </c>
      <c r="I80" s="143">
        <v>1.5</v>
      </c>
      <c r="J80" s="143">
        <v>1.625</v>
      </c>
      <c r="K80" s="144">
        <v>1.875</v>
      </c>
      <c r="L80" s="134"/>
      <c r="M80" s="36"/>
      <c r="N80" s="18"/>
      <c r="O80" s="18"/>
      <c r="P80" s="18"/>
      <c r="Q80" s="18"/>
      <c r="R80" s="18"/>
      <c r="S80" s="18"/>
    </row>
    <row ht="15" r="81" spans="2:31" x14ac:dyDescent="0.25">
      <c r="B81" s="139"/>
      <c r="C81" s="141"/>
      <c r="D81" s="142">
        <v>0.25</v>
      </c>
      <c r="E81" s="36">
        <v>0.375</v>
      </c>
      <c r="F81" s="143">
        <v>0.75</v>
      </c>
      <c r="G81" s="143">
        <v>0.93799999999999994</v>
      </c>
      <c r="H81" s="143">
        <v>1.125</v>
      </c>
      <c r="I81" s="143">
        <v>1.2250000000000001</v>
      </c>
      <c r="J81" s="143">
        <v>1.375</v>
      </c>
      <c r="K81" s="144">
        <v>1.625</v>
      </c>
      <c r="L81" s="134"/>
      <c r="M81" s="36"/>
      <c r="N81" s="18"/>
      <c r="O81" s="18"/>
      <c r="P81" s="18"/>
      <c r="Q81" s="18"/>
      <c r="R81" s="18"/>
      <c r="S81" s="18"/>
    </row>
    <row ht="15" r="82" spans="2:31" x14ac:dyDescent="0.25">
      <c r="B82" s="139"/>
      <c r="C82" s="141"/>
      <c r="D82" s="142">
        <v>0.375</v>
      </c>
      <c r="E82" s="36">
        <v>0.5</v>
      </c>
      <c r="F82" s="143">
        <v>0.625</v>
      </c>
      <c r="G82" s="143">
        <v>0.625</v>
      </c>
      <c r="H82" s="143">
        <v>0.75</v>
      </c>
      <c r="I82" s="143">
        <v>0.875</v>
      </c>
      <c r="J82" s="143">
        <v>1</v>
      </c>
      <c r="K82" s="144">
        <v>1.25</v>
      </c>
      <c r="L82" s="134"/>
      <c r="M82" s="36"/>
      <c r="N82" s="18"/>
      <c r="O82" s="18"/>
      <c r="P82" s="18"/>
      <c r="Q82" s="18"/>
      <c r="R82" s="18"/>
      <c r="S82" s="18"/>
    </row>
    <row ht="15" r="83" spans="2:31" x14ac:dyDescent="0.25">
      <c r="B83" s="139"/>
      <c r="C83" s="141"/>
      <c r="D83" s="142">
        <v>0.5</v>
      </c>
      <c r="E83" s="36">
        <v>0.75</v>
      </c>
      <c r="F83" s="143">
        <v>0.56299999999999994</v>
      </c>
      <c r="G83" s="143">
        <v>0.625</v>
      </c>
      <c r="H83" s="143">
        <v>0.625</v>
      </c>
      <c r="I83" s="143">
        <v>0.75</v>
      </c>
      <c r="J83" s="143">
        <v>1</v>
      </c>
      <c r="K83" s="144">
        <v>1.125</v>
      </c>
      <c r="L83" s="134"/>
      <c r="M83" s="36"/>
      <c r="N83" s="18"/>
      <c r="O83" s="18"/>
      <c r="P83" s="18"/>
      <c r="Q83" s="18"/>
      <c r="R83" s="18"/>
      <c r="S83" s="18"/>
    </row>
    <row ht="15" r="84" spans="2:31" x14ac:dyDescent="0.25">
      <c r="B84" s="139"/>
      <c r="C84" s="141"/>
      <c r="D84" s="142">
        <v>0.75</v>
      </c>
      <c r="E84" s="36">
        <v>1</v>
      </c>
      <c r="F84" s="143">
        <v>0.56299999999999994</v>
      </c>
      <c r="G84" s="143">
        <v>0.625</v>
      </c>
      <c r="H84" s="143">
        <v>0.625</v>
      </c>
      <c r="I84" s="143">
        <v>0.625</v>
      </c>
      <c r="J84" s="143">
        <v>0.75</v>
      </c>
      <c r="K84" s="144">
        <v>1</v>
      </c>
      <c r="L84" s="134"/>
      <c r="M84" s="36"/>
      <c r="N84" s="18"/>
      <c r="O84" s="18"/>
      <c r="P84" s="18"/>
      <c r="Q84" s="18"/>
      <c r="R84" s="18"/>
      <c r="S84" s="18"/>
    </row>
    <row ht="15" r="85" spans="2:31" x14ac:dyDescent="0.25">
      <c r="B85" s="139"/>
      <c r="C85" s="141"/>
      <c r="D85" s="142">
        <v>1</v>
      </c>
      <c r="E85" s="36">
        <v>2</v>
      </c>
      <c r="F85" s="143">
        <v>0.5</v>
      </c>
      <c r="G85" s="143">
        <v>0.56299999999999994</v>
      </c>
      <c r="H85" s="143">
        <v>0.56299999999999994</v>
      </c>
      <c r="I85" s="143">
        <v>0.625</v>
      </c>
      <c r="J85" s="143">
        <v>0.625</v>
      </c>
      <c r="K85" s="144">
        <v>0.68799999999999994</v>
      </c>
      <c r="L85" s="134"/>
      <c r="M85" s="36"/>
      <c r="N85" s="18"/>
      <c r="O85" s="18"/>
      <c r="P85" s="18"/>
      <c r="Q85" s="18"/>
      <c r="R85" s="18"/>
      <c r="S85" s="18"/>
    </row>
    <row ht="15" r="86" spans="2:31" x14ac:dyDescent="0.25">
      <c r="B86" s="139"/>
      <c r="C86" s="145"/>
      <c r="D86" s="146">
        <v>2</v>
      </c>
      <c r="E86" s="147">
        <v>4</v>
      </c>
      <c r="F86" s="148">
        <v>0.438</v>
      </c>
      <c r="G86" s="148">
        <v>0.5</v>
      </c>
      <c r="H86" s="148">
        <v>0.5</v>
      </c>
      <c r="I86" s="148">
        <v>0.5</v>
      </c>
      <c r="J86" s="148">
        <v>0.5</v>
      </c>
      <c r="K86" s="149">
        <v>0.625</v>
      </c>
      <c r="L86" s="134"/>
      <c r="M86" s="36"/>
      <c r="N86" s="18"/>
      <c r="O86" s="18"/>
      <c r="P86" s="18"/>
      <c r="Q86" s="18"/>
      <c r="R86" s="18"/>
      <c r="S86" s="18"/>
    </row>
    <row ht="15" r="87" spans="2:31" x14ac:dyDescent="0.25">
      <c r="B87" s="139"/>
      <c r="C87" s="18"/>
      <c r="D87" s="18"/>
      <c r="E87" s="22"/>
      <c r="F87" s="35"/>
      <c r="G87" s="35"/>
      <c r="H87" s="36"/>
      <c r="I87" s="36"/>
      <c r="J87" s="36"/>
      <c r="K87" s="18"/>
      <c r="L87" s="134"/>
      <c r="M87" s="36"/>
      <c r="N87" s="18"/>
      <c r="O87" s="18"/>
      <c r="P87" s="18"/>
      <c r="Q87" s="18"/>
      <c r="R87" s="18"/>
      <c r="S87" s="18"/>
    </row>
    <row ht="15" r="88" spans="2:31" x14ac:dyDescent="0.25">
      <c r="B88" s="18"/>
      <c r="C88" s="18"/>
      <c r="D88" s="18"/>
      <c r="E88" s="22"/>
      <c r="F88" s="35"/>
      <c r="G88" s="35"/>
      <c r="H88" s="36"/>
      <c r="I88" s="36"/>
      <c r="J88" s="36"/>
      <c r="K88" s="18"/>
      <c r="L88" s="150"/>
      <c r="M88" s="150"/>
      <c r="N88" s="150"/>
      <c r="O88" s="150"/>
      <c r="P88" s="150"/>
      <c r="Q88" s="150"/>
      <c r="R88" s="150"/>
      <c r="S88" s="150"/>
    </row>
    <row ht="15" r="89" spans="2:31" x14ac:dyDescent="0.25">
      <c r="B89" s="18"/>
      <c r="C89" s="151" t="s">
        <v>62</v>
      </c>
      <c r="D89" s="152"/>
      <c r="E89" s="152"/>
      <c r="F89" s="152"/>
      <c r="G89" s="132">
        <f>1/200*H9*12</f>
        <v>3.84</v>
      </c>
      <c r="H89" s="153" t="s">
        <v>63</v>
      </c>
      <c r="I89" s="36"/>
      <c r="M89" s="154" t="s">
        <v>64</v>
      </c>
      <c r="N89" s="155"/>
      <c r="O89" s="155"/>
      <c r="P89" s="155"/>
      <c r="Q89" s="132">
        <f>IF((1/100)*H9*12&lt;5,(1/100)*H9*12,5)</f>
        <v>5</v>
      </c>
      <c r="R89" s="153" t="s">
        <v>63</v>
      </c>
      <c r="S89" s="18"/>
      <c r="AB89" s="1"/>
      <c r="AC89" s="1" t="s">
        <v>65</v>
      </c>
      <c r="AD89" s="1" t="s">
        <v>65</v>
      </c>
      <c r="AE89" s="1" t="s">
        <v>66</v>
      </c>
    </row>
    <row ht="15" r="90" spans="2:31" x14ac:dyDescent="0.25">
      <c r="B90" s="18"/>
      <c r="C90" s="156"/>
      <c r="D90" s="157"/>
      <c r="E90" s="157"/>
      <c r="F90" s="157"/>
      <c r="G90" s="147">
        <f>G89/12</f>
        <v>0.32</v>
      </c>
      <c r="H90" s="158" t="s">
        <v>67</v>
      </c>
      <c r="I90" s="36"/>
      <c r="M90" s="159"/>
      <c r="N90" s="160"/>
      <c r="O90" s="160"/>
      <c r="P90" s="160"/>
      <c r="Q90" s="147">
        <f>Q89/12</f>
        <v>0.41666666666666669</v>
      </c>
      <c r="R90" s="158" t="s">
        <v>67</v>
      </c>
      <c r="S90" s="18"/>
      <c r="AB90" s="1"/>
      <c r="AC90" s="1" t="s">
        <v>68</v>
      </c>
      <c r="AD90" s="1" t="s">
        <v>65</v>
      </c>
      <c r="AE90" s="1" t="s">
        <v>69</v>
      </c>
    </row>
    <row ht="15" r="91" spans="2:31" x14ac:dyDescent="0.25">
      <c r="B91" s="18"/>
      <c r="C91" s="22"/>
      <c r="D91" s="18"/>
      <c r="E91" s="36"/>
      <c r="F91" s="36"/>
      <c r="G91" s="36"/>
      <c r="H91" s="36"/>
      <c r="I91" s="36"/>
      <c r="M91" s="36"/>
      <c r="N91" s="161"/>
      <c r="O91" s="143"/>
      <c r="P91" s="18"/>
      <c r="Q91" s="18"/>
      <c r="R91" s="134"/>
      <c r="S91" s="18"/>
      <c r="AB91" s="1"/>
      <c r="AC91" s="1" t="s">
        <v>68</v>
      </c>
      <c r="AD91" s="1" t="s">
        <v>68</v>
      </c>
      <c r="AE91" s="1" t="s">
        <v>70</v>
      </c>
    </row>
    <row ht="15" r="92" spans="2:31" x14ac:dyDescent="0.25">
      <c r="B92" s="18"/>
      <c r="C92" s="124" t="s">
        <v>71</v>
      </c>
      <c r="D92" s="131"/>
      <c r="E92" s="132"/>
      <c r="F92" s="132"/>
      <c r="G92" s="132"/>
      <c r="H92" s="162"/>
      <c r="I92" s="36"/>
      <c r="M92" s="124" t="s">
        <v>72</v>
      </c>
      <c r="N92" s="131"/>
      <c r="O92" s="132"/>
      <c r="P92" s="132"/>
      <c r="Q92" s="132"/>
      <c r="R92" s="162"/>
      <c r="S92" s="18"/>
      <c r="AB92" s="1"/>
      <c r="AC92" s="1" t="s">
        <v>65</v>
      </c>
      <c r="AD92" s="1" t="s">
        <v>68</v>
      </c>
      <c r="AE92" s="1" t="s">
        <v>70</v>
      </c>
    </row>
    <row ht="15" r="93" spans="2:31" x14ac:dyDescent="0.25">
      <c r="B93" s="18"/>
      <c r="C93" s="163" t="s">
        <v>10</v>
      </c>
      <c r="D93" s="18"/>
      <c r="E93" s="36"/>
      <c r="F93" s="36" t="s">
        <v>73</v>
      </c>
      <c r="G93" s="36"/>
      <c r="H93" s="164"/>
      <c r="I93" s="36"/>
      <c r="M93" s="163" t="s">
        <v>10</v>
      </c>
      <c r="N93" s="18"/>
      <c r="O93" s="36"/>
      <c r="P93" s="36" t="s">
        <v>73</v>
      </c>
      <c r="Q93" s="165" t="s">
        <v>74</v>
      </c>
      <c r="R93" s="166"/>
      <c r="S93" s="18"/>
      <c r="AB93" s="1"/>
    </row>
    <row customHeight="1" ht="12.75" r="94" spans="2:31" x14ac:dyDescent="0.25">
      <c r="B94" s="18"/>
      <c r="C94" s="167">
        <v>0</v>
      </c>
      <c r="D94" s="168"/>
      <c r="E94" s="36">
        <v>40</v>
      </c>
      <c r="F94" s="143">
        <v>0.5</v>
      </c>
      <c r="G94" s="36"/>
      <c r="H94" s="164"/>
      <c r="I94" s="36"/>
      <c r="M94" s="167" t="s">
        <v>75</v>
      </c>
      <c r="N94" s="168"/>
      <c r="O94" s="36"/>
      <c r="P94" s="143">
        <v>0.5</v>
      </c>
      <c r="Q94" s="165">
        <f>P94*3</f>
        <v>1.5</v>
      </c>
      <c r="R94" s="166"/>
      <c r="S94" s="18"/>
    </row>
    <row ht="15" r="95" spans="2:31" x14ac:dyDescent="0.25">
      <c r="B95" s="18"/>
      <c r="C95" s="167">
        <v>40</v>
      </c>
      <c r="D95" s="168"/>
      <c r="E95" s="36">
        <v>150</v>
      </c>
      <c r="F95" s="143">
        <v>0.75</v>
      </c>
      <c r="G95" s="36"/>
      <c r="H95" s="164"/>
      <c r="I95" s="36"/>
      <c r="M95" s="167" t="s">
        <v>76</v>
      </c>
      <c r="N95" s="168"/>
      <c r="O95" s="36"/>
      <c r="P95" s="143">
        <v>0.75</v>
      </c>
      <c r="Q95" s="165">
        <f>P95*3</f>
        <v>2.25</v>
      </c>
      <c r="R95" s="166"/>
      <c r="S95" s="18"/>
    </row>
    <row ht="15" r="96" spans="2:31" x14ac:dyDescent="0.25">
      <c r="B96" s="18"/>
      <c r="C96" s="167">
        <v>150</v>
      </c>
      <c r="D96" s="168"/>
      <c r="E96" s="36">
        <v>250</v>
      </c>
      <c r="F96" s="143">
        <v>1</v>
      </c>
      <c r="G96" s="36"/>
      <c r="H96" s="164"/>
      <c r="I96" s="36"/>
      <c r="M96" s="167" t="s">
        <v>77</v>
      </c>
      <c r="N96" s="168"/>
      <c r="O96" s="36"/>
      <c r="P96" s="143">
        <v>1</v>
      </c>
      <c r="Q96" s="165">
        <f>P96*3</f>
        <v>3</v>
      </c>
      <c r="R96" s="166"/>
      <c r="S96" s="18"/>
    </row>
    <row ht="15" r="97" spans="2:19" x14ac:dyDescent="0.25">
      <c r="B97" s="18"/>
      <c r="C97" s="167">
        <v>250</v>
      </c>
      <c r="D97" s="168"/>
      <c r="E97" s="36">
        <v>1000</v>
      </c>
      <c r="F97" s="143">
        <v>1.25</v>
      </c>
      <c r="G97" s="36"/>
      <c r="H97" s="164"/>
      <c r="I97" s="36"/>
      <c r="M97" s="167" t="s">
        <v>78</v>
      </c>
      <c r="N97" s="168"/>
      <c r="O97" s="36"/>
      <c r="P97" s="143">
        <v>1.25</v>
      </c>
      <c r="Q97" s="165">
        <f>P97*3</f>
        <v>3.75</v>
      </c>
      <c r="R97" s="166"/>
      <c r="S97" s="18"/>
    </row>
    <row ht="15" r="98" spans="2:19" x14ac:dyDescent="0.25">
      <c r="B98" s="18"/>
      <c r="C98" s="169"/>
      <c r="D98" s="170"/>
      <c r="E98" s="147"/>
      <c r="F98" s="148"/>
      <c r="G98" s="147"/>
      <c r="H98" s="171"/>
      <c r="I98" s="36"/>
      <c r="M98" s="169"/>
      <c r="N98" s="170"/>
      <c r="O98" s="147"/>
      <c r="P98" s="148"/>
      <c r="Q98" s="147"/>
      <c r="R98" s="171"/>
      <c r="S98" s="18"/>
    </row>
    <row ht="15" r="99" spans="2:19" x14ac:dyDescent="0.25">
      <c r="B99" s="18"/>
      <c r="C99" s="168"/>
      <c r="D99" s="168"/>
      <c r="E99" s="36"/>
      <c r="F99" s="36"/>
      <c r="G99" s="36"/>
      <c r="H99" s="36"/>
      <c r="I99" s="36"/>
      <c r="M99" s="36"/>
      <c r="N99" s="161"/>
      <c r="O99" s="143"/>
      <c r="P99" s="18"/>
      <c r="Q99" s="18"/>
      <c r="R99" s="134"/>
      <c r="S99" s="18"/>
    </row>
    <row ht="15" r="100" spans="2:19" x14ac:dyDescent="0.25">
      <c r="B100" s="18"/>
      <c r="C100" s="124" t="s">
        <v>79</v>
      </c>
      <c r="D100" s="131"/>
      <c r="E100" s="132"/>
      <c r="F100" s="132"/>
      <c r="G100" s="132"/>
      <c r="H100" s="162"/>
      <c r="I100" s="36"/>
      <c r="M100" s="124" t="s">
        <v>79</v>
      </c>
      <c r="N100" s="131"/>
      <c r="O100" s="132"/>
      <c r="P100" s="132"/>
      <c r="Q100" s="132"/>
      <c r="R100" s="162"/>
      <c r="S100" s="18"/>
    </row>
    <row ht="15" r="101" spans="2:19" x14ac:dyDescent="0.25">
      <c r="B101" s="18"/>
      <c r="C101" s="163" t="s">
        <v>80</v>
      </c>
      <c r="D101" s="18"/>
      <c r="E101" s="36"/>
      <c r="F101" s="36">
        <v>4</v>
      </c>
      <c r="G101" s="36"/>
      <c r="H101" s="164"/>
      <c r="I101" s="36"/>
      <c r="M101" s="163" t="s">
        <v>80</v>
      </c>
      <c r="N101" s="18"/>
      <c r="O101" s="36"/>
      <c r="P101" s="36">
        <v>4</v>
      </c>
      <c r="Q101" s="36"/>
      <c r="R101" s="164"/>
      <c r="S101" s="18"/>
    </row>
    <row ht="15" r="102" spans="2:19" x14ac:dyDescent="0.25">
      <c r="B102" s="18"/>
      <c r="C102" s="172"/>
      <c r="D102" s="173"/>
      <c r="E102" s="147"/>
      <c r="F102" s="147"/>
      <c r="G102" s="147"/>
      <c r="H102" s="171"/>
      <c r="I102" s="36"/>
      <c r="M102" s="172"/>
      <c r="N102" s="173"/>
      <c r="O102" s="147"/>
      <c r="P102" s="147"/>
      <c r="Q102" s="147"/>
      <c r="R102" s="171"/>
      <c r="S102" s="18"/>
    </row>
    <row ht="15" r="103" spans="2:19" x14ac:dyDescent="0.25">
      <c r="B103" s="18"/>
      <c r="C103" s="22"/>
      <c r="D103" s="18"/>
      <c r="E103" s="36"/>
      <c r="F103" s="36"/>
      <c r="G103" s="36"/>
      <c r="H103" s="36"/>
      <c r="I103" s="36"/>
      <c r="M103" s="36"/>
      <c r="N103" s="161"/>
      <c r="O103" s="143"/>
      <c r="P103" s="18"/>
      <c r="Q103" s="18"/>
      <c r="R103" s="134"/>
      <c r="S103" s="18"/>
    </row>
    <row ht="15" r="104" spans="2:19" x14ac:dyDescent="0.25">
      <c r="B104" s="18"/>
      <c r="C104" s="124" t="s">
        <v>81</v>
      </c>
      <c r="D104" s="131"/>
      <c r="E104" s="132"/>
      <c r="F104" s="132"/>
      <c r="G104" s="132"/>
      <c r="H104" s="162"/>
      <c r="I104" s="36"/>
      <c r="M104" s="124" t="s">
        <v>82</v>
      </c>
      <c r="N104" s="131"/>
      <c r="O104" s="132"/>
      <c r="P104" s="132"/>
      <c r="Q104" s="132"/>
      <c r="R104" s="162"/>
      <c r="S104" s="18"/>
    </row>
    <row ht="15" r="105" spans="2:19" x14ac:dyDescent="0.25">
      <c r="B105" s="18"/>
      <c r="C105" s="167" t="s">
        <v>83</v>
      </c>
      <c r="D105" s="168"/>
      <c r="E105" s="168"/>
      <c r="F105" s="168"/>
      <c r="G105" s="36" t="s">
        <v>73</v>
      </c>
      <c r="H105" s="164"/>
      <c r="I105" s="36"/>
      <c r="M105" s="167" t="s">
        <v>83</v>
      </c>
      <c r="N105" s="168"/>
      <c r="O105" s="168"/>
      <c r="P105" s="168"/>
      <c r="Q105" s="36" t="s">
        <v>73</v>
      </c>
      <c r="R105" s="164"/>
      <c r="S105" s="18"/>
    </row>
    <row ht="15" r="106" spans="2:19" x14ac:dyDescent="0.25">
      <c r="B106" s="18"/>
      <c r="C106" s="167" t="s">
        <v>84</v>
      </c>
      <c r="D106" s="168"/>
      <c r="E106" s="168"/>
      <c r="F106" s="168"/>
      <c r="G106" s="143">
        <v>0.5</v>
      </c>
      <c r="H106" s="164"/>
      <c r="I106" s="36"/>
      <c r="M106" s="167" t="s">
        <v>84</v>
      </c>
      <c r="N106" s="168"/>
      <c r="O106" s="168"/>
      <c r="P106" s="168"/>
      <c r="Q106" s="143">
        <v>0.5</v>
      </c>
      <c r="R106" s="164"/>
      <c r="S106" s="18"/>
    </row>
    <row ht="15" r="107" spans="2:19" x14ac:dyDescent="0.25">
      <c r="B107" s="18"/>
      <c r="C107" s="167" t="s">
        <v>85</v>
      </c>
      <c r="D107" s="168"/>
      <c r="E107" s="168"/>
      <c r="F107" s="168"/>
      <c r="G107" s="143">
        <v>0.5</v>
      </c>
      <c r="H107" s="164"/>
      <c r="I107" s="36"/>
      <c r="M107" s="167" t="s">
        <v>85</v>
      </c>
      <c r="N107" s="168"/>
      <c r="O107" s="168"/>
      <c r="P107" s="168"/>
      <c r="Q107" s="143">
        <v>1</v>
      </c>
      <c r="R107" s="164"/>
      <c r="S107" s="18"/>
    </row>
    <row ht="15" r="108" spans="2:19" x14ac:dyDescent="0.25">
      <c r="B108" s="18"/>
      <c r="C108" s="169"/>
      <c r="D108" s="170"/>
      <c r="E108" s="147"/>
      <c r="F108" s="174"/>
      <c r="G108" s="148"/>
      <c r="H108" s="171"/>
      <c r="I108" s="36"/>
      <c r="M108" s="169" t="s">
        <v>86</v>
      </c>
      <c r="N108" s="170"/>
      <c r="O108" s="147"/>
      <c r="P108" s="174"/>
      <c r="Q108" s="148"/>
      <c r="R108" s="171"/>
      <c r="S108" s="18"/>
    </row>
    <row ht="15" r="109" spans="2:19" x14ac:dyDescent="0.25">
      <c r="B109" s="18"/>
      <c r="C109" s="168"/>
      <c r="D109" s="168"/>
      <c r="E109" s="36"/>
      <c r="F109" s="35"/>
      <c r="G109" s="143"/>
      <c r="H109" s="36"/>
      <c r="I109" s="36"/>
      <c r="J109" s="36"/>
      <c r="K109" s="18"/>
      <c r="L109" s="134"/>
      <c r="M109" s="36"/>
      <c r="N109" s="18"/>
      <c r="O109" s="18"/>
      <c r="P109" s="18"/>
      <c r="Q109" s="18"/>
      <c r="R109" s="18"/>
      <c r="S109" s="18"/>
    </row>
    <row ht="15" r="110" spans="2:19" x14ac:dyDescent="0.25">
      <c r="B110" s="18"/>
      <c r="C110" s="168"/>
      <c r="D110" s="168"/>
      <c r="E110" s="36"/>
      <c r="F110" s="35"/>
      <c r="G110" s="143"/>
      <c r="H110" s="36"/>
      <c r="I110" s="36"/>
      <c r="J110" s="36"/>
      <c r="K110" s="18"/>
      <c r="L110" s="134"/>
      <c r="M110" s="36"/>
      <c r="N110" s="18"/>
      <c r="O110" s="18"/>
      <c r="P110" s="18"/>
      <c r="Q110" s="18"/>
      <c r="R110" s="18"/>
      <c r="S110" s="18"/>
    </row>
    <row r="111" spans="2:19" x14ac:dyDescent="0.2">
      <c r="C111" s="4"/>
      <c r="E111" s="2"/>
      <c r="F111" s="2"/>
      <c r="G111" s="2"/>
    </row>
    <row r="112" spans="2:19" x14ac:dyDescent="0.2">
      <c r="C112" s="4"/>
      <c r="E112" s="2"/>
      <c r="F112" s="2"/>
      <c r="G112" s="2"/>
    </row>
    <row r="113" spans="3:7" x14ac:dyDescent="0.2">
      <c r="C113" s="4"/>
      <c r="E113" s="2"/>
      <c r="F113" s="2"/>
      <c r="G113" s="2"/>
    </row>
    <row r="114" spans="3:7" x14ac:dyDescent="0.2">
      <c r="C114" s="4"/>
      <c r="E114" s="2"/>
      <c r="F114" s="2"/>
      <c r="G114" s="2"/>
    </row>
    <row r="115" spans="3:7" x14ac:dyDescent="0.2">
      <c r="C115" s="4"/>
      <c r="E115" s="2"/>
      <c r="F115" s="2"/>
      <c r="G115" s="2"/>
    </row>
    <row r="116" spans="3:7" x14ac:dyDescent="0.2">
      <c r="C116" s="4"/>
      <c r="E116" s="2"/>
      <c r="F116" s="2"/>
      <c r="G116" s="2"/>
    </row>
    <row r="117" spans="3:7" x14ac:dyDescent="0.2">
      <c r="C117" s="4"/>
      <c r="E117" s="2"/>
      <c r="F117" s="2"/>
      <c r="G117" s="2"/>
    </row>
    <row r="118" spans="3:7" x14ac:dyDescent="0.2">
      <c r="C118" s="4"/>
      <c r="E118" s="2"/>
      <c r="F118" s="2"/>
      <c r="G118" s="2"/>
    </row>
    <row r="119" spans="3:7" x14ac:dyDescent="0.2">
      <c r="C119" s="4"/>
      <c r="E119" s="2"/>
      <c r="F119" s="2"/>
      <c r="G119" s="2"/>
    </row>
    <row r="120" spans="3:7" x14ac:dyDescent="0.2">
      <c r="C120" s="4"/>
      <c r="E120" s="2"/>
      <c r="F120" s="2"/>
      <c r="G120" s="2"/>
    </row>
    <row r="121" spans="3:7" x14ac:dyDescent="0.2">
      <c r="C121" s="4"/>
      <c r="E121" s="2"/>
      <c r="F121" s="2"/>
      <c r="G121" s="2"/>
    </row>
    <row r="122" spans="3:7" x14ac:dyDescent="0.2">
      <c r="C122" s="4"/>
      <c r="E122" s="2"/>
      <c r="F122" s="2"/>
      <c r="G122" s="2"/>
    </row>
    <row r="123" spans="3:7" x14ac:dyDescent="0.2">
      <c r="C123" s="4"/>
      <c r="E123" s="2"/>
      <c r="F123" s="2"/>
      <c r="G123" s="2"/>
    </row>
    <row r="124" spans="3:7" x14ac:dyDescent="0.2">
      <c r="C124" s="4"/>
      <c r="E124" s="2"/>
      <c r="F124" s="2"/>
      <c r="G124" s="2"/>
    </row>
    <row r="125" spans="3:7" x14ac:dyDescent="0.2">
      <c r="C125" s="4"/>
      <c r="E125" s="2"/>
      <c r="F125" s="2"/>
      <c r="G125" s="2"/>
    </row>
    <row r="126" spans="3:7" x14ac:dyDescent="0.2">
      <c r="C126" s="4"/>
      <c r="E126" s="2"/>
      <c r="F126" s="2"/>
      <c r="G126" s="2"/>
    </row>
    <row r="127" spans="3:7" x14ac:dyDescent="0.2">
      <c r="C127" s="4"/>
      <c r="E127" s="2"/>
      <c r="F127" s="2"/>
      <c r="G127" s="2"/>
    </row>
    <row r="128" spans="3:7" x14ac:dyDescent="0.2">
      <c r="C128" s="4"/>
      <c r="E128" s="2"/>
      <c r="F128" s="2"/>
      <c r="G128" s="2"/>
    </row>
    <row r="129" spans="3:7" x14ac:dyDescent="0.2">
      <c r="C129" s="4"/>
      <c r="E129" s="2"/>
      <c r="F129" s="2"/>
      <c r="G129" s="2"/>
    </row>
    <row r="130" spans="3:7" x14ac:dyDescent="0.2">
      <c r="C130" s="4"/>
      <c r="E130" s="2"/>
      <c r="F130" s="2"/>
      <c r="G130" s="2"/>
    </row>
    <row r="131" spans="3:7" x14ac:dyDescent="0.2">
      <c r="C131" s="4"/>
      <c r="E131" s="2"/>
      <c r="F131" s="2"/>
      <c r="G131" s="2"/>
    </row>
    <row r="132" spans="3:7" x14ac:dyDescent="0.2">
      <c r="C132" s="4"/>
      <c r="E132" s="2"/>
      <c r="F132" s="2"/>
      <c r="G132" s="2"/>
    </row>
    <row r="133" spans="3:7" x14ac:dyDescent="0.2">
      <c r="C133" s="4"/>
      <c r="E133" s="2"/>
      <c r="F133" s="2"/>
      <c r="G133" s="2"/>
    </row>
    <row r="134" spans="3:7" x14ac:dyDescent="0.2">
      <c r="C134" s="4"/>
      <c r="E134" s="2"/>
      <c r="F134" s="2"/>
      <c r="G134" s="2"/>
    </row>
    <row r="135" spans="3:7" x14ac:dyDescent="0.2">
      <c r="C135" s="4"/>
      <c r="E135" s="2"/>
      <c r="F135" s="2"/>
      <c r="G135" s="2"/>
    </row>
    <row r="136" spans="3:7" x14ac:dyDescent="0.2">
      <c r="C136" s="4"/>
      <c r="E136" s="2"/>
      <c r="F136" s="2"/>
      <c r="G136" s="2"/>
    </row>
    <row r="137" spans="3:7" x14ac:dyDescent="0.2">
      <c r="C137" s="4"/>
      <c r="E137" s="2"/>
      <c r="F137" s="2"/>
      <c r="G137" s="2"/>
    </row>
    <row r="138" spans="3:7" x14ac:dyDescent="0.2">
      <c r="C138" s="4"/>
      <c r="E138" s="2"/>
      <c r="F138" s="2"/>
      <c r="G138" s="2"/>
    </row>
    <row r="139" spans="3:7" x14ac:dyDescent="0.2">
      <c r="C139" s="4"/>
      <c r="E139" s="2"/>
      <c r="F139" s="2"/>
      <c r="G139" s="2"/>
    </row>
    <row r="140" spans="3:7" x14ac:dyDescent="0.2">
      <c r="C140" s="4"/>
      <c r="E140" s="2"/>
      <c r="F140" s="2"/>
      <c r="G140" s="2"/>
    </row>
    <row r="141" spans="3:7" x14ac:dyDescent="0.2">
      <c r="C141" s="4"/>
      <c r="E141" s="2"/>
      <c r="F141" s="2"/>
      <c r="G141" s="2"/>
    </row>
    <row r="142" spans="3:7" x14ac:dyDescent="0.2">
      <c r="C142" s="4"/>
      <c r="E142" s="2"/>
      <c r="F142" s="2"/>
      <c r="G142" s="2"/>
    </row>
    <row r="143" spans="3:7" x14ac:dyDescent="0.2">
      <c r="C143" s="4"/>
      <c r="E143" s="2"/>
      <c r="F143" s="2"/>
      <c r="G143" s="2"/>
    </row>
    <row r="144" spans="3:7" x14ac:dyDescent="0.2">
      <c r="C144" s="4"/>
      <c r="E144" s="2"/>
      <c r="F144" s="2"/>
      <c r="G144" s="2"/>
    </row>
    <row r="145" spans="3:7" x14ac:dyDescent="0.2">
      <c r="C145" s="4"/>
      <c r="E145" s="2"/>
      <c r="F145" s="2"/>
      <c r="G145" s="2"/>
    </row>
    <row r="146" spans="3:7" x14ac:dyDescent="0.2">
      <c r="C146" s="4"/>
      <c r="E146" s="2"/>
      <c r="F146" s="2"/>
      <c r="G146" s="2"/>
    </row>
    <row r="147" spans="3:7" x14ac:dyDescent="0.2">
      <c r="C147" s="4"/>
      <c r="E147" s="2"/>
      <c r="F147" s="2"/>
      <c r="G147" s="2"/>
    </row>
    <row r="148" spans="3:7" x14ac:dyDescent="0.2">
      <c r="C148" s="4"/>
      <c r="E148" s="2"/>
      <c r="F148" s="2"/>
      <c r="G148" s="2"/>
    </row>
    <row r="149" spans="3:7" x14ac:dyDescent="0.2">
      <c r="C149" s="4"/>
      <c r="E149" s="2"/>
      <c r="F149" s="2"/>
      <c r="G149" s="2"/>
    </row>
    <row r="150" spans="3:7" x14ac:dyDescent="0.2">
      <c r="C150" s="4"/>
      <c r="E150" s="2"/>
      <c r="F150" s="2"/>
      <c r="G150" s="2"/>
    </row>
    <row r="151" spans="3:7" x14ac:dyDescent="0.2">
      <c r="C151" s="4"/>
      <c r="E151" s="2"/>
      <c r="F151" s="2"/>
      <c r="G151" s="2"/>
    </row>
    <row r="152" spans="3:7" x14ac:dyDescent="0.2">
      <c r="C152" s="4"/>
      <c r="E152" s="2"/>
      <c r="F152" s="2"/>
      <c r="G152" s="2"/>
    </row>
    <row r="153" spans="3:7" x14ac:dyDescent="0.2">
      <c r="C153" s="4"/>
      <c r="E153" s="2"/>
      <c r="F153" s="2"/>
      <c r="G153" s="2"/>
    </row>
    <row r="154" spans="3:7" x14ac:dyDescent="0.2">
      <c r="C154" s="4"/>
      <c r="E154" s="2"/>
      <c r="F154" s="2"/>
      <c r="G154" s="2"/>
    </row>
    <row r="155" spans="3:7" x14ac:dyDescent="0.2">
      <c r="C155" s="4"/>
      <c r="E155" s="2"/>
      <c r="F155" s="2"/>
      <c r="G155" s="2"/>
    </row>
    <row r="156" spans="3:7" x14ac:dyDescent="0.2">
      <c r="C156" s="4"/>
      <c r="E156" s="2"/>
      <c r="F156" s="2"/>
      <c r="G156" s="2"/>
    </row>
    <row r="157" spans="3:7" x14ac:dyDescent="0.2">
      <c r="C157" s="4"/>
      <c r="E157" s="2"/>
      <c r="F157" s="2"/>
      <c r="G157" s="2"/>
    </row>
    <row r="158" spans="3:7" x14ac:dyDescent="0.2">
      <c r="C158" s="4"/>
      <c r="E158" s="2"/>
      <c r="F158" s="2"/>
      <c r="G158" s="2"/>
    </row>
    <row r="159" spans="3:7" x14ac:dyDescent="0.2">
      <c r="C159" s="4"/>
      <c r="E159" s="2"/>
      <c r="F159" s="2"/>
      <c r="G159" s="2"/>
    </row>
    <row r="160" spans="3:7" x14ac:dyDescent="0.2">
      <c r="C160" s="4"/>
      <c r="E160" s="2"/>
      <c r="F160" s="2"/>
      <c r="G160" s="2"/>
    </row>
    <row r="161" spans="2:14" x14ac:dyDescent="0.2">
      <c r="C161" s="4"/>
      <c r="E161" s="2"/>
      <c r="F161" s="2"/>
      <c r="G161" s="2"/>
    </row>
    <row ht="15" r="162" spans="2:14" x14ac:dyDescent="0.3">
      <c r="B162" s="175" t="s">
        <v>87</v>
      </c>
      <c r="E162" s="2"/>
      <c r="F162" s="2"/>
      <c r="G162" s="2"/>
      <c r="J162" s="6" t="str">
        <f xml:space="preserve"> "© POWERS Engineering and Inspection, Inc. "&amp;[1]BasicData!O23</f>
        <v>© POWERS Engineering and Inspection, Inc. 2016</v>
      </c>
    </row>
    <row r="163" spans="2:14" x14ac:dyDescent="0.2">
      <c r="B163" s="7"/>
      <c r="D163" s="7"/>
      <c r="E163" s="2"/>
      <c r="F163" s="2"/>
      <c r="G163" s="2"/>
    </row>
    <row r="164" spans="2:14" x14ac:dyDescent="0.2">
      <c r="C164" s="4"/>
      <c r="E164" s="2"/>
      <c r="F164" s="2"/>
      <c r="G164" s="2"/>
    </row>
    <row customHeight="1" ht="8.25" r="165" spans="2:14" x14ac:dyDescent="0.2">
      <c r="C165" s="4"/>
      <c r="E165" s="2"/>
      <c r="F165" s="2"/>
      <c r="G165" s="2"/>
    </row>
    <row ht="13.5" r="166" spans="2:14" thickBot="1" x14ac:dyDescent="0.25">
      <c r="C166" s="176" t="s">
        <v>33</v>
      </c>
      <c r="D166" s="177" t="s">
        <v>88</v>
      </c>
      <c r="E166" s="178"/>
      <c r="F166" s="179"/>
      <c r="G166" s="180"/>
      <c r="H166" s="181"/>
      <c r="I166" s="182" t="s">
        <v>89</v>
      </c>
      <c r="J166" s="183" t="s">
        <v>90</v>
      </c>
      <c r="K166" s="184" t="s">
        <v>91</v>
      </c>
      <c r="L166" s="185" t="s">
        <v>92</v>
      </c>
    </row>
    <row customHeight="1" ht="17.25" r="167" spans="2:14" thickBot="1" x14ac:dyDescent="0.25">
      <c r="C167" s="186"/>
      <c r="D167" s="187" t="s">
        <v>93</v>
      </c>
      <c r="E167" s="177" t="s">
        <v>94</v>
      </c>
      <c r="F167" s="179"/>
      <c r="G167" s="188" t="s">
        <v>95</v>
      </c>
      <c r="H167" s="188"/>
      <c r="I167" s="188"/>
      <c r="J167" s="188"/>
      <c r="K167" s="189"/>
      <c r="L167" s="190"/>
    </row>
    <row ht="13.5" r="168" spans="2:14" thickBot="1" x14ac:dyDescent="0.25">
      <c r="C168" s="186"/>
      <c r="D168" s="187"/>
      <c r="E168" s="191"/>
      <c r="F168" s="192"/>
      <c r="G168" s="193"/>
      <c r="H168" s="194" t="s">
        <v>96</v>
      </c>
      <c r="I168" s="195"/>
      <c r="J168" s="196" t="s">
        <v>97</v>
      </c>
      <c r="K168" s="189"/>
      <c r="L168" s="190"/>
    </row>
    <row customHeight="1" ht="12.75" r="169" spans="2:14" thickBot="1" x14ac:dyDescent="0.25">
      <c r="C169" s="186"/>
      <c r="D169" s="187"/>
      <c r="E169" s="197" t="s">
        <v>98</v>
      </c>
      <c r="F169" s="198" t="s">
        <v>99</v>
      </c>
      <c r="G169" s="199" t="s">
        <v>100</v>
      </c>
      <c r="H169" s="200" t="s">
        <v>98</v>
      </c>
      <c r="I169" s="201" t="s">
        <v>99</v>
      </c>
      <c r="J169" s="201" t="s">
        <v>101</v>
      </c>
      <c r="K169" s="202"/>
      <c r="L169" s="203"/>
    </row>
    <row r="170" spans="2:14" x14ac:dyDescent="0.2">
      <c r="C170" s="204"/>
      <c r="D170" s="205" t="s">
        <v>102</v>
      </c>
      <c r="E170" s="200" t="s">
        <v>102</v>
      </c>
      <c r="F170" s="201" t="s">
        <v>102</v>
      </c>
      <c r="G170" s="205" t="s">
        <v>42</v>
      </c>
      <c r="H170" s="201" t="s">
        <v>42</v>
      </c>
      <c r="I170" s="201" t="s">
        <v>42</v>
      </c>
      <c r="J170" s="201" t="s">
        <v>42</v>
      </c>
      <c r="K170" s="201" t="s">
        <v>102</v>
      </c>
      <c r="L170" s="201" t="s">
        <v>102</v>
      </c>
      <c r="N170" s="206"/>
    </row>
    <row r="171" spans="2:14" x14ac:dyDescent="0.2">
      <c r="C171" s="207">
        <v>1</v>
      </c>
      <c r="D171" s="207">
        <f>Year_Built</f>
        <v>1978</v>
      </c>
      <c r="E171" s="208">
        <f>[1]BasicData!F86</f>
        <v>2016</v>
      </c>
      <c r="F171" s="209" t="e">
        <f>#REF!</f>
        <v>#REF!</v>
      </c>
      <c r="G171" s="210">
        <f ref="G171:G180" si="2" t="shared">P252</f>
        <v>0.625</v>
      </c>
      <c r="H171" s="211">
        <f>[1]BasicData!F88</f>
        <v>0.625</v>
      </c>
      <c r="I171" s="210">
        <f>_tk1</f>
        <v>0.625</v>
      </c>
      <c r="J171" s="210" t="e">
        <f>#REF!</f>
        <v>#REF!</v>
      </c>
      <c r="K171" s="209" t="e">
        <f>IF(#REF!&gt;0,FIXED(IF(#REF!/(4*#REF!)&gt;5,5,#REF!/(4*#REF!)),2)&amp;IF(#REF!/(4*#REF!)&lt;5,"*",""),"5.00")</f>
        <v>#REF!</v>
      </c>
      <c r="L171" s="212" t="e">
        <f>IF(#REF!&gt;0,FIXED(IF(#REF!/(2*#REF!)&gt;15,15,#REF!/(2*#REF!)),2)&amp;IF(#REF!/(2*#REF!)&lt;15,"*",""),"15.00")</f>
        <v>#REF!</v>
      </c>
    </row>
    <row r="172" spans="2:14" x14ac:dyDescent="0.2">
      <c r="C172" s="213">
        <v>2</v>
      </c>
      <c r="D172" s="213">
        <f>D171</f>
        <v>1978</v>
      </c>
      <c r="E172" s="208">
        <f>E171</f>
        <v>2016</v>
      </c>
      <c r="F172" s="209" t="e">
        <f>F171</f>
        <v>#REF!</v>
      </c>
      <c r="G172" s="214">
        <f si="2" t="shared"/>
        <v>0.5</v>
      </c>
      <c r="H172" s="211">
        <f>[1]BasicData!F89</f>
        <v>0.5</v>
      </c>
      <c r="I172" s="214">
        <f>_tk2</f>
        <v>0.5</v>
      </c>
      <c r="J172" s="214" t="e">
        <f>#REF!</f>
        <v>#REF!</v>
      </c>
      <c r="K172" s="209" t="e">
        <f>IF(#REF!&gt;0,FIXED(IF(#REF!/(4*#REF!)&gt;5,5,#REF!/(4*#REF!)),2)&amp;IF(#REF!/(4*#REF!)&lt;5,"*",""),"5.00")</f>
        <v>#REF!</v>
      </c>
      <c r="L172" s="212" t="e">
        <f>IF(#REF!&gt;0,FIXED(IF(#REF!/(2*#REF!)&gt;15,15,#REF!/(2*#REF!)),2)&amp;IF(#REF!/(2*#REF!)&lt;15,"*",""),"15.00")</f>
        <v>#REF!</v>
      </c>
    </row>
    <row r="173" spans="2:14" x14ac:dyDescent="0.2">
      <c r="C173" s="213">
        <v>3</v>
      </c>
      <c r="D173" s="213">
        <f ref="D173:F180" si="3" t="shared">D172</f>
        <v>1978</v>
      </c>
      <c r="E173" s="208">
        <f si="3" t="shared"/>
        <v>2016</v>
      </c>
      <c r="F173" s="209" t="e">
        <f si="3" t="shared"/>
        <v>#REF!</v>
      </c>
      <c r="G173" s="214">
        <f si="2" t="shared"/>
        <v>0.375</v>
      </c>
      <c r="H173" s="211">
        <f>[1]BasicData!F90</f>
        <v>0.375</v>
      </c>
      <c r="I173" s="214">
        <f>_tk3</f>
        <v>0.375</v>
      </c>
      <c r="J173" s="214" t="e">
        <f>#REF!</f>
        <v>#REF!</v>
      </c>
      <c r="K173" s="209" t="e">
        <f>IF(#REF!&gt;0,FIXED(IF(#REF!/(4*#REF!)&gt;5,5,#REF!/(4*#REF!)),2)&amp;IF(#REF!/(4*#REF!)&lt;5,"*",""),"5.00")</f>
        <v>#REF!</v>
      </c>
      <c r="L173" s="212" t="e">
        <f>IF(#REF!&gt;0,FIXED(IF(#REF!/(2*#REF!)&gt;15,15,#REF!/(2*#REF!)),2)&amp;IF(#REF!/(2*#REF!)&lt;15,"*",""),"15.00")</f>
        <v>#REF!</v>
      </c>
    </row>
    <row r="174" spans="2:14" x14ac:dyDescent="0.2">
      <c r="C174" s="213">
        <v>4</v>
      </c>
      <c r="D174" s="213">
        <f si="3" t="shared"/>
        <v>1978</v>
      </c>
      <c r="E174" s="208">
        <f si="3" t="shared"/>
        <v>2016</v>
      </c>
      <c r="F174" s="209" t="e">
        <f si="3" t="shared"/>
        <v>#REF!</v>
      </c>
      <c r="G174" s="214">
        <f si="2" t="shared"/>
        <v>0.3125</v>
      </c>
      <c r="H174" s="211">
        <f>[1]BasicData!F91</f>
        <v>0.3125</v>
      </c>
      <c r="I174" s="214">
        <f>_tk4</f>
        <v>0.3125</v>
      </c>
      <c r="J174" s="214" t="e">
        <f>#REF!</f>
        <v>#REF!</v>
      </c>
      <c r="K174" s="209" t="e">
        <f>IF(#REF!&gt;0,FIXED(IF(#REF!/(4*#REF!)&gt;5,5,#REF!/(4*#REF!)),2)&amp;IF(#REF!/(4*#REF!)&lt;5,"*",""),"5.00")</f>
        <v>#REF!</v>
      </c>
      <c r="L174" s="212" t="e">
        <f>IF(#REF!&gt;0,FIXED(IF(#REF!/(2*#REF!)&gt;15,15,#REF!/(2*#REF!)),2)&amp;IF(#REF!/(2*#REF!)&lt;15,"*",""),"15")</f>
        <v>#REF!</v>
      </c>
    </row>
    <row r="175" spans="2:14" x14ac:dyDescent="0.2">
      <c r="C175" s="213">
        <v>5</v>
      </c>
      <c r="D175" s="213">
        <f si="3" t="shared"/>
        <v>1978</v>
      </c>
      <c r="E175" s="208">
        <f si="3" t="shared"/>
        <v>2016</v>
      </c>
      <c r="F175" s="209" t="e">
        <f si="3" t="shared"/>
        <v>#REF!</v>
      </c>
      <c r="G175" s="214">
        <f si="2" t="shared"/>
        <v>0.3125</v>
      </c>
      <c r="H175" s="211">
        <f>[1]BasicData!F92</f>
        <v>0.3125</v>
      </c>
      <c r="I175" s="214">
        <f>_tk5</f>
        <v>0.3125</v>
      </c>
      <c r="J175" s="214" t="e">
        <f>#REF!</f>
        <v>#REF!</v>
      </c>
      <c r="K175" s="209" t="e">
        <f>IF(#REF!&gt;0,IF(#REF!&lt;=0,5,FIXED(IF(#REF!/(4*#REF!)&gt;5,5,#REF!/(4*#REF!)),2)&amp;IF(#REF!/(4*#REF!)&lt;5,"*","")),"5.00")</f>
        <v>#REF!</v>
      </c>
      <c r="L175" s="212" t="e">
        <f>IF(#REF!&gt;0,IF(#REF!&lt;=0,15,FIXED(IF(#REF!/(2*#REF!)&gt;15,15,#REF!/(2*#REF!)),2)&amp;IF(#REF!/(2*#REF!)&lt;15,"*","")),"15")</f>
        <v>#REF!</v>
      </c>
    </row>
    <row r="176" spans="2:14" x14ac:dyDescent="0.2">
      <c r="C176" s="213">
        <v>6</v>
      </c>
      <c r="D176" s="213">
        <f si="3" t="shared"/>
        <v>1978</v>
      </c>
      <c r="E176" s="208">
        <f si="3" t="shared"/>
        <v>2016</v>
      </c>
      <c r="F176" s="209" t="e">
        <f si="3" t="shared"/>
        <v>#REF!</v>
      </c>
      <c r="G176" s="214">
        <f>P257</f>
        <v>0</v>
      </c>
      <c r="H176" s="211">
        <f>[1]BasicData!F93</f>
        <v>0</v>
      </c>
      <c r="I176" s="214">
        <f>_tk6</f>
        <v>0</v>
      </c>
      <c r="J176" s="214" t="e">
        <f>#REF!</f>
        <v>#REF!</v>
      </c>
      <c r="K176" s="209" t="e">
        <f>IF(#REF!&gt;0,IF(#REF!&lt;=0,5,FIXED(IF(#REF!/(4*#REF!)&gt;5,5,#REF!/(4*#REF!)),2)&amp;IF(#REF!/(4*#REF!)&lt;5,"*","")),"5.00")</f>
        <v>#REF!</v>
      </c>
      <c r="L176" s="212" t="e">
        <f>IF(#REF!&gt;0,IF(#REF!&lt;=0,15,FIXED(IF(#REF!/(2*#REF!)&gt;15,15,#REF!/(2*#REF!)),2)&amp;IF(#REF!/(2*#REF!)&lt;15,"*","")),"15.00")</f>
        <v>#REF!</v>
      </c>
    </row>
    <row r="177" spans="3:12" x14ac:dyDescent="0.2">
      <c r="C177" s="213">
        <v>7</v>
      </c>
      <c r="D177" s="213">
        <f si="3" t="shared"/>
        <v>1978</v>
      </c>
      <c r="E177" s="208">
        <f si="3" t="shared"/>
        <v>2016</v>
      </c>
      <c r="F177" s="209" t="e">
        <f si="3" t="shared"/>
        <v>#REF!</v>
      </c>
      <c r="G177" s="214">
        <f>P258</f>
        <v>0</v>
      </c>
      <c r="H177" s="211">
        <f>[1]BasicData!F94</f>
        <v>0</v>
      </c>
      <c r="I177" s="214">
        <f>_tk7</f>
        <v>0</v>
      </c>
      <c r="J177" s="214" t="e">
        <f>#REF!</f>
        <v>#REF!</v>
      </c>
      <c r="K177" s="209" t="e">
        <f>IF(#REF!&gt;0,IF(#REF!&lt;=0,5,FIXED(IF(#REF!/(4*#REF!)&gt;5,5,#REF!/(4*#REF!)),2)&amp;IF(#REF!/(4*#REF!)&lt;5,"*","")),"5.00")</f>
        <v>#REF!</v>
      </c>
      <c r="L177" s="212" t="e">
        <f>IF(#REF!&gt;0,IF(#REF!&lt;=0,15,FIXED(IF(#REF!/(2*#REF!)&gt;15,15,#REF!/(2*#REF!)),2)&amp;IF(#REF!/(2*#REF!)&lt;15,"*","")),"15.00")</f>
        <v>#REF!</v>
      </c>
    </row>
    <row r="178" spans="3:12" x14ac:dyDescent="0.2">
      <c r="C178" s="213">
        <v>8</v>
      </c>
      <c r="D178" s="213">
        <f si="3" t="shared"/>
        <v>1978</v>
      </c>
      <c r="E178" s="208">
        <f si="3" t="shared"/>
        <v>2016</v>
      </c>
      <c r="F178" s="209" t="e">
        <f si="3" t="shared"/>
        <v>#REF!</v>
      </c>
      <c r="G178" s="214">
        <v>0.35</v>
      </c>
      <c r="H178" s="211">
        <f>[1]BasicData!F95</f>
        <v>0</v>
      </c>
      <c r="I178" s="214">
        <f>_tk8</f>
        <v>0</v>
      </c>
      <c r="J178" s="214" t="e">
        <f>#REF!</f>
        <v>#REF!</v>
      </c>
      <c r="K178" s="209" t="e">
        <f>IF(#REF!&gt;0,IF(#REF!&lt;=0,5,FIXED(IF(#REF!/(4*#REF!)&gt;5,5,#REF!/(4*#REF!)),2)&amp;IF(#REF!/(4*#REF!)&lt;5,"*","")),"5.00")</f>
        <v>#REF!</v>
      </c>
      <c r="L178" s="212" t="e">
        <f>IF(#REF!&gt;0,IF(#REF!&lt;=0,15,FIXED(IF(#REF!/(2*#REF!)&gt;15,15,#REF!/(2*#REF!)),2)&amp;IF(#REF!/(2*#REF!)&lt;15,"*","")),"15.00")</f>
        <v>#REF!</v>
      </c>
    </row>
    <row r="179" spans="3:12" x14ac:dyDescent="0.2">
      <c r="C179" s="213">
        <v>9</v>
      </c>
      <c r="D179" s="213">
        <f si="3" t="shared"/>
        <v>1978</v>
      </c>
      <c r="E179" s="208">
        <f si="3" t="shared"/>
        <v>2016</v>
      </c>
      <c r="F179" s="209" t="e">
        <f si="3" t="shared"/>
        <v>#REF!</v>
      </c>
      <c r="G179" s="214">
        <f si="2" t="shared"/>
        <v>0</v>
      </c>
      <c r="H179" s="211">
        <f>[1]BasicData!F96</f>
        <v>0</v>
      </c>
      <c r="I179" s="214">
        <f>_tk9</f>
        <v>0</v>
      </c>
      <c r="J179" s="214" t="e">
        <f>#REF!</f>
        <v>#REF!</v>
      </c>
      <c r="K179" s="209" t="e">
        <f>IF(#REF!&gt;0,IF(#REF!&lt;=0,5,FIXED(IF(#REF!/(4*#REF!)&gt;5,5,#REF!/(4*#REF!)),2)&amp;IF(#REF!/(4*#REF!)&lt;5,"*","")),"5.00")</f>
        <v>#REF!</v>
      </c>
      <c r="L179" s="212" t="e">
        <f>IF(#REF!&gt;0,IF(#REF!&lt;=0,15,FIXED(IF(#REF!/(2*#REF!)&gt;15,15,#REF!/(2*#REF!)),2)&amp;IF(#REF!/(2*#REF!)&lt;15,"*","")),"15.00")</f>
        <v>#REF!</v>
      </c>
    </row>
    <row r="180" spans="3:12" x14ac:dyDescent="0.2">
      <c r="C180" s="213">
        <v>10</v>
      </c>
      <c r="D180" s="213">
        <f si="3" t="shared"/>
        <v>1978</v>
      </c>
      <c r="E180" s="215">
        <f>E179</f>
        <v>2016</v>
      </c>
      <c r="F180" s="216" t="e">
        <f>F179</f>
        <v>#REF!</v>
      </c>
      <c r="G180" s="214">
        <f si="2" t="shared"/>
        <v>0</v>
      </c>
      <c r="H180" s="211">
        <f>[1]BasicData!F97</f>
        <v>0</v>
      </c>
      <c r="I180" s="214">
        <f>_tk10</f>
        <v>0</v>
      </c>
      <c r="J180" s="214"/>
      <c r="K180" s="209" t="e">
        <f>IF(#REF!&gt;0,IF(#REF!&lt;=0,5,FIXED(IF(#REF!/(4*#REF!)&gt;5,5,#REF!/(4*#REF!)),2)&amp;IF(#REF!/(4*#REF!)&lt;5,"*","")),"5.00")</f>
        <v>#REF!</v>
      </c>
      <c r="L180" s="212" t="e">
        <f>IF(#REF!&gt;0,IF(#REF!&lt;=0,15,FIXED(IF(#REF!/(2*#REF!)&gt;15,15,#REF!/(2*#REF!)),2)&amp;IF(#REF!/(2*#REF!)&lt;15,"*","")),"15.00")</f>
        <v>#REF!</v>
      </c>
    </row>
    <row r="181" spans="3:12" x14ac:dyDescent="0.2">
      <c r="C181" s="115"/>
      <c r="D181" s="115"/>
      <c r="E181" s="217"/>
      <c r="F181" s="218"/>
      <c r="G181" s="218"/>
      <c r="H181" s="219"/>
      <c r="I181" s="219"/>
      <c r="J181" s="219"/>
      <c r="K181" s="216" t="e">
        <f>K175</f>
        <v>#REF!</v>
      </c>
      <c r="L181" s="216" t="e">
        <f>L174</f>
        <v>#REF!</v>
      </c>
    </row>
    <row r="183" spans="3:12" x14ac:dyDescent="0.2">
      <c r="D183" s="115" t="s">
        <v>103</v>
      </c>
    </row>
    <row r="184" spans="3:12" x14ac:dyDescent="0.2">
      <c r="D184" s="115" t="s">
        <v>104</v>
      </c>
    </row>
    <row customHeight="1" ht="18" r="234" spans="3:52" x14ac:dyDescent="0.25">
      <c r="C234" s="220" t="s">
        <v>105</v>
      </c>
      <c r="D234" s="220"/>
      <c r="E234" s="220"/>
      <c r="F234" s="220"/>
      <c r="G234" s="220"/>
      <c r="H234" s="220"/>
      <c r="I234" s="220"/>
      <c r="J234" s="220"/>
      <c r="K234" s="220"/>
      <c r="L234" s="220"/>
      <c r="M234" s="220"/>
      <c r="N234" s="220"/>
      <c r="O234" s="220"/>
      <c r="P234" s="220"/>
      <c r="Q234" s="220"/>
    </row>
    <row customHeight="1" ht="18" r="235" spans="3:52" x14ac:dyDescent="0.25">
      <c r="C235" s="220" t="s">
        <v>106</v>
      </c>
      <c r="D235" s="220"/>
      <c r="E235" s="220"/>
      <c r="F235" s="220"/>
      <c r="G235" s="220"/>
      <c r="H235" s="220"/>
      <c r="I235" s="220"/>
      <c r="J235" s="220"/>
      <c r="K235" s="220"/>
      <c r="L235" s="220"/>
      <c r="M235" s="220"/>
      <c r="N235" s="220"/>
      <c r="O235" s="220"/>
      <c r="P235" s="220"/>
      <c r="Q235" s="220"/>
    </row>
    <row customHeight="1" ht="12.75" r="236" spans="3:52" x14ac:dyDescent="0.2">
      <c r="C236" s="221" t="str">
        <f xml:space="preserve"> "© POWERS Engineering and Inspection, Inc. 2016"</f>
        <v>© POWERS Engineering and Inspection, Inc. 2016</v>
      </c>
      <c r="D236" s="221"/>
      <c r="E236" s="221"/>
      <c r="F236" s="221"/>
      <c r="G236" s="221"/>
      <c r="H236" s="221"/>
      <c r="I236" s="221"/>
      <c r="J236" s="221"/>
      <c r="K236" s="221"/>
      <c r="L236" s="221"/>
      <c r="M236" s="221"/>
      <c r="N236" s="221"/>
      <c r="O236" s="221"/>
      <c r="P236" s="221"/>
      <c r="Q236" s="221"/>
      <c r="R236" s="115"/>
    </row>
    <row ht="13.5" r="237" spans="3:52" thickBot="1" x14ac:dyDescent="0.25">
      <c r="C237" s="222"/>
      <c r="D237" s="222"/>
      <c r="E237" s="222"/>
      <c r="F237" s="222"/>
      <c r="G237" s="222"/>
      <c r="H237" s="222"/>
      <c r="I237" s="222"/>
      <c r="Q237" s="115"/>
      <c r="AS237" s="1" t="s">
        <v>107</v>
      </c>
    </row>
    <row customHeight="1" ht="15.75" r="238" spans="3:52" thickBot="1" x14ac:dyDescent="0.3">
      <c r="D238" s="223" t="s">
        <v>108</v>
      </c>
      <c r="E238" s="224"/>
      <c r="F238" s="225">
        <f>[1]qryExcelBasicData!B2</f>
        <v>0</v>
      </c>
      <c r="G238" s="226"/>
      <c r="H238" s="226"/>
      <c r="I238" s="227"/>
      <c r="J238" s="228"/>
      <c r="K238" s="229" t="s">
        <v>109</v>
      </c>
      <c r="L238" s="115"/>
      <c r="M238" s="7" t="s">
        <v>110</v>
      </c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AT238" s="4" t="s">
        <v>111</v>
      </c>
      <c r="AU238" s="4" t="s">
        <v>112</v>
      </c>
      <c r="AV238" s="4" t="s">
        <v>113</v>
      </c>
    </row>
    <row ht="15.75" r="239" spans="3:52" thickBot="1" x14ac:dyDescent="0.3">
      <c r="D239" s="223" t="s">
        <v>114</v>
      </c>
      <c r="E239" s="224"/>
      <c r="F239" s="225" t="str">
        <f>[1]qryExcelBasicData!C2</f>
        <v>San Antonio, TX</v>
      </c>
      <c r="G239" s="226"/>
      <c r="H239" s="227"/>
      <c r="I239" s="230" t="s">
        <v>115</v>
      </c>
      <c r="J239" s="219"/>
      <c r="K239" s="229"/>
      <c r="M239" s="231" t="s">
        <v>116</v>
      </c>
      <c r="N239" s="231"/>
      <c r="O239" s="231"/>
      <c r="P239" s="231"/>
      <c r="Q239" s="115"/>
      <c r="R239" s="115"/>
      <c r="X239" s="115"/>
      <c r="AS239" s="4">
        <v>200</v>
      </c>
      <c r="AT239" s="4">
        <v>0.91</v>
      </c>
      <c r="AU239" s="4">
        <v>0.88</v>
      </c>
      <c r="AV239" s="4">
        <v>0.92</v>
      </c>
      <c r="AX239" s="1">
        <f>-0.000000003*F246^3+0.000003*F246^2-0.0012*F246+1.05</f>
        <v>0.95700000000000007</v>
      </c>
      <c r="AY239" s="1">
        <f>0.000000002*F246^3+0.0000002*F246^2-0.0012*F246+1.09</f>
        <v>0.97400000000000009</v>
      </c>
      <c r="AZ239" s="1">
        <f>0.0000005*F246^2-0.001*F246+1.05</f>
        <v>0.95500000000000007</v>
      </c>
    </row>
    <row ht="15.75" r="240" spans="3:52" thickBot="1" x14ac:dyDescent="0.3">
      <c r="D240" s="232" t="s">
        <v>117</v>
      </c>
      <c r="E240" s="233"/>
      <c r="F240" s="234">
        <f>[1]qryExcelBasicData!D2</f>
        <v>218</v>
      </c>
      <c r="G240" s="235"/>
      <c r="H240" s="236"/>
      <c r="I240" s="237">
        <f>+d*PI()</f>
        <v>106.81415022205297</v>
      </c>
      <c r="J240" s="219"/>
      <c r="K240" s="229"/>
      <c r="L240" s="238"/>
      <c r="M240" s="239" t="str">
        <f>VLOOKUP(Year_Built,D491:F611,3)</f>
        <v>API 650 6th</v>
      </c>
      <c r="N240" s="240"/>
      <c r="O240" s="115" t="s">
        <v>118</v>
      </c>
      <c r="Q240" s="115"/>
      <c r="R240" s="115"/>
      <c r="S240" s="241" t="s">
        <v>119</v>
      </c>
      <c r="T240" s="241"/>
      <c r="U240" s="241"/>
      <c r="V240" s="241"/>
      <c r="W240" s="241"/>
      <c r="X240" s="115"/>
      <c r="AS240" s="4">
        <v>300</v>
      </c>
      <c r="AT240" s="4">
        <v>0.88</v>
      </c>
      <c r="AU240" s="4">
        <v>0.81</v>
      </c>
      <c r="AV240" s="4">
        <v>0.87</v>
      </c>
    </row>
    <row ht="15.75" r="241" spans="1:48" thickBot="1" x14ac:dyDescent="0.3">
      <c r="D241" s="223" t="s">
        <v>120</v>
      </c>
      <c r="E241" s="224"/>
      <c r="F241" s="242">
        <f>[1]BasicData!D9</f>
        <v>34</v>
      </c>
      <c r="G241" s="243" t="s">
        <v>121</v>
      </c>
      <c r="H241" s="244" t="s">
        <v>122</v>
      </c>
      <c r="I241" s="245" t="s">
        <v>123</v>
      </c>
      <c r="J241" s="246" t="s">
        <v>124</v>
      </c>
      <c r="K241" s="229"/>
      <c r="L241" s="247"/>
      <c r="M241" s="248">
        <f>VLOOKUP(Year_Built,D491:G611,4)</f>
        <v>0.85</v>
      </c>
      <c r="N241" s="249"/>
      <c r="O241" s="115" t="s">
        <v>125</v>
      </c>
      <c r="Q241" s="115"/>
      <c r="R241" s="115"/>
      <c r="X241" s="115"/>
      <c r="AS241" s="4">
        <v>400</v>
      </c>
      <c r="AT241" s="4">
        <v>0.85</v>
      </c>
      <c r="AU241" s="4">
        <v>0.75</v>
      </c>
      <c r="AV241" s="4">
        <v>0.83</v>
      </c>
    </row>
    <row ht="15.75" r="242" spans="1:48" thickBot="1" x14ac:dyDescent="0.3">
      <c r="D242" s="223" t="s">
        <v>126</v>
      </c>
      <c r="E242" s="224"/>
      <c r="F242" s="250">
        <f>[1]BasicData!H9</f>
        <v>30</v>
      </c>
      <c r="G242" s="251">
        <f>+H242*42</f>
        <v>203751.47368986328</v>
      </c>
      <c r="H242" s="252">
        <f>+d*d*PI()*0.25*Height*7.48052/42</f>
        <v>4851.2255640443636</v>
      </c>
      <c r="I242" s="251">
        <f>(G242*g*62.42/7.48052)/2000</f>
        <v>714.07203440976457</v>
      </c>
      <c r="J242" s="253">
        <f>I242*2000</f>
        <v>1428144.0688195291</v>
      </c>
      <c r="K242" s="229"/>
      <c r="L242" s="247"/>
      <c r="M242" s="254" t="s">
        <v>12</v>
      </c>
      <c r="N242" s="254"/>
      <c r="O242" s="254"/>
      <c r="P242" s="231"/>
      <c r="Q242" s="231"/>
      <c r="R242" s="231"/>
      <c r="X242" s="115"/>
      <c r="AS242" s="4">
        <v>500</v>
      </c>
      <c r="AT242" s="4">
        <v>0.8</v>
      </c>
      <c r="AU242" s="4">
        <v>0.7</v>
      </c>
      <c r="AV242" s="4">
        <v>0.79</v>
      </c>
    </row>
    <row customHeight="1" ht="15.75" r="243" spans="1:48" thickBot="1" x14ac:dyDescent="0.3">
      <c r="D243" s="232" t="s">
        <v>127</v>
      </c>
      <c r="E243" s="233"/>
      <c r="F243" s="255">
        <f>[1]BasicData!D16</f>
        <v>40</v>
      </c>
      <c r="G243" s="251">
        <f>+H243*42</f>
        <v>271668.63158648438</v>
      </c>
      <c r="H243" s="256">
        <f>+d*d*PI()*0.25*Fill_Height*7.48052/42</f>
        <v>6468.3007520591518</v>
      </c>
      <c r="I243" s="251">
        <f>(G243*g*62.42/7.48052)/2000</f>
        <v>952.09604587968602</v>
      </c>
      <c r="J243" s="253">
        <f>I243*2000</f>
        <v>1904192.091759372</v>
      </c>
      <c r="K243" s="257" t="e">
        <f>#REF!</f>
        <v>#REF!</v>
      </c>
      <c r="L243" s="247"/>
      <c r="M243" s="258" t="str">
        <f>[1]BasicData!D14</f>
        <v>JP-8</v>
      </c>
      <c r="N243" s="259"/>
      <c r="O243" s="115" t="s">
        <v>128</v>
      </c>
      <c r="Q243" s="115"/>
      <c r="R243" s="115"/>
      <c r="X243" s="115"/>
    </row>
    <row customHeight="1" ht="15" r="244" spans="1:48" thickBot="1" x14ac:dyDescent="0.3">
      <c r="D244" s="260" t="s">
        <v>129</v>
      </c>
      <c r="E244" s="261"/>
      <c r="F244" s="255">
        <f>[1]BasicData!J14</f>
        <v>0.84</v>
      </c>
      <c r="G244" s="262" t="str">
        <f>FIXED(g*62.42796,2)&amp;" lbs/ft^3"</f>
        <v>52.44 lbs/ft^3</v>
      </c>
      <c r="H244" s="263" t="str">
        <f>FIXED(g*62.42796/7.48052,2)&amp;" lbs/gal"</f>
        <v>7.01 lbs/gal</v>
      </c>
      <c r="I244" s="264"/>
      <c r="K244" s="265">
        <f>[1]BasicData!F42</f>
        <v>0</v>
      </c>
      <c r="L244" s="247"/>
      <c r="M244" s="266">
        <f>[1]BasicData!J14</f>
        <v>0.84</v>
      </c>
      <c r="N244" s="267"/>
      <c r="O244" s="268" t="s">
        <v>130</v>
      </c>
      <c r="Q244" s="268"/>
      <c r="R244" s="268"/>
      <c r="X244" s="115"/>
    </row>
    <row customHeight="1" ht="16.5" r="245" spans="1:48" thickBot="1" x14ac:dyDescent="0.3">
      <c r="D245" s="260" t="s">
        <v>131</v>
      </c>
      <c r="E245" s="261"/>
      <c r="F245" s="269">
        <f>[1]BasicData!D24</f>
        <v>1978</v>
      </c>
      <c r="G245" s="270" t="s">
        <v>132</v>
      </c>
      <c r="H245" s="271"/>
      <c r="I245" s="272">
        <v>0</v>
      </c>
      <c r="K245" s="273" t="e">
        <f>K243-K244</f>
        <v>#REF!</v>
      </c>
      <c r="L245" s="247"/>
      <c r="M245" s="219"/>
      <c r="N245" s="115"/>
      <c r="O245" s="115"/>
      <c r="P245" s="115"/>
      <c r="Q245" s="115"/>
      <c r="R245" s="115"/>
      <c r="X245" s="115"/>
    </row>
    <row customHeight="1" ht="29.25" r="246" spans="1:48" thickBot="1" x14ac:dyDescent="0.25">
      <c r="D246" s="274" t="s">
        <v>133</v>
      </c>
      <c r="E246" s="275"/>
      <c r="F246" s="276">
        <f>[1]BasicData!O14</f>
        <v>100</v>
      </c>
      <c r="G246" s="277" t="s">
        <v>134</v>
      </c>
      <c r="H246" s="278"/>
      <c r="I246" s="279">
        <f>IF(F246&gt;201,IF(Y252&lt;40000,-0.0004*F246+0.9865,IF(Y252&lt;55000,-0.0006*F246+0.9957,-0.0004*F246+1.0035)),1)</f>
        <v>1</v>
      </c>
      <c r="K246" s="280"/>
      <c r="L246" s="280"/>
      <c r="M246" s="219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</row>
    <row customHeight="1" ht="15.75" r="247" spans="1:48" thickBot="1" x14ac:dyDescent="0.25">
      <c r="D247" s="281"/>
      <c r="E247" s="282" t="s">
        <v>135</v>
      </c>
      <c r="F247" s="283"/>
      <c r="G247" s="283"/>
      <c r="H247" s="284"/>
      <c r="I247" s="284"/>
      <c r="J247" s="284"/>
      <c r="L247" s="285"/>
      <c r="M247" s="286"/>
      <c r="N247" s="2"/>
      <c r="O247" s="2"/>
    </row>
    <row ht="14.25" r="248" spans="1:48" thickBot="1" x14ac:dyDescent="0.3">
      <c r="D248" s="287" t="s">
        <v>106</v>
      </c>
      <c r="E248" s="288" t="s">
        <v>136</v>
      </c>
      <c r="F248" s="289"/>
      <c r="G248" s="290" t="s">
        <v>137</v>
      </c>
      <c r="H248" s="291"/>
      <c r="I248" s="292"/>
      <c r="J248" s="293" t="s">
        <v>138</v>
      </c>
      <c r="K248" s="294"/>
      <c r="L248" s="295" t="s">
        <v>139</v>
      </c>
      <c r="M248" s="288" t="s">
        <v>140</v>
      </c>
      <c r="N248" s="296"/>
      <c r="O248" s="289"/>
      <c r="P248" s="297" t="s">
        <v>141</v>
      </c>
      <c r="Q248" s="298"/>
      <c r="R248" s="299" t="s">
        <v>142</v>
      </c>
      <c r="S248" s="300"/>
      <c r="T248" s="300" t="s">
        <v>143</v>
      </c>
      <c r="U248" s="301"/>
      <c r="V248" s="302" t="s">
        <v>106</v>
      </c>
      <c r="W248" s="303"/>
      <c r="X248" s="303"/>
      <c r="AG248" s="304"/>
      <c r="AH248" s="304"/>
      <c r="AI248" s="4"/>
      <c r="AJ248" s="305"/>
    </row>
    <row ht="14.25" r="249" spans="1:48" thickBot="1" x14ac:dyDescent="0.3">
      <c r="D249" s="306"/>
      <c r="E249" s="307" t="s">
        <v>144</v>
      </c>
      <c r="F249" s="308" t="s">
        <v>145</v>
      </c>
      <c r="G249" s="309"/>
      <c r="H249" s="310"/>
      <c r="I249" s="311" t="s">
        <v>146</v>
      </c>
      <c r="J249" s="312" t="s">
        <v>13</v>
      </c>
      <c r="K249" s="295" t="s">
        <v>27</v>
      </c>
      <c r="L249" s="313" t="s">
        <v>95</v>
      </c>
      <c r="M249" s="314" t="s">
        <v>147</v>
      </c>
      <c r="N249" s="315" t="s">
        <v>148</v>
      </c>
      <c r="O249" s="316" t="s">
        <v>149</v>
      </c>
      <c r="P249" s="317" t="s">
        <v>150</v>
      </c>
      <c r="Q249" s="318"/>
      <c r="R249" s="319" t="s">
        <v>151</v>
      </c>
      <c r="S249" s="320" t="s">
        <v>144</v>
      </c>
      <c r="T249" s="321" t="s">
        <v>152</v>
      </c>
      <c r="U249" s="322" t="s">
        <v>153</v>
      </c>
      <c r="V249" s="323" t="s">
        <v>153</v>
      </c>
      <c r="W249" s="324" t="s">
        <v>151</v>
      </c>
      <c r="X249" s="324" t="s">
        <v>144</v>
      </c>
      <c r="Y249" s="217" t="s">
        <v>154</v>
      </c>
      <c r="Z249" s="217" t="s">
        <v>155</v>
      </c>
      <c r="AB249" s="217" t="s">
        <v>156</v>
      </c>
      <c r="AC249" s="4" t="s">
        <v>157</v>
      </c>
      <c r="AD249" s="4" t="s">
        <v>158</v>
      </c>
      <c r="AE249" s="4"/>
      <c r="AF249" s="4"/>
      <c r="AG249" s="4"/>
      <c r="AH249" s="4"/>
      <c r="AI249" s="4"/>
      <c r="AJ249" s="305"/>
    </row>
    <row ht="15.75" r="250" spans="1:48" thickBot="1" x14ac:dyDescent="0.3">
      <c r="D250" s="325" t="s">
        <v>33</v>
      </c>
      <c r="E250" s="326" t="s">
        <v>42</v>
      </c>
      <c r="F250" s="327" t="s">
        <v>43</v>
      </c>
      <c r="G250" s="328" t="s">
        <v>159</v>
      </c>
      <c r="H250" s="328" t="s">
        <v>17</v>
      </c>
      <c r="I250" s="328" t="s">
        <v>53</v>
      </c>
      <c r="J250" s="329" t="s">
        <v>160</v>
      </c>
      <c r="K250" s="330" t="s">
        <v>42</v>
      </c>
      <c r="L250" s="330" t="s">
        <v>42</v>
      </c>
      <c r="M250" s="330" t="s">
        <v>161</v>
      </c>
      <c r="N250" s="330" t="s">
        <v>162</v>
      </c>
      <c r="O250" s="325" t="s">
        <v>163</v>
      </c>
      <c r="P250" s="325" t="s">
        <v>42</v>
      </c>
      <c r="Q250" s="331" t="s">
        <v>42</v>
      </c>
      <c r="R250" s="332" t="s">
        <v>164</v>
      </c>
      <c r="S250" s="333" t="s">
        <v>164</v>
      </c>
      <c r="T250" s="334" t="s">
        <v>165</v>
      </c>
      <c r="U250" s="335" t="s">
        <v>166</v>
      </c>
      <c r="V250" s="336" t="s">
        <v>138</v>
      </c>
      <c r="W250" s="337" t="s">
        <v>43</v>
      </c>
      <c r="X250" s="337" t="s">
        <v>43</v>
      </c>
      <c r="Y250" s="217" t="s">
        <v>45</v>
      </c>
      <c r="Z250" s="217" t="s">
        <v>45</v>
      </c>
      <c r="AA250" s="7"/>
      <c r="AB250" s="217" t="s">
        <v>167</v>
      </c>
      <c r="AC250" s="338" t="s">
        <v>43</v>
      </c>
      <c r="AD250" s="338" t="s">
        <v>168</v>
      </c>
      <c r="AE250" s="339"/>
      <c r="AF250" s="339"/>
      <c r="AG250" s="339"/>
      <c r="AH250" s="339"/>
      <c r="AI250" s="339"/>
      <c r="AJ250" s="340"/>
      <c r="AL250" s="341"/>
      <c r="AN250" s="342"/>
    </row>
    <row ht="15.75" r="251" spans="1:48" thickBot="1" x14ac:dyDescent="0.3">
      <c r="A251" s="1">
        <v>0</v>
      </c>
      <c r="B251" s="1">
        <f>C251</f>
        <v>0</v>
      </c>
      <c r="C251" s="4">
        <f>E251/12</f>
        <v>0</v>
      </c>
      <c r="D251" s="343" t="s">
        <v>169</v>
      </c>
      <c r="E251" s="344">
        <f>[1]BasicData!C87</f>
        <v>0</v>
      </c>
      <c r="F251" s="343">
        <v>0</v>
      </c>
      <c r="G251" s="345"/>
      <c r="H251" s="345"/>
      <c r="I251" s="345"/>
      <c r="J251" s="346"/>
      <c r="K251" s="343"/>
      <c r="L251" s="343"/>
      <c r="M251" s="343"/>
      <c r="N251" s="343"/>
      <c r="O251" s="343"/>
      <c r="P251" s="343"/>
      <c r="Q251" s="345"/>
      <c r="R251" s="347"/>
      <c r="S251" s="347"/>
      <c r="T251" s="343"/>
      <c r="U251" s="345"/>
      <c r="V251" s="343"/>
      <c r="W251" s="348"/>
      <c r="X251" s="348"/>
      <c r="Y251" s="4"/>
      <c r="Z251" s="7"/>
      <c r="AA251" s="7"/>
      <c r="AC251" s="339"/>
      <c r="AD251" s="339"/>
      <c r="AE251" s="339"/>
      <c r="AF251" s="339"/>
      <c r="AG251" s="339"/>
      <c r="AH251" s="339"/>
      <c r="AI251" s="339"/>
      <c r="AJ251" s="340"/>
      <c r="AL251" s="341"/>
      <c r="AN251" s="342"/>
    </row>
    <row ht="15.75" r="252" spans="1:48" thickBot="1" x14ac:dyDescent="0.3">
      <c r="A252" s="349">
        <f>E252</f>
        <v>68.571428571428569</v>
      </c>
      <c r="B252" s="1">
        <f>B251+C252</f>
        <v>5.7142857142857144</v>
      </c>
      <c r="C252" s="4">
        <f>E252/12</f>
        <v>5.7142857142857144</v>
      </c>
      <c r="D252" s="350">
        <v>1</v>
      </c>
      <c r="E252" s="351">
        <f>[1]BasicData!C88</f>
        <v>68.571428571428569</v>
      </c>
      <c r="F252" s="352">
        <f>Fill_Height</f>
        <v>40</v>
      </c>
      <c r="G252" s="353" t="str">
        <f>[1]BasicData!H88</f>
        <v>85% Butt Weld</v>
      </c>
      <c r="H252" s="354">
        <f ref="H252:H258" si="4" t="shared">VLOOKUP(G252,$D$359:$E$373,2)</f>
        <v>0.85</v>
      </c>
      <c r="I252" s="355" t="str">
        <f>[1]BasicData!J88</f>
        <v>A 36</v>
      </c>
      <c r="J252" s="356" t="e">
        <f>VLOOKUP(I252,D379:N409,12)*TempModifier</f>
        <v>#REF!</v>
      </c>
      <c r="K252" s="357">
        <f>[1]BasicData!E88</f>
        <v>0.625</v>
      </c>
      <c r="L252" s="358" t="e">
        <f>IF(E252=0,"-",+K252-#REF!)</f>
        <v>#REF!</v>
      </c>
      <c r="M252" s="359">
        <f>IF(P252&gt;_tk1,(K252-P252)/Age,0)</f>
        <v>0</v>
      </c>
      <c r="N252" s="360" t="str">
        <f ref="N252:N260" si="5" t="shared">IF(M252&lt;0,IF(L252/M252&lt;-15,"15 +",L252/(-1*M252)),IF(M252=0,"15 +",L252/M253))</f>
        <v>15 +</v>
      </c>
      <c r="O252" s="360" t="s">
        <v>170</v>
      </c>
      <c r="P252" s="361">
        <f>[1]BasicData!G88</f>
        <v>0.625</v>
      </c>
      <c r="Q252" s="362" t="str">
        <f>VLOOKUP(P252,E412:I487,5)</f>
        <v xml:space="preserve"> 5/8</v>
      </c>
      <c r="R252" s="363" t="e">
        <f>+K252*J252*H252/(2.6*Diameter*(Fill_Height-1))</f>
        <v>#REF!</v>
      </c>
      <c r="S252" s="363" t="e">
        <f>+K252*J252*H252/(2.6*Diameter*(Height-1))</f>
        <v>#REF!</v>
      </c>
      <c r="T252" s="364" t="e">
        <f ref="T252:T261" si="6" t="shared">IF(((+K252*J252*H252/(2.6*Diameter))/g)+1+W252&gt;Height,Height,((+K252*J252*H252/(2.6*Diameter))/g)+1+W252)</f>
        <v>#REF!</v>
      </c>
      <c r="U252" s="364" t="e">
        <f ref="U252:U261" si="7" t="shared">IF(S252&gt;0,Height,((+K252*V252*H252/(2.6*Diameter)))+1)</f>
        <v>#REF!</v>
      </c>
      <c r="V252" s="365" t="e">
        <f ref="V252:V261" si="8" t="shared">VLOOKUP(I252,$D$379:$Q$408,16)</f>
        <v>#REF!</v>
      </c>
      <c r="W252" s="366">
        <f>Fill_Height</f>
        <v>40</v>
      </c>
      <c r="X252" s="366">
        <f>Height</f>
        <v>30</v>
      </c>
      <c r="Y252" s="1">
        <f ref="Y252:Y261" si="9" t="shared">VLOOKUP(I252,$D$379:$N$409,2)</f>
        <v>36000</v>
      </c>
      <c r="Z252" s="1">
        <f ref="Z252:Z261" si="10" t="shared">VLOOKUP(I252,$D$379:$N$409,3)</f>
        <v>58000</v>
      </c>
      <c r="AA252" s="349" t="str">
        <f>Q252</f>
        <v xml:space="preserve"> 5/8</v>
      </c>
      <c r="AB252" s="115">
        <f>PI()*d*(E252/12)*(_tk1/12)*490</f>
        <v>15577.063574049393</v>
      </c>
      <c r="AC252" s="339">
        <f>(E252/2)/12</f>
        <v>2.8571428571428572</v>
      </c>
      <c r="AD252" s="339">
        <f>AC252*AB252</f>
        <v>44505.89592585541</v>
      </c>
      <c r="AE252" s="339"/>
      <c r="AF252" s="339"/>
      <c r="AG252" s="339"/>
      <c r="AH252" s="339"/>
      <c r="AI252" s="339"/>
      <c r="AJ252" s="305"/>
      <c r="AL252" s="341"/>
      <c r="AN252" s="342"/>
    </row>
    <row ht="15.75" r="253" spans="1:48" thickBot="1" x14ac:dyDescent="0.3">
      <c r="A253" s="349">
        <f>A252+E253</f>
        <v>205.71428571428572</v>
      </c>
      <c r="B253" s="1">
        <f>B252+C253</f>
        <v>17.142857142857142</v>
      </c>
      <c r="C253" s="4">
        <f ref="C253:C260" si="11" t="shared">E253/12</f>
        <v>11.428571428571429</v>
      </c>
      <c r="D253" s="367">
        <v>2</v>
      </c>
      <c r="E253" s="351">
        <f>[1]BasicData!C89</f>
        <v>137.14285714285714</v>
      </c>
      <c r="F253" s="368">
        <f>IF(E253&gt;0,+F252-E252/12,"-")</f>
        <v>34.285714285714285</v>
      </c>
      <c r="G253" s="353" t="str">
        <f>[1]BasicData!H89</f>
        <v>85% Butt Weld</v>
      </c>
      <c r="H253" s="354">
        <f si="4" t="shared"/>
        <v>0.85</v>
      </c>
      <c r="I253" s="355" t="str">
        <f>[1]BasicData!J89</f>
        <v>A 36</v>
      </c>
      <c r="J253" s="356" t="e">
        <f>VLOOKUP(I253,$D$379:$N$409,12)*TempModifier</f>
        <v>#REF!</v>
      </c>
      <c r="K253" s="357">
        <f>[1]BasicData!E89</f>
        <v>0.5</v>
      </c>
      <c r="L253" s="369" t="e">
        <f>IF(E253=0,"-",+K253-#REF!)</f>
        <v>#REF!</v>
      </c>
      <c r="M253" s="359">
        <f>IF(P253&gt;_tk2,(K253-P253)/Age,0)</f>
        <v>0</v>
      </c>
      <c r="N253" s="360" t="str">
        <f si="5" t="shared"/>
        <v>15 +</v>
      </c>
      <c r="O253" s="360" t="s">
        <v>171</v>
      </c>
      <c r="P253" s="361">
        <f>[1]BasicData!G89</f>
        <v>0.5</v>
      </c>
      <c r="Q253" s="362">
        <f>VLOOKUP(P253,E412:I487,5)</f>
        <v>0.5</v>
      </c>
      <c r="R253" s="370" t="e">
        <f ref="R253:R261" si="12" t="shared">IF(W253&lt;=0,"-",(+K253*J253*H253/(2.6*Diameter*(W253-1))))</f>
        <v>#REF!</v>
      </c>
      <c r="S253" s="370" t="e">
        <f ref="S253:S261" si="13" t="shared">IF(X253&lt;=0,"-",(+K253*J253*H253/(2.6*Diameter*(X253-1))))</f>
        <v>#REF!</v>
      </c>
      <c r="T253" s="371" t="e">
        <f si="6" t="shared"/>
        <v>#REF!</v>
      </c>
      <c r="U253" s="364" t="e">
        <f si="7" t="shared"/>
        <v>#REF!</v>
      </c>
      <c r="V253" s="372" t="e">
        <f si="8" t="shared"/>
        <v>#REF!</v>
      </c>
      <c r="W253" s="373">
        <f ref="W253:W261" si="14" t="shared">IF(E253=0,0,+W252-E252/12)</f>
        <v>34.285714285714285</v>
      </c>
      <c r="X253" s="373">
        <f ref="X253:X261" si="15" t="shared">X252-E252/12</f>
        <v>24.285714285714285</v>
      </c>
      <c r="Y253" s="1">
        <f si="9" t="shared"/>
        <v>36000</v>
      </c>
      <c r="Z253" s="1">
        <f si="10" t="shared"/>
        <v>58000</v>
      </c>
      <c r="AB253" s="115">
        <f>PI()*d*(E253/12)*(_tk2/12)*490</f>
        <v>24923.301718479026</v>
      </c>
      <c r="AC253" s="339">
        <f ref="AC253:AC261" si="16" t="shared">(E253/2)/12+B252</f>
        <v>11.428571428571429</v>
      </c>
      <c r="AD253" s="339">
        <f ref="AD253:AD261" si="17" t="shared">AC253*AB253</f>
        <v>284837.73392547457</v>
      </c>
      <c r="AE253" s="339"/>
      <c r="AF253" s="339"/>
      <c r="AG253" s="339"/>
      <c r="AH253" s="339"/>
      <c r="AI253" s="339"/>
      <c r="AJ253" s="305"/>
      <c r="AL253" s="341"/>
      <c r="AN253" s="342"/>
    </row>
    <row ht="15.75" r="254" spans="1:48" thickBot="1" x14ac:dyDescent="0.3">
      <c r="A254" s="349">
        <f ref="A254:A261" si="18" t="shared">A253+E254</f>
        <v>411.42857142857144</v>
      </c>
      <c r="B254" s="1">
        <f ref="B254:B261" si="19" t="shared">B253+C254</f>
        <v>34.285714285714285</v>
      </c>
      <c r="C254" s="4">
        <f si="11" t="shared"/>
        <v>17.142857142857142</v>
      </c>
      <c r="D254" s="367">
        <v>3</v>
      </c>
      <c r="E254" s="351">
        <f>[1]BasicData!C90</f>
        <v>205.71428571428572</v>
      </c>
      <c r="F254" s="368">
        <f ref="F254:F261" si="20" t="shared">IF(E254&gt;0,+F253-E253/12,"-")</f>
        <v>22.857142857142854</v>
      </c>
      <c r="G254" s="353" t="str">
        <f>[1]BasicData!H90</f>
        <v>85% Butt Weld</v>
      </c>
      <c r="H254" s="354">
        <f si="4" t="shared"/>
        <v>0.85</v>
      </c>
      <c r="I254" s="355" t="str">
        <f>[1]BasicData!J90</f>
        <v>A 36</v>
      </c>
      <c r="J254" s="356" t="e">
        <f>VLOOKUP(I254,$D$379:$N$409,13)*TempModifier</f>
        <v>#REF!</v>
      </c>
      <c r="K254" s="357">
        <f>[1]BasicData!E90</f>
        <v>0.375</v>
      </c>
      <c r="L254" s="369" t="e">
        <f>IF(E254=0,"-",+K254-#REF!)</f>
        <v>#REF!</v>
      </c>
      <c r="M254" s="359">
        <f>IF(P254&gt;_tk3,(K254-P254)/Age,0)</f>
        <v>0</v>
      </c>
      <c r="N254" s="360" t="str">
        <f si="5" t="shared"/>
        <v>15 +</v>
      </c>
      <c r="O254" s="360" t="s">
        <v>170</v>
      </c>
      <c r="P254" s="361">
        <f>[1]BasicData!G90</f>
        <v>0.375</v>
      </c>
      <c r="Q254" s="362">
        <f>VLOOKUP(P254,E412:I487,5)</f>
        <v>0.375</v>
      </c>
      <c r="R254" s="370" t="e">
        <f si="12" t="shared"/>
        <v>#REF!</v>
      </c>
      <c r="S254" s="370" t="e">
        <f si="13" t="shared"/>
        <v>#REF!</v>
      </c>
      <c r="T254" s="371" t="e">
        <f si="6" t="shared"/>
        <v>#REF!</v>
      </c>
      <c r="U254" s="364" t="e">
        <f si="7" t="shared"/>
        <v>#REF!</v>
      </c>
      <c r="V254" s="372" t="e">
        <f si="8" t="shared"/>
        <v>#REF!</v>
      </c>
      <c r="W254" s="373">
        <f si="14" t="shared"/>
        <v>22.857142857142854</v>
      </c>
      <c r="X254" s="373">
        <f si="15" t="shared"/>
        <v>12.857142857142856</v>
      </c>
      <c r="Y254" s="1">
        <f si="9" t="shared"/>
        <v>36000</v>
      </c>
      <c r="Z254" s="1">
        <f si="10" t="shared"/>
        <v>58000</v>
      </c>
      <c r="AB254" s="115">
        <f>PI()*d*(E254/12)*(_tk3/12)*490</f>
        <v>28038.714433288904</v>
      </c>
      <c r="AC254" s="339">
        <f si="16" t="shared"/>
        <v>25.714285714285715</v>
      </c>
      <c r="AD254" s="339">
        <f si="17" t="shared"/>
        <v>720995.51399885758</v>
      </c>
      <c r="AE254" s="339"/>
      <c r="AF254" s="339"/>
      <c r="AG254" s="339"/>
      <c r="AH254" s="339"/>
      <c r="AI254" s="339"/>
      <c r="AJ254" s="305"/>
      <c r="AL254" s="341"/>
      <c r="AN254" s="342"/>
    </row>
    <row ht="15.75" r="255" spans="1:48" thickBot="1" x14ac:dyDescent="0.3">
      <c r="A255" s="349">
        <f si="18" t="shared"/>
        <v>685.71428571428578</v>
      </c>
      <c r="B255" s="1">
        <f si="19" t="shared"/>
        <v>57.142857142857139</v>
      </c>
      <c r="C255" s="4">
        <f si="11" t="shared"/>
        <v>22.857142857142858</v>
      </c>
      <c r="D255" s="367">
        <v>4</v>
      </c>
      <c r="E255" s="351">
        <f>[1]BasicData!C91</f>
        <v>274.28571428571428</v>
      </c>
      <c r="F255" s="368">
        <f si="20" t="shared"/>
        <v>5.7142857142857117</v>
      </c>
      <c r="G255" s="353" t="str">
        <f>[1]BasicData!H91</f>
        <v>85% Butt Weld</v>
      </c>
      <c r="H255" s="354">
        <f si="4" t="shared"/>
        <v>0.85</v>
      </c>
      <c r="I255" s="355" t="str">
        <f>[1]BasicData!J91</f>
        <v>A 36</v>
      </c>
      <c r="J255" s="356" t="e">
        <f>VLOOKUP(I255,$D$379:$N$409,13)*TempModifier</f>
        <v>#REF!</v>
      </c>
      <c r="K255" s="357">
        <f>[1]BasicData!E91</f>
        <v>0.3125</v>
      </c>
      <c r="L255" s="369" t="e">
        <f>IF(E255=0,"-",+K255-#REF!)</f>
        <v>#REF!</v>
      </c>
      <c r="M255" s="359">
        <f>IF(P255&gt;_tk4,(K255-P255)/Age,0)</f>
        <v>0</v>
      </c>
      <c r="N255" s="360" t="str">
        <f si="5" t="shared"/>
        <v>15 +</v>
      </c>
      <c r="O255" s="360" t="s">
        <v>170</v>
      </c>
      <c r="P255" s="361">
        <f>[1]BasicData!G91</f>
        <v>0.3125</v>
      </c>
      <c r="Q255" s="374">
        <f>VLOOKUP(P255,E412:I487,5)</f>
        <v>0.3125</v>
      </c>
      <c r="R255" s="370" t="e">
        <f si="12" t="shared"/>
        <v>#REF!</v>
      </c>
      <c r="S255" s="370" t="str">
        <f si="13" t="shared"/>
        <v>-</v>
      </c>
      <c r="T255" s="371" t="e">
        <f si="6" t="shared"/>
        <v>#REF!</v>
      </c>
      <c r="U255" s="364">
        <f si="7" t="shared"/>
        <v>30</v>
      </c>
      <c r="V255" s="372" t="e">
        <f si="8" t="shared"/>
        <v>#REF!</v>
      </c>
      <c r="W255" s="373">
        <f si="14" t="shared"/>
        <v>5.7142857142857117</v>
      </c>
      <c r="X255" s="373">
        <f si="15" t="shared"/>
        <v>-4.2857142857142865</v>
      </c>
      <c r="Y255" s="1">
        <f si="9" t="shared"/>
        <v>36000</v>
      </c>
      <c r="Z255" s="1">
        <f si="10" t="shared"/>
        <v>58000</v>
      </c>
      <c r="AB255" s="115">
        <f>PI()*d*(E255/12)*(_tk4/12)*490</f>
        <v>31154.127148098785</v>
      </c>
      <c r="AC255" s="339">
        <f si="16" t="shared"/>
        <v>45.714285714285715</v>
      </c>
      <c r="AD255" s="339">
        <f si="17" t="shared"/>
        <v>1424188.6696273731</v>
      </c>
      <c r="AE255" s="339"/>
      <c r="AF255" s="339"/>
      <c r="AG255" s="339"/>
      <c r="AH255" s="339"/>
      <c r="AI255" s="339"/>
      <c r="AJ255" s="340"/>
      <c r="AL255" s="341"/>
      <c r="AN255" s="342"/>
    </row>
    <row ht="15.75" r="256" spans="1:48" thickBot="1" x14ac:dyDescent="0.3">
      <c r="A256" s="349">
        <f si="18" t="shared"/>
        <v>1028.5714285714287</v>
      </c>
      <c r="B256" s="1">
        <f si="19" t="shared"/>
        <v>85.714285714285708</v>
      </c>
      <c r="C256" s="4">
        <f si="11" t="shared"/>
        <v>28.571428571428573</v>
      </c>
      <c r="D256" s="367">
        <v>5</v>
      </c>
      <c r="E256" s="351">
        <f>[1]BasicData!C92</f>
        <v>342.85714285714289</v>
      </c>
      <c r="F256" s="368">
        <f si="20" t="shared"/>
        <v>-17.142857142857146</v>
      </c>
      <c r="G256" s="353" t="str">
        <f>[1]BasicData!H92</f>
        <v>85% Butt Weld</v>
      </c>
      <c r="H256" s="354">
        <f si="4" t="shared"/>
        <v>0.85</v>
      </c>
      <c r="I256" s="355" t="str">
        <f>[1]BasicData!J92</f>
        <v>A 36</v>
      </c>
      <c r="J256" s="356" t="e">
        <f>VLOOKUP(I256,$D$379:$N$409,13)*TempModifier</f>
        <v>#REF!</v>
      </c>
      <c r="K256" s="357">
        <f>[1]BasicData!E92</f>
        <v>0.3125</v>
      </c>
      <c r="L256" s="369" t="e">
        <f>IF(E256=0,"-",+K256-#REF!)</f>
        <v>#REF!</v>
      </c>
      <c r="M256" s="359">
        <f>IF(P256&gt;_tk5,(K256-P256)/Age,0)</f>
        <v>0</v>
      </c>
      <c r="N256" s="360" t="str">
        <f si="5" t="shared"/>
        <v>15 +</v>
      </c>
      <c r="O256" s="360" t="s">
        <v>170</v>
      </c>
      <c r="P256" s="361">
        <f>[1]BasicData!G92</f>
        <v>0.3125</v>
      </c>
      <c r="Q256" s="374">
        <f>VLOOKUP(P256,E412:I487,5)</f>
        <v>0.3125</v>
      </c>
      <c r="R256" s="370" t="str">
        <f si="12" t="shared"/>
        <v>-</v>
      </c>
      <c r="S256" s="370" t="str">
        <f si="13" t="shared"/>
        <v>-</v>
      </c>
      <c r="T256" s="371" t="e">
        <f si="6" t="shared"/>
        <v>#REF!</v>
      </c>
      <c r="U256" s="364">
        <f si="7" t="shared"/>
        <v>30</v>
      </c>
      <c r="V256" s="372" t="e">
        <f si="8" t="shared"/>
        <v>#REF!</v>
      </c>
      <c r="W256" s="373">
        <f si="14" t="shared"/>
        <v>-17.142857142857146</v>
      </c>
      <c r="X256" s="373">
        <f si="15" t="shared"/>
        <v>-27.142857142857146</v>
      </c>
      <c r="Y256" s="1">
        <f si="9" t="shared"/>
        <v>36000</v>
      </c>
      <c r="Z256" s="1">
        <f si="10" t="shared"/>
        <v>58000</v>
      </c>
      <c r="AB256" s="115">
        <f>PI()*d*(E256/12)*(_tk5/12)*490</f>
        <v>38942.658935123487</v>
      </c>
      <c r="AC256" s="339">
        <f si="16" t="shared"/>
        <v>71.428571428571431</v>
      </c>
      <c r="AD256" s="339">
        <f si="17" t="shared"/>
        <v>2781618.4953659633</v>
      </c>
      <c r="AE256" s="339"/>
      <c r="AF256" s="339"/>
      <c r="AG256" s="339"/>
      <c r="AH256" s="339"/>
      <c r="AI256" s="339"/>
      <c r="AJ256" s="305"/>
      <c r="AL256" s="341"/>
      <c r="AN256" s="342"/>
    </row>
    <row ht="15.75" r="257" spans="1:40" thickBot="1" x14ac:dyDescent="0.3">
      <c r="A257" s="349">
        <f si="18" t="shared"/>
        <v>1440</v>
      </c>
      <c r="B257" s="1">
        <f si="19" t="shared"/>
        <v>120</v>
      </c>
      <c r="C257" s="4">
        <f si="11" t="shared"/>
        <v>34.285714285714285</v>
      </c>
      <c r="D257" s="367">
        <v>6</v>
      </c>
      <c r="E257" s="351">
        <f>[1]BasicData!C93</f>
        <v>411.42857142857144</v>
      </c>
      <c r="F257" s="368">
        <f si="20" t="shared"/>
        <v>-45.714285714285722</v>
      </c>
      <c r="G257" s="353" t="str">
        <f>[1]BasicData!H93</f>
        <v>85% Butt Weld</v>
      </c>
      <c r="H257" s="354">
        <f si="4" t="shared"/>
        <v>0.85</v>
      </c>
      <c r="I257" s="355" t="str">
        <f>[1]BasicData!J93</f>
        <v>A 36</v>
      </c>
      <c r="J257" s="356" t="e">
        <f>VLOOKUP(I257,$D$379:$N$409,13)*TempModifier</f>
        <v>#REF!</v>
      </c>
      <c r="K257" s="357">
        <f>[1]BasicData!E93</f>
        <v>0</v>
      </c>
      <c r="L257" s="369" t="e">
        <f>IF(E257=0,"-",+K257-#REF!)</f>
        <v>#REF!</v>
      </c>
      <c r="M257" s="359">
        <f>IF(P257&gt;_tk6,(K257-P257)/Age,0)</f>
        <v>0</v>
      </c>
      <c r="N257" s="360" t="str">
        <f si="5" t="shared"/>
        <v>15 +</v>
      </c>
      <c r="O257" s="360" t="s">
        <v>170</v>
      </c>
      <c r="P257" s="361">
        <f>[1]BasicData!G93</f>
        <v>0</v>
      </c>
      <c r="Q257" s="374">
        <f>VLOOKUP(P257,E412:I488,5)</f>
        <v>0</v>
      </c>
      <c r="R257" s="370" t="str">
        <f si="12" t="shared"/>
        <v>-</v>
      </c>
      <c r="S257" s="370" t="str">
        <f si="13" t="shared"/>
        <v>-</v>
      </c>
      <c r="T257" s="371" t="e">
        <f si="6" t="shared"/>
        <v>#REF!</v>
      </c>
      <c r="U257" s="364">
        <f si="7" t="shared"/>
        <v>30</v>
      </c>
      <c r="V257" s="372" t="e">
        <f si="8" t="shared"/>
        <v>#REF!</v>
      </c>
      <c r="W257" s="373">
        <f si="14" t="shared"/>
        <v>-45.714285714285722</v>
      </c>
      <c r="X257" s="373">
        <f si="15" t="shared"/>
        <v>-55.714285714285722</v>
      </c>
      <c r="Y257" s="1">
        <f si="9" t="shared"/>
        <v>36000</v>
      </c>
      <c r="Z257" s="1">
        <f si="10" t="shared"/>
        <v>58000</v>
      </c>
      <c r="AB257" s="115">
        <f>PI()*d*(E257/12)*(_tk6/12)*490</f>
        <v>0</v>
      </c>
      <c r="AC257" s="339">
        <f si="16" t="shared"/>
        <v>102.85714285714285</v>
      </c>
      <c r="AD257" s="339">
        <f si="17" t="shared"/>
        <v>0</v>
      </c>
      <c r="AE257" s="339"/>
      <c r="AF257" s="339"/>
      <c r="AG257" s="339"/>
      <c r="AH257" s="339"/>
      <c r="AI257" s="339"/>
      <c r="AJ257" s="305"/>
      <c r="AL257" s="341"/>
      <c r="AN257" s="342"/>
    </row>
    <row ht="15.75" r="258" spans="1:40" thickBot="1" x14ac:dyDescent="0.3">
      <c r="A258" s="349">
        <f si="18" t="shared"/>
        <v>1920</v>
      </c>
      <c r="B258" s="1">
        <f si="19" t="shared"/>
        <v>160</v>
      </c>
      <c r="C258" s="4">
        <f si="11" t="shared"/>
        <v>40</v>
      </c>
      <c r="D258" s="367">
        <v>7</v>
      </c>
      <c r="E258" s="351">
        <f>[1]BasicData!C94</f>
        <v>480</v>
      </c>
      <c r="F258" s="368">
        <f si="20" t="shared"/>
        <v>-80</v>
      </c>
      <c r="G258" s="353" t="str">
        <f>[1]BasicData!H94</f>
        <v>85% Butt Weld</v>
      </c>
      <c r="H258" s="354">
        <f si="4" t="shared"/>
        <v>0.85</v>
      </c>
      <c r="I258" s="355" t="str">
        <f>[1]BasicData!J94</f>
        <v>A 36</v>
      </c>
      <c r="J258" s="375" t="e">
        <f>VLOOKUP(I253,D379:N409,13)*TempModifier</f>
        <v>#REF!</v>
      </c>
      <c r="K258" s="357">
        <f>[1]BasicData!E94</f>
        <v>0</v>
      </c>
      <c r="L258" s="369" t="e">
        <f>IF(E258=0,"-",+K258-#REF!)</f>
        <v>#REF!</v>
      </c>
      <c r="M258" s="359">
        <f>IF(P258&gt;_tk7,(K258-P258)/Age,0)</f>
        <v>0</v>
      </c>
      <c r="N258" s="360" t="str">
        <f si="5" t="shared"/>
        <v>15 +</v>
      </c>
      <c r="O258" s="360" t="s">
        <v>170</v>
      </c>
      <c r="P258" s="361">
        <f>[1]BasicData!G94</f>
        <v>0</v>
      </c>
      <c r="Q258" s="374">
        <f>VLOOKUP(P258,E412:I488,5)</f>
        <v>0</v>
      </c>
      <c r="R258" s="370" t="str">
        <f si="12" t="shared"/>
        <v>-</v>
      </c>
      <c r="S258" s="370" t="str">
        <f si="13" t="shared"/>
        <v>-</v>
      </c>
      <c r="T258" s="371" t="e">
        <f si="6" t="shared"/>
        <v>#REF!</v>
      </c>
      <c r="U258" s="364">
        <f si="7" t="shared"/>
        <v>30</v>
      </c>
      <c r="V258" s="372" t="e">
        <f si="8" t="shared"/>
        <v>#REF!</v>
      </c>
      <c r="W258" s="373">
        <f si="14" t="shared"/>
        <v>-80</v>
      </c>
      <c r="X258" s="373">
        <f si="15" t="shared"/>
        <v>-90</v>
      </c>
      <c r="Y258" s="1">
        <f si="9" t="shared"/>
        <v>36000</v>
      </c>
      <c r="Z258" s="1">
        <f si="10" t="shared"/>
        <v>58000</v>
      </c>
      <c r="AB258" s="115">
        <f>PI()*d*(E258/12)*(_tk7/12)*490</f>
        <v>0</v>
      </c>
      <c r="AC258" s="339">
        <f si="16" t="shared"/>
        <v>140</v>
      </c>
      <c r="AD258" s="339">
        <f si="17" t="shared"/>
        <v>0</v>
      </c>
      <c r="AE258" s="339"/>
      <c r="AF258" s="339"/>
      <c r="AG258" s="339"/>
      <c r="AH258" s="339"/>
      <c r="AI258" s="339"/>
      <c r="AJ258" s="305"/>
      <c r="AL258" s="341"/>
      <c r="AN258" s="342"/>
    </row>
    <row ht="15.75" r="259" spans="1:40" thickBot="1" x14ac:dyDescent="0.3">
      <c r="A259" s="349">
        <f si="18" t="shared"/>
        <v>1920</v>
      </c>
      <c r="B259" s="1">
        <f si="19" t="shared"/>
        <v>160</v>
      </c>
      <c r="C259" s="4">
        <f si="11" t="shared"/>
        <v>0</v>
      </c>
      <c r="D259" s="367">
        <v>8</v>
      </c>
      <c r="E259" s="351">
        <f>[1]BasicData!C95</f>
        <v>0</v>
      </c>
      <c r="F259" s="368" t="str">
        <f si="20" t="shared"/>
        <v>-</v>
      </c>
      <c r="G259" s="353" t="str">
        <f>[1]BasicData!H95</f>
        <v>85% Butt Weld</v>
      </c>
      <c r="H259" s="376">
        <f>VLOOKUP(G252,D359:E373,2)</f>
        <v>0.85</v>
      </c>
      <c r="I259" s="355" t="str">
        <f>[1]BasicData!J95</f>
        <v>A 36</v>
      </c>
      <c r="J259" s="375" t="e">
        <f>VLOOKUP(I253,D379:N409,13)*TempModifier</f>
        <v>#REF!</v>
      </c>
      <c r="K259" s="357">
        <f>[1]BasicData!E95</f>
        <v>0</v>
      </c>
      <c r="L259" s="369" t="str">
        <f>IF(E259=0,"-",+K259-#REF!)</f>
        <v>-</v>
      </c>
      <c r="M259" s="359">
        <f>IF(P259&gt;_tk8,(K259-P259)/Age,0)</f>
        <v>0</v>
      </c>
      <c r="N259" s="360" t="str">
        <f si="5" t="shared"/>
        <v>15 +</v>
      </c>
      <c r="O259" s="360" t="s">
        <v>170</v>
      </c>
      <c r="P259" s="361">
        <f>[1]BasicData!G95</f>
        <v>0</v>
      </c>
      <c r="Q259" s="374">
        <f>VLOOKUP(_tk8,E412:I488,5)</f>
        <v>0</v>
      </c>
      <c r="R259" s="370" t="str">
        <f si="12" t="shared"/>
        <v>-</v>
      </c>
      <c r="S259" s="370" t="str">
        <f si="13" t="shared"/>
        <v>-</v>
      </c>
      <c r="T259" s="371" t="e">
        <f si="6" t="shared"/>
        <v>#REF!</v>
      </c>
      <c r="U259" s="364">
        <f si="7" t="shared"/>
        <v>30</v>
      </c>
      <c r="V259" s="372" t="e">
        <f si="8" t="shared"/>
        <v>#REF!</v>
      </c>
      <c r="W259" s="373">
        <f si="14" t="shared"/>
        <v>0</v>
      </c>
      <c r="X259" s="373">
        <f si="15" t="shared"/>
        <v>-130</v>
      </c>
      <c r="Y259" s="1">
        <f si="9" t="shared"/>
        <v>36000</v>
      </c>
      <c r="Z259" s="1">
        <f si="10" t="shared"/>
        <v>58000</v>
      </c>
      <c r="AB259" s="115">
        <f>PI()*d*(E259/12)*(_tk8/12)*490</f>
        <v>0</v>
      </c>
      <c r="AC259" s="339">
        <f si="16" t="shared"/>
        <v>160</v>
      </c>
      <c r="AD259" s="339">
        <f si="17" t="shared"/>
        <v>0</v>
      </c>
      <c r="AE259" s="339"/>
      <c r="AF259" s="339"/>
      <c r="AG259" s="339"/>
      <c r="AH259" s="339"/>
      <c r="AI259" s="339"/>
      <c r="AJ259" s="305"/>
      <c r="AL259" s="341"/>
      <c r="AN259" s="342"/>
    </row>
    <row ht="15.75" r="260" spans="1:40" thickBot="1" x14ac:dyDescent="0.3">
      <c r="A260" s="349">
        <f si="18" t="shared"/>
        <v>1920</v>
      </c>
      <c r="B260" s="1">
        <f si="19" t="shared"/>
        <v>160</v>
      </c>
      <c r="C260" s="4">
        <f si="11" t="shared"/>
        <v>0</v>
      </c>
      <c r="D260" s="367">
        <v>9</v>
      </c>
      <c r="E260" s="351">
        <f>[1]BasicData!C96</f>
        <v>0</v>
      </c>
      <c r="F260" s="368" t="str">
        <f si="20" t="shared"/>
        <v>-</v>
      </c>
      <c r="G260" s="353" t="str">
        <f>[1]BasicData!H96</f>
        <v>85% Butt Weld</v>
      </c>
      <c r="H260" s="376">
        <f>VLOOKUP(G252,D359:E373,2)</f>
        <v>0.85</v>
      </c>
      <c r="I260" s="355" t="str">
        <f>[1]BasicData!J96</f>
        <v>A 36</v>
      </c>
      <c r="J260" s="375" t="e">
        <f>VLOOKUP(I253,D379:N409,13)*TempModifier</f>
        <v>#REF!</v>
      </c>
      <c r="K260" s="357">
        <f>[1]BasicData!E96</f>
        <v>0</v>
      </c>
      <c r="L260" s="369" t="str">
        <f>IF(E260=0,"-",+K260-#REF!)</f>
        <v>-</v>
      </c>
      <c r="M260" s="359">
        <f>IF(P260&gt;_tk9,(K260-P260)/Age,0)</f>
        <v>0</v>
      </c>
      <c r="N260" s="360" t="str">
        <f si="5" t="shared"/>
        <v>15 +</v>
      </c>
      <c r="O260" s="360" t="s">
        <v>170</v>
      </c>
      <c r="P260" s="361">
        <f>[1]BasicData!G96</f>
        <v>0</v>
      </c>
      <c r="Q260" s="374">
        <f>VLOOKUP(P260,E412:I488,5)</f>
        <v>0</v>
      </c>
      <c r="R260" s="370" t="str">
        <f si="12" t="shared"/>
        <v>-</v>
      </c>
      <c r="S260" s="370" t="str">
        <f si="13" t="shared"/>
        <v>-</v>
      </c>
      <c r="T260" s="371" t="e">
        <f si="6" t="shared"/>
        <v>#REF!</v>
      </c>
      <c r="U260" s="364">
        <f si="7" t="shared"/>
        <v>30</v>
      </c>
      <c r="V260" s="372" t="e">
        <f si="8" t="shared"/>
        <v>#REF!</v>
      </c>
      <c r="W260" s="373">
        <f si="14" t="shared"/>
        <v>0</v>
      </c>
      <c r="X260" s="373">
        <f si="15" t="shared"/>
        <v>-130</v>
      </c>
      <c r="Y260" s="1">
        <f si="9" t="shared"/>
        <v>36000</v>
      </c>
      <c r="Z260" s="1">
        <f si="10" t="shared"/>
        <v>58000</v>
      </c>
      <c r="AB260" s="115">
        <f>PI()*d*(E260/12)*(_tk9/12)*490</f>
        <v>0</v>
      </c>
      <c r="AC260" s="339">
        <f si="16" t="shared"/>
        <v>160</v>
      </c>
      <c r="AD260" s="339">
        <f si="17" t="shared"/>
        <v>0</v>
      </c>
      <c r="AE260" s="339"/>
      <c r="AF260" s="339"/>
      <c r="AG260" s="339"/>
      <c r="AH260" s="339"/>
      <c r="AI260" s="339"/>
      <c r="AJ260" s="305"/>
      <c r="AL260" s="341"/>
      <c r="AN260" s="342"/>
    </row>
    <row ht="15.75" r="261" spans="1:40" thickBot="1" x14ac:dyDescent="0.3">
      <c r="A261" s="349">
        <f si="18" t="shared"/>
        <v>1920</v>
      </c>
      <c r="B261" s="1">
        <f si="19" t="shared"/>
        <v>160</v>
      </c>
      <c r="C261" s="4">
        <f>+E261/12</f>
        <v>0</v>
      </c>
      <c r="D261" s="367">
        <v>10</v>
      </c>
      <c r="E261" s="351">
        <f>[1]BasicData!C97</f>
        <v>0</v>
      </c>
      <c r="F261" s="377" t="str">
        <f si="20" t="shared"/>
        <v>-</v>
      </c>
      <c r="G261" s="353" t="str">
        <f>[1]BasicData!H97</f>
        <v>85% Butt Weld</v>
      </c>
      <c r="H261" s="378">
        <f>VLOOKUP(G252,D359:E373,2)</f>
        <v>0.85</v>
      </c>
      <c r="I261" s="355" t="str">
        <f>[1]BasicData!J97</f>
        <v>A 36</v>
      </c>
      <c r="J261" s="379" t="e">
        <f>VLOOKUP(I253,D379:N409,13)*TempModifier</f>
        <v>#REF!</v>
      </c>
      <c r="K261" s="357">
        <f>[1]BasicData!E97</f>
        <v>0</v>
      </c>
      <c r="L261" s="380" t="str">
        <f>IF(E261=0,"-",+K261-#REF!)</f>
        <v>-</v>
      </c>
      <c r="M261" s="381">
        <f>IF(P261&gt;_tk10,(K261-P261)/Age,0)</f>
        <v>0</v>
      </c>
      <c r="N261" s="382" t="str">
        <f>IF(M261&lt;0,IF(L261/M261&lt;-15,"15 +",L261/(-1*M261)),IF(M261=0,"15 +",L261/#REF!))</f>
        <v>15 +</v>
      </c>
      <c r="O261" s="382"/>
      <c r="P261" s="361">
        <f>[1]BasicData!G97</f>
        <v>0</v>
      </c>
      <c r="Q261" s="383">
        <f>VLOOKUP(P261,E412:I488,5)</f>
        <v>0</v>
      </c>
      <c r="R261" s="384" t="str">
        <f si="12" t="shared"/>
        <v>-</v>
      </c>
      <c r="S261" s="384" t="str">
        <f si="13" t="shared"/>
        <v>-</v>
      </c>
      <c r="T261" s="385" t="e">
        <f si="6" t="shared"/>
        <v>#REF!</v>
      </c>
      <c r="U261" s="386">
        <f si="7" t="shared"/>
        <v>30</v>
      </c>
      <c r="V261" s="387" t="e">
        <f si="8" t="shared"/>
        <v>#REF!</v>
      </c>
      <c r="W261" s="388">
        <f si="14" t="shared"/>
        <v>0</v>
      </c>
      <c r="X261" s="388">
        <f si="15" t="shared"/>
        <v>-130</v>
      </c>
      <c r="Y261" s="1">
        <f si="9" t="shared"/>
        <v>36000</v>
      </c>
      <c r="Z261" s="1">
        <f si="10" t="shared"/>
        <v>58000</v>
      </c>
      <c r="AB261" s="115">
        <f>PI()*d*(E261/12)*(_tk10/12)*490</f>
        <v>0</v>
      </c>
      <c r="AC261" s="339">
        <f si="16" t="shared"/>
        <v>160</v>
      </c>
      <c r="AD261" s="339">
        <f si="17" t="shared"/>
        <v>0</v>
      </c>
      <c r="AE261" s="339"/>
      <c r="AF261" s="339"/>
      <c r="AG261" s="339"/>
      <c r="AH261" s="339"/>
      <c r="AI261" s="339"/>
      <c r="AJ261" s="305"/>
      <c r="AL261" s="341"/>
      <c r="AN261" s="342"/>
    </row>
    <row ht="15.75" r="262" spans="1:40" thickBot="1" x14ac:dyDescent="0.3">
      <c r="A262" s="349"/>
      <c r="B262" s="1">
        <f>C262+B261</f>
        <v>160</v>
      </c>
      <c r="C262" s="4">
        <f>E262/12</f>
        <v>0</v>
      </c>
      <c r="D262" s="389" t="s">
        <v>172</v>
      </c>
      <c r="E262" s="390">
        <f>[1]BasicData!C98</f>
        <v>0</v>
      </c>
      <c r="F262" s="391"/>
      <c r="G262" s="392"/>
      <c r="H262" s="393"/>
      <c r="I262" s="394"/>
      <c r="J262" s="395"/>
      <c r="K262" s="396"/>
      <c r="L262" s="397"/>
      <c r="M262" s="398"/>
      <c r="N262" s="399"/>
      <c r="O262" s="399"/>
      <c r="P262" s="396"/>
      <c r="Q262" s="400"/>
      <c r="R262" s="401"/>
      <c r="S262" s="401"/>
      <c r="T262" s="402"/>
      <c r="U262" s="402"/>
      <c r="V262" s="403"/>
      <c r="W262" s="404"/>
      <c r="X262" s="405"/>
      <c r="AC262" s="339"/>
      <c r="AD262" s="339"/>
      <c r="AE262" s="339"/>
      <c r="AF262" s="339"/>
      <c r="AG262" s="339"/>
      <c r="AH262" s="339"/>
      <c r="AI262" s="339"/>
      <c r="AJ262" s="305"/>
      <c r="AL262" s="341"/>
      <c r="AN262" s="342"/>
    </row>
    <row ht="15.75" r="263" spans="1:40" thickBot="1" x14ac:dyDescent="0.3">
      <c r="C263" s="406">
        <f>SUM(C251:C262)</f>
        <v>160</v>
      </c>
      <c r="D263" s="407" t="s">
        <v>173</v>
      </c>
      <c r="E263" s="406">
        <f>SUM(E251:E262)/12</f>
        <v>160</v>
      </c>
      <c r="F263" s="408" t="s">
        <v>43</v>
      </c>
      <c r="G263" s="409"/>
      <c r="H263" s="410"/>
      <c r="I263" s="410"/>
      <c r="J263" s="410"/>
      <c r="K263" s="411"/>
      <c r="L263" s="412"/>
      <c r="M263" s="413"/>
      <c r="N263" s="411"/>
      <c r="O263" s="411"/>
      <c r="P263" s="411"/>
      <c r="Q263" s="414"/>
      <c r="R263" s="415" t="e">
        <f>MIN(R252:R261)</f>
        <v>#REF!</v>
      </c>
      <c r="S263" s="416" t="e">
        <f>MIN(S252:S261)</f>
        <v>#REF!</v>
      </c>
      <c r="T263" s="417" t="e">
        <f>MIN(T252:T261)</f>
        <v>#REF!</v>
      </c>
      <c r="U263" s="418" t="e">
        <f>MIN(U252:U261)</f>
        <v>#REF!</v>
      </c>
      <c r="V263" s="419"/>
      <c r="W263" s="420"/>
      <c r="X263" s="421"/>
      <c r="AB263" s="422">
        <f>SUM(AB252:AB261)</f>
        <v>138635.86580903962</v>
      </c>
      <c r="AC263" s="423">
        <f>AD263/AB263</f>
        <v>37.91332263242375</v>
      </c>
      <c r="AD263" s="339">
        <f>SUM(AD252:AD261)</f>
        <v>5256146.3088435242</v>
      </c>
      <c r="AE263" s="339"/>
      <c r="AF263" s="339"/>
      <c r="AG263" s="339"/>
      <c r="AH263" s="339"/>
      <c r="AI263" s="339"/>
      <c r="AJ263" s="305"/>
      <c r="AL263" s="341"/>
      <c r="AN263" s="342"/>
    </row>
    <row ht="15" r="264" spans="1:40" x14ac:dyDescent="0.25">
      <c r="C264" s="424" t="e">
        <f><![CDATA[LEFT(C252,5)&","&LEFT(C253,5)&","&LEFT(C254,4)&","&LEFT(C255,4)&","&LEFT(C256,4)&","&LEFT(C257,4)&","&LEFT(C258,4)&","&LEFT(#REF!,4)]]></f>
        <v>#REF!</v>
      </c>
      <c r="D264" s="285"/>
      <c r="E264" s="425"/>
      <c r="F264" s="283"/>
      <c r="G264" s="283"/>
      <c r="H264" s="284"/>
      <c r="I264" s="284"/>
      <c r="J264" s="284"/>
      <c r="K264" s="1" t="e">
        <f>#REF!/0.19</f>
        <v>#REF!</v>
      </c>
      <c r="L264" s="1"/>
      <c r="M264" s="1"/>
      <c r="AB264" s="115">
        <v>1.3187844503426238</v>
      </c>
      <c r="AC264" s="339"/>
      <c r="AD264" s="339"/>
      <c r="AE264" s="339"/>
      <c r="AF264" s="339"/>
      <c r="AG264" s="339"/>
      <c r="AH264" s="339"/>
      <c r="AI264" s="339"/>
      <c r="AJ264" s="305"/>
      <c r="AL264" s="341"/>
      <c r="AN264" s="342"/>
    </row>
    <row ht="15.75" r="265" spans="1:40" thickBot="1" x14ac:dyDescent="0.3">
      <c r="M265" s="1"/>
      <c r="P265" s="349"/>
      <c r="Q265" s="349"/>
      <c r="AC265" s="339"/>
      <c r="AD265" s="339"/>
      <c r="AE265" s="339"/>
      <c r="AF265" s="339"/>
      <c r="AG265" s="339"/>
      <c r="AH265" s="339"/>
      <c r="AI265" s="339"/>
      <c r="AJ265" s="305"/>
      <c r="AL265" s="341"/>
      <c r="AN265" s="342"/>
    </row>
    <row ht="15" r="266" spans="1:40" x14ac:dyDescent="0.25">
      <c r="D266" s="426" t="s">
        <v>174</v>
      </c>
      <c r="E266" s="427" t="s">
        <v>164</v>
      </c>
      <c r="F266" s="428"/>
      <c r="G266" s="428"/>
      <c r="H266" s="429" t="s">
        <v>175</v>
      </c>
      <c r="I266" s="430" t="s">
        <v>176</v>
      </c>
      <c r="J266" s="431"/>
      <c r="K266" s="432"/>
      <c r="L266" s="432"/>
      <c r="M266" s="433" t="s">
        <v>177</v>
      </c>
      <c r="N266" s="434"/>
      <c r="O266" s="4"/>
      <c r="P266" s="349"/>
      <c r="AC266" s="339"/>
      <c r="AD266" s="339"/>
      <c r="AE266" s="339"/>
      <c r="AF266" s="339"/>
      <c r="AG266" s="339"/>
      <c r="AH266" s="339"/>
      <c r="AI266" s="339"/>
      <c r="AJ266" s="340"/>
      <c r="AL266" s="341"/>
      <c r="AN266" s="342"/>
    </row>
    <row ht="15" r="267" spans="1:40" x14ac:dyDescent="0.25">
      <c r="D267" s="435"/>
      <c r="E267" s="367" t="s">
        <v>144</v>
      </c>
      <c r="F267" s="436" t="s">
        <v>145</v>
      </c>
      <c r="G267" s="436" t="s">
        <v>178</v>
      </c>
      <c r="H267" s="371" t="s">
        <v>179</v>
      </c>
      <c r="I267" s="437" t="s">
        <v>180</v>
      </c>
      <c r="J267" s="437" t="s">
        <v>153</v>
      </c>
      <c r="K267" s="368" t="s">
        <v>153</v>
      </c>
      <c r="L267" s="438" t="s">
        <v>27</v>
      </c>
      <c r="M267" s="439" t="s">
        <v>180</v>
      </c>
      <c r="N267" s="440" t="s">
        <v>153</v>
      </c>
      <c r="O267" s="4"/>
      <c r="P267" s="349"/>
      <c r="Q267" s="441" t="s">
        <v>181</v>
      </c>
      <c r="R267" s="441"/>
      <c r="S267" s="441"/>
      <c r="T267" s="441"/>
      <c r="U267" s="441"/>
      <c r="V267" s="8"/>
      <c r="AC267" s="339"/>
      <c r="AD267" s="339"/>
      <c r="AE267" s="339"/>
      <c r="AF267" s="339"/>
      <c r="AG267" s="339"/>
      <c r="AH267" s="339"/>
      <c r="AI267" s="339"/>
      <c r="AJ267" s="305"/>
      <c r="AL267" s="341"/>
      <c r="AN267" s="342"/>
    </row>
    <row ht="15.75" r="268" spans="1:40" thickBot="1" x14ac:dyDescent="0.3">
      <c r="D268" s="442" t="s">
        <v>33</v>
      </c>
      <c r="E268" s="443" t="s">
        <v>42</v>
      </c>
      <c r="F268" s="443" t="s">
        <v>43</v>
      </c>
      <c r="G268" s="443" t="s">
        <v>53</v>
      </c>
      <c r="H268" s="444" t="s">
        <v>63</v>
      </c>
      <c r="I268" s="445" t="s">
        <v>160</v>
      </c>
      <c r="J268" s="445" t="s">
        <v>160</v>
      </c>
      <c r="K268" s="446" t="s">
        <v>42</v>
      </c>
      <c r="L268" s="447" t="s">
        <v>42</v>
      </c>
      <c r="M268" s="443" t="s">
        <v>43</v>
      </c>
      <c r="N268" s="448" t="s">
        <v>43</v>
      </c>
      <c r="O268" s="217"/>
      <c r="P268" s="349"/>
      <c r="Q268" s="449" t="s">
        <v>182</v>
      </c>
      <c r="R268" s="449"/>
      <c r="S268" s="449"/>
      <c r="AC268" s="339"/>
      <c r="AD268" s="339"/>
      <c r="AE268" s="339"/>
      <c r="AF268" s="339"/>
      <c r="AG268" s="339"/>
      <c r="AH268" s="339"/>
      <c r="AI268" s="339"/>
      <c r="AJ268" s="305"/>
      <c r="AL268" s="341"/>
      <c r="AN268" s="342"/>
    </row>
    <row ht="15" r="269" spans="1:40" x14ac:dyDescent="0.25">
      <c r="D269" s="450">
        <v>1</v>
      </c>
      <c r="E269" s="451">
        <f ref="E269:F275" si="21" t="shared">+E252</f>
        <v>68.571428571428569</v>
      </c>
      <c r="F269" s="364">
        <f si="21" t="shared"/>
        <v>40</v>
      </c>
      <c r="G269" s="364">
        <f ref="G269:G276" si="22" t="shared">H252</f>
        <v>0.85</v>
      </c>
      <c r="H269" s="452">
        <f>+I245</f>
        <v>0</v>
      </c>
      <c r="I269" s="356">
        <f>VLOOKUP(I252,$D$379:$N$408,4)</f>
        <v>23200</v>
      </c>
      <c r="J269" s="356">
        <f>VLOOKUP(I252,$D$379:$N$408,5)</f>
        <v>24900</v>
      </c>
      <c r="K269" s="352">
        <f ref="K269:K276" si="23" t="shared" xml:space="preserve"> (2.6*Diameter*(F269-1)/(J269))</f>
        <v>0.13845783132530121</v>
      </c>
      <c r="L269" s="453">
        <f ref="L269:L275" si="24" t="shared">+K252</f>
        <v>0.625</v>
      </c>
      <c r="M269" s="366" t="e">
        <f>F269/(#REF!/L269)</f>
        <v>#REF!</v>
      </c>
      <c r="N269" s="366">
        <f>F269/(K269/L269)</f>
        <v>180.56038983640792</v>
      </c>
      <c r="O269" s="2"/>
      <c r="P269" s="349"/>
      <c r="Q269" s="8" t="s">
        <v>183</v>
      </c>
      <c r="R269" s="8" t="s">
        <v>153</v>
      </c>
      <c r="S269" s="1" t="s">
        <v>184</v>
      </c>
      <c r="T269" s="8" t="s">
        <v>185</v>
      </c>
      <c r="U269" s="8" t="s">
        <v>186</v>
      </c>
      <c r="V269" s="8" t="s">
        <v>95</v>
      </c>
      <c r="AC269" s="339"/>
      <c r="AD269" s="339"/>
      <c r="AE269" s="339"/>
      <c r="AF269" s="339"/>
      <c r="AG269" s="339"/>
      <c r="AH269" s="339"/>
      <c r="AI269" s="339"/>
      <c r="AJ269" s="305"/>
      <c r="AL269" s="341"/>
      <c r="AN269" s="342"/>
    </row>
    <row ht="15" r="270" spans="1:40" x14ac:dyDescent="0.25">
      <c r="D270" s="454">
        <v>2</v>
      </c>
      <c r="E270" s="455">
        <f si="21" t="shared"/>
        <v>137.14285714285714</v>
      </c>
      <c r="F270" s="371">
        <f si="21" t="shared"/>
        <v>34.285714285714285</v>
      </c>
      <c r="G270" s="371">
        <f si="22" t="shared"/>
        <v>0.85</v>
      </c>
      <c r="H270" s="456">
        <f>+H269</f>
        <v>0</v>
      </c>
      <c r="I270" s="375">
        <f>+I269</f>
        <v>23200</v>
      </c>
      <c r="J270" s="375">
        <f>+J269</f>
        <v>24900</v>
      </c>
      <c r="K270" s="352">
        <f si="23" t="shared"/>
        <v>0.11817096959265634</v>
      </c>
      <c r="L270" s="457">
        <f si="24" t="shared"/>
        <v>0.5</v>
      </c>
      <c r="M270" s="373" t="e">
        <f>F270/(#REF!/L270)+E269/12</f>
        <v>#REF!</v>
      </c>
      <c r="N270" s="373">
        <f>F270/(K270/L270)+E270/12</f>
        <v>156.49683313404594</v>
      </c>
      <c r="O270" s="2"/>
      <c r="Q270" s="458" t="e">
        <f>#REF!/1000</f>
        <v>#REF!</v>
      </c>
      <c r="R270" s="458" t="e">
        <f>#REF!/1000</f>
        <v>#REF!</v>
      </c>
      <c r="S270" s="458" t="e">
        <f>MAX(Q270:R270)</f>
        <v>#REF!</v>
      </c>
      <c r="T270" s="459">
        <f>MAX(K269:K269)</f>
        <v>0.13845783132530121</v>
      </c>
      <c r="V270" s="1" t="e">
        <f>HLOOKUP(S270,D644:H650+D644:H646,D646:H646)</f>
        <v>#REF!</v>
      </c>
      <c r="AC270" s="339"/>
      <c r="AD270" s="339"/>
      <c r="AE270" s="339"/>
      <c r="AF270" s="339"/>
      <c r="AG270" s="339"/>
      <c r="AH270" s="339"/>
      <c r="AI270" s="339"/>
      <c r="AJ270" s="340"/>
      <c r="AL270" s="341"/>
      <c r="AN270" s="342"/>
    </row>
    <row ht="15" r="271" spans="1:40" x14ac:dyDescent="0.25">
      <c r="D271" s="454">
        <v>3</v>
      </c>
      <c r="E271" s="455">
        <f si="21" t="shared"/>
        <v>205.71428571428572</v>
      </c>
      <c r="F271" s="371">
        <f si="21" t="shared"/>
        <v>22.857142857142854</v>
      </c>
      <c r="G271" s="371">
        <f si="22" t="shared"/>
        <v>0.85</v>
      </c>
      <c r="H271" s="456">
        <f ref="H271:J276" si="25" t="shared">+H270</f>
        <v>0</v>
      </c>
      <c r="I271" s="375">
        <f si="25" t="shared"/>
        <v>23200</v>
      </c>
      <c r="J271" s="375">
        <f si="25" t="shared"/>
        <v>24900</v>
      </c>
      <c r="K271" s="352">
        <f si="23" t="shared"/>
        <v>7.7597246127366598E-2</v>
      </c>
      <c r="L271" s="457">
        <f si="24" t="shared"/>
        <v>0.375</v>
      </c>
      <c r="M271" s="373" t="e">
        <f>F271/(#REF!/L271)+(E270+E269)/12</f>
        <v>#REF!</v>
      </c>
      <c r="N271" s="373">
        <f>F271/(K271/L271)+(E270+E269)/12</f>
        <v>127.60333092513024</v>
      </c>
      <c r="O271" s="2"/>
      <c r="AC271" s="339"/>
      <c r="AD271" s="339"/>
      <c r="AE271" s="339"/>
      <c r="AF271" s="339"/>
      <c r="AG271" s="339"/>
      <c r="AH271" s="339"/>
      <c r="AI271" s="339"/>
      <c r="AJ271" s="305"/>
      <c r="AL271" s="341"/>
      <c r="AN271" s="342"/>
    </row>
    <row ht="15" r="272" spans="1:40" x14ac:dyDescent="0.25">
      <c r="D272" s="454">
        <v>4</v>
      </c>
      <c r="E272" s="455">
        <f si="21" t="shared"/>
        <v>274.28571428571428</v>
      </c>
      <c r="F272" s="371">
        <f si="21" t="shared"/>
        <v>5.7142857142857117</v>
      </c>
      <c r="G272" s="371">
        <f si="22" t="shared"/>
        <v>0.85</v>
      </c>
      <c r="H272" s="456">
        <f si="25" t="shared"/>
        <v>0</v>
      </c>
      <c r="I272" s="375">
        <f si="25" t="shared"/>
        <v>23200</v>
      </c>
      <c r="J272" s="375">
        <f si="25" t="shared"/>
        <v>24900</v>
      </c>
      <c r="K272" s="352">
        <f si="23" t="shared"/>
        <v>1.6736660929432007E-2</v>
      </c>
      <c r="L272" s="457">
        <f si="24" t="shared"/>
        <v>0.3125</v>
      </c>
      <c r="M272" s="373" t="e">
        <f>F272/(#REF!/L272)+(E271+E270+E269)/12</f>
        <v>#REF!</v>
      </c>
      <c r="N272" s="373">
        <f>F272/(K272/L272)+(E271+E270+E269)/12</f>
        <v>140.98049009813715</v>
      </c>
      <c r="O272" s="2"/>
      <c r="AC272" s="339"/>
      <c r="AD272" s="339"/>
      <c r="AE272" s="339"/>
      <c r="AF272" s="339"/>
      <c r="AG272" s="339"/>
      <c r="AH272" s="339"/>
      <c r="AI272" s="339"/>
      <c r="AJ272" s="305"/>
      <c r="AL272" s="341"/>
      <c r="AN272" s="342"/>
    </row>
    <row ht="15" r="273" spans="4:40" x14ac:dyDescent="0.25">
      <c r="D273" s="454">
        <v>5</v>
      </c>
      <c r="E273" s="455">
        <f si="21" t="shared"/>
        <v>342.85714285714289</v>
      </c>
      <c r="F273" s="371">
        <f si="21" t="shared"/>
        <v>-17.142857142857146</v>
      </c>
      <c r="G273" s="371">
        <f si="22" t="shared"/>
        <v>0.85</v>
      </c>
      <c r="H273" s="456">
        <f si="25" t="shared"/>
        <v>0</v>
      </c>
      <c r="I273" s="375">
        <f si="25" t="shared"/>
        <v>23200</v>
      </c>
      <c r="J273" s="375">
        <f si="25" t="shared"/>
        <v>24900</v>
      </c>
      <c r="K273" s="352">
        <f si="23" t="shared"/>
        <v>-6.4410786001147469E-2</v>
      </c>
      <c r="L273" s="457">
        <f si="24" t="shared"/>
        <v>0.3125</v>
      </c>
      <c r="M273" s="373" t="e">
        <f>F273/(#REF!/L273)+(E272+E271+E270+E269)/12</f>
        <v>#REF!</v>
      </c>
      <c r="N273" s="373">
        <f>F273/(K273/L273)+(E272+E271+E270+E269)/12</f>
        <v>140.31437529584818</v>
      </c>
      <c r="O273" s="2"/>
      <c r="P273" s="7"/>
      <c r="AC273" s="339"/>
      <c r="AD273" s="339"/>
      <c r="AE273" s="339"/>
      <c r="AF273" s="339"/>
      <c r="AG273" s="339"/>
      <c r="AH273" s="339"/>
      <c r="AI273" s="339"/>
      <c r="AJ273" s="305"/>
      <c r="AL273" s="341"/>
      <c r="AN273" s="342"/>
    </row>
    <row ht="15" r="274" spans="4:40" x14ac:dyDescent="0.25">
      <c r="D274" s="454">
        <v>6</v>
      </c>
      <c r="E274" s="455">
        <f si="21" t="shared"/>
        <v>411.42857142857144</v>
      </c>
      <c r="F274" s="371">
        <f si="21" t="shared"/>
        <v>-45.714285714285722</v>
      </c>
      <c r="G274" s="371">
        <f si="22" t="shared"/>
        <v>0.85</v>
      </c>
      <c r="H274" s="456">
        <f si="25" t="shared"/>
        <v>0</v>
      </c>
      <c r="I274" s="375">
        <f si="25" t="shared"/>
        <v>23200</v>
      </c>
      <c r="J274" s="375">
        <f si="25" t="shared"/>
        <v>24900</v>
      </c>
      <c r="K274" s="352">
        <f si="23" t="shared"/>
        <v>-0.16584509466437183</v>
      </c>
      <c r="L274" s="457">
        <f si="24" t="shared"/>
        <v>0</v>
      </c>
      <c r="M274" s="373" t="e">
        <f>IF(E274&lt;&gt;0,F274/(#REF!/L274)+(E273+E272+E271+E270+E269)/12,F269)</f>
        <v>#REF!</v>
      </c>
      <c r="N274" s="373" t="e">
        <f>IF(E274&lt;&gt;0,F274/(K274/L274)+(E273+E272+E271+E270+E269)/12,F269)</f>
        <v>#DIV/0!</v>
      </c>
      <c r="O274" s="2"/>
      <c r="P274" s="7"/>
      <c r="AC274" s="339"/>
      <c r="AD274" s="339"/>
      <c r="AE274" s="339"/>
      <c r="AF274" s="339"/>
      <c r="AG274" s="339"/>
      <c r="AH274" s="339"/>
      <c r="AI274" s="339"/>
      <c r="AJ274" s="340"/>
      <c r="AL274" s="341"/>
      <c r="AN274" s="342"/>
    </row>
    <row ht="15" r="275" spans="4:40" x14ac:dyDescent="0.25">
      <c r="D275" s="454">
        <v>7</v>
      </c>
      <c r="E275" s="455">
        <f si="21" t="shared"/>
        <v>480</v>
      </c>
      <c r="F275" s="371">
        <f si="21" t="shared"/>
        <v>-80</v>
      </c>
      <c r="G275" s="371">
        <f si="22" t="shared"/>
        <v>0.85</v>
      </c>
      <c r="H275" s="456">
        <f si="25" t="shared"/>
        <v>0</v>
      </c>
      <c r="I275" s="375">
        <f si="25" t="shared"/>
        <v>23200</v>
      </c>
      <c r="J275" s="375">
        <f si="25" t="shared"/>
        <v>24900</v>
      </c>
      <c r="K275" s="352">
        <f si="23" t="shared"/>
        <v>-0.28756626506024097</v>
      </c>
      <c r="L275" s="457">
        <f si="24" t="shared"/>
        <v>0</v>
      </c>
      <c r="M275" s="439" t="e">
        <f>IF(E275&lt;&gt;0,F275/(#REF!/L275)+(E274+E273+E272+E271+E270+E269)/12,F269)</f>
        <v>#REF!</v>
      </c>
      <c r="N275" s="439" t="e">
        <f>IF(E275&lt;&gt;0,F275/(K275/L275)+(E274+E273+E272+E271+E270+E269)/12,F269)</f>
        <v>#DIV/0!</v>
      </c>
      <c r="O275" s="4"/>
      <c r="P275" s="7"/>
      <c r="AC275" s="339"/>
      <c r="AD275" s="339"/>
      <c r="AE275" s="339"/>
      <c r="AF275" s="339"/>
      <c r="AG275" s="339"/>
      <c r="AH275" s="339"/>
      <c r="AI275" s="339"/>
      <c r="AJ275" s="305"/>
      <c r="AL275" s="341"/>
      <c r="AN275" s="342"/>
    </row>
    <row ht="15.75" r="276" spans="4:40" thickBot="1" x14ac:dyDescent="0.3">
      <c r="D276" s="460">
        <v>8</v>
      </c>
      <c r="E276" s="461" t="e">
        <f>+#REF!</f>
        <v>#REF!</v>
      </c>
      <c r="F276" s="385" t="e">
        <f>+#REF!</f>
        <v>#REF!</v>
      </c>
      <c r="G276" s="385">
        <f si="22" t="shared"/>
        <v>0.85</v>
      </c>
      <c r="H276" s="462">
        <f si="25" t="shared"/>
        <v>0</v>
      </c>
      <c r="I276" s="379">
        <f si="25" t="shared"/>
        <v>23200</v>
      </c>
      <c r="J276" s="379">
        <f si="25" t="shared"/>
        <v>24900</v>
      </c>
      <c r="K276" s="463" t="e">
        <f si="23" t="shared"/>
        <v>#REF!</v>
      </c>
      <c r="L276" s="464">
        <f>+P259</f>
        <v>0</v>
      </c>
      <c r="M276" s="465" t="e">
        <f>IF(E276&lt;&gt;0,F276/(#REF!/L276)+(E275+E274+E273+E272+E271+E270+E269)/12,F269)</f>
        <v>#REF!</v>
      </c>
      <c r="N276" s="465" t="e">
        <f>IF(E276&lt;&gt;0,F276/(K276/L276)+(E275+E274+E273+E272+E271+E270+E269)/12,F269)</f>
        <v>#REF!</v>
      </c>
      <c r="O276" s="4"/>
      <c r="P276" s="7"/>
      <c r="AC276" s="339"/>
      <c r="AD276" s="339"/>
      <c r="AE276" s="339"/>
      <c r="AF276" s="339"/>
      <c r="AG276" s="339"/>
      <c r="AH276" s="339"/>
      <c r="AI276" s="339"/>
      <c r="AJ276" s="305"/>
      <c r="AL276" s="341"/>
      <c r="AN276" s="342"/>
    </row>
    <row ht="15.75" r="277" spans="4:40" thickBot="1" x14ac:dyDescent="0.3">
      <c r="D277" s="407" t="s">
        <v>173</v>
      </c>
      <c r="E277" s="406" t="e">
        <f>SUM(E269:E276)/12</f>
        <v>#REF!</v>
      </c>
      <c r="F277" s="409"/>
      <c r="G277" s="409"/>
      <c r="H277" s="466"/>
      <c r="I277" s="410"/>
      <c r="J277" s="410"/>
      <c r="K277" s="414"/>
      <c r="L277" s="467" t="s">
        <v>187</v>
      </c>
      <c r="M277" s="468" t="e">
        <f>MIN(M269:M276)</f>
        <v>#REF!</v>
      </c>
      <c r="N277" s="469" t="e">
        <f>MIN(N269:N276)</f>
        <v>#DIV/0!</v>
      </c>
      <c r="O277" s="2"/>
      <c r="AC277" s="339"/>
      <c r="AD277" s="339"/>
      <c r="AE277" s="339"/>
      <c r="AF277" s="339"/>
      <c r="AG277" s="339"/>
      <c r="AH277" s="339"/>
      <c r="AI277" s="339"/>
      <c r="AJ277" s="305"/>
      <c r="AL277" s="341"/>
      <c r="AN277" s="342"/>
    </row>
    <row ht="15.75" r="278" spans="4:40" thickBot="1" x14ac:dyDescent="0.3">
      <c r="E278" s="1"/>
      <c r="F278" s="1"/>
      <c r="G278" s="1"/>
      <c r="H278" s="305"/>
      <c r="I278" s="1"/>
      <c r="J278" s="1"/>
      <c r="Q278" s="441"/>
      <c r="R278" s="441"/>
      <c r="S278" s="441"/>
      <c r="T278" s="441"/>
      <c r="U278" s="441"/>
      <c r="V278" s="8"/>
      <c r="AC278" s="339"/>
      <c r="AD278" s="339"/>
      <c r="AE278" s="339"/>
      <c r="AF278" s="339"/>
      <c r="AG278" s="339"/>
      <c r="AH278" s="339"/>
      <c r="AI278" s="339"/>
      <c r="AJ278" s="340"/>
      <c r="AL278" s="341"/>
      <c r="AN278" s="342"/>
    </row>
    <row r="279" spans="4:40" x14ac:dyDescent="0.2">
      <c r="D279" s="426" t="s">
        <v>174</v>
      </c>
      <c r="E279" s="427" t="s">
        <v>164</v>
      </c>
      <c r="F279" s="428"/>
      <c r="G279" s="428"/>
      <c r="H279" s="470" t="s">
        <v>175</v>
      </c>
      <c r="I279" s="430" t="s">
        <v>176</v>
      </c>
      <c r="J279" s="431"/>
      <c r="K279" s="432"/>
      <c r="L279" s="471"/>
      <c r="Q279" s="8"/>
      <c r="R279" s="8"/>
      <c r="S279" s="8"/>
      <c r="T279" s="8"/>
      <c r="U279" s="8"/>
      <c r="V279" s="8"/>
      <c r="AJ279" s="305"/>
      <c r="AL279" s="341"/>
      <c r="AN279" s="342"/>
    </row>
    <row r="280" spans="4:40" x14ac:dyDescent="0.2">
      <c r="D280" s="472" t="s">
        <v>188</v>
      </c>
      <c r="E280" s="367" t="s">
        <v>144</v>
      </c>
      <c r="F280" s="436" t="s">
        <v>145</v>
      </c>
      <c r="G280" s="436" t="s">
        <v>178</v>
      </c>
      <c r="H280" s="370" t="s">
        <v>179</v>
      </c>
      <c r="I280" s="437" t="s">
        <v>180</v>
      </c>
      <c r="J280" s="437" t="s">
        <v>153</v>
      </c>
      <c r="K280" s="368" t="s">
        <v>153</v>
      </c>
      <c r="L280" s="473" t="s">
        <v>27</v>
      </c>
      <c r="P280" s="7"/>
      <c r="AJ280" s="305"/>
      <c r="AL280" s="341"/>
      <c r="AN280" s="342"/>
    </row>
    <row ht="13.5" r="281" spans="4:40" thickBot="1" x14ac:dyDescent="0.25">
      <c r="D281" s="442" t="s">
        <v>33</v>
      </c>
      <c r="E281" s="443" t="s">
        <v>42</v>
      </c>
      <c r="F281" s="443" t="s">
        <v>43</v>
      </c>
      <c r="G281" s="443" t="s">
        <v>53</v>
      </c>
      <c r="H281" s="474" t="s">
        <v>63</v>
      </c>
      <c r="I281" s="445" t="s">
        <v>160</v>
      </c>
      <c r="J281" s="445" t="s">
        <v>160</v>
      </c>
      <c r="K281" s="446" t="s">
        <v>42</v>
      </c>
      <c r="L281" s="448" t="s">
        <v>42</v>
      </c>
      <c r="P281" s="7"/>
      <c r="AJ281" s="305"/>
      <c r="AL281" s="341"/>
      <c r="AN281" s="342"/>
    </row>
    <row ht="15" r="282" spans="4:40" x14ac:dyDescent="0.25">
      <c r="D282" s="454">
        <v>1</v>
      </c>
      <c r="E282" s="455">
        <f ref="E282:E288" si="26" t="shared">E252</f>
        <v>68.571428571428569</v>
      </c>
      <c r="F282" s="371">
        <f>+F269</f>
        <v>40</v>
      </c>
      <c r="G282" s="371">
        <f>+G269</f>
        <v>0.85</v>
      </c>
      <c r="H282" s="456">
        <f>+H269</f>
        <v>0</v>
      </c>
      <c r="I282" s="375">
        <f>I269</f>
        <v>23200</v>
      </c>
      <c r="J282" s="375">
        <f>J269</f>
        <v>24900</v>
      </c>
      <c r="K282" s="363">
        <f>BI345</f>
        <v>0.375</v>
      </c>
      <c r="L282" s="475">
        <f ref="L282:L289" si="27" t="shared">L269</f>
        <v>0.625</v>
      </c>
      <c r="P282" s="7"/>
      <c r="AJ282" s="340"/>
      <c r="AL282" s="341"/>
      <c r="AN282" s="342"/>
    </row>
    <row r="283" spans="4:40" x14ac:dyDescent="0.2">
      <c r="D283" s="454">
        <v>2</v>
      </c>
      <c r="E283" s="455">
        <f si="26" t="shared"/>
        <v>137.14285714285714</v>
      </c>
      <c r="F283" s="371">
        <f ref="F283:G287" si="28" t="shared">+F270</f>
        <v>34.285714285714285</v>
      </c>
      <c r="G283" s="371">
        <f si="28" t="shared"/>
        <v>0.85</v>
      </c>
      <c r="H283" s="456">
        <f>+H282</f>
        <v>0</v>
      </c>
      <c r="I283" s="375">
        <f>+I282</f>
        <v>23200</v>
      </c>
      <c r="J283" s="375">
        <f>+J282</f>
        <v>24900</v>
      </c>
      <c r="K283" s="363">
        <f ref="K283:K289" si="29" t="shared">BI346</f>
        <v>0.375</v>
      </c>
      <c r="L283" s="476">
        <f si="27" t="shared"/>
        <v>0.5</v>
      </c>
      <c r="P283" s="7"/>
      <c r="AJ283" s="305"/>
      <c r="AL283" s="341"/>
      <c r="AN283" s="342"/>
    </row>
    <row r="284" spans="4:40" x14ac:dyDescent="0.2">
      <c r="D284" s="454">
        <v>3</v>
      </c>
      <c r="E284" s="455">
        <f si="26" t="shared"/>
        <v>205.71428571428572</v>
      </c>
      <c r="F284" s="371">
        <f si="28" t="shared"/>
        <v>22.857142857142854</v>
      </c>
      <c r="G284" s="371">
        <f si="28" t="shared"/>
        <v>0.85</v>
      </c>
      <c r="H284" s="456">
        <f ref="H284:J289" si="30" t="shared">+H283</f>
        <v>0</v>
      </c>
      <c r="I284" s="375">
        <f si="30" t="shared"/>
        <v>23200</v>
      </c>
      <c r="J284" s="375">
        <f si="30" t="shared"/>
        <v>24900</v>
      </c>
      <c r="K284" s="363" t="e">
        <f si="29" t="shared"/>
        <v>#NUM!</v>
      </c>
      <c r="L284" s="476">
        <f si="27" t="shared"/>
        <v>0.375</v>
      </c>
      <c r="P284" s="7"/>
      <c r="AJ284" s="305"/>
      <c r="AL284" s="341"/>
      <c r="AM284" s="342"/>
    </row>
    <row r="285" spans="4:40" x14ac:dyDescent="0.2">
      <c r="D285" s="454">
        <v>4</v>
      </c>
      <c r="E285" s="455">
        <f si="26" t="shared"/>
        <v>274.28571428571428</v>
      </c>
      <c r="F285" s="371">
        <f si="28" t="shared"/>
        <v>5.7142857142857117</v>
      </c>
      <c r="G285" s="371">
        <f si="28" t="shared"/>
        <v>0.85</v>
      </c>
      <c r="H285" s="456">
        <f si="30" t="shared"/>
        <v>0</v>
      </c>
      <c r="I285" s="375">
        <f si="30" t="shared"/>
        <v>23200</v>
      </c>
      <c r="J285" s="375">
        <f si="30" t="shared"/>
        <v>24900</v>
      </c>
      <c r="K285" s="363" t="e">
        <f si="29" t="shared"/>
        <v>#NUM!</v>
      </c>
      <c r="L285" s="476">
        <f si="27" t="shared"/>
        <v>0.3125</v>
      </c>
      <c r="P285" s="7"/>
      <c r="AJ285" s="305"/>
      <c r="AL285" s="341"/>
      <c r="AM285" s="342"/>
    </row>
    <row ht="15" r="286" spans="4:40" x14ac:dyDescent="0.25">
      <c r="D286" s="454">
        <v>5</v>
      </c>
      <c r="E286" s="455">
        <f si="26" t="shared"/>
        <v>342.85714285714289</v>
      </c>
      <c r="F286" s="371">
        <f si="28" t="shared"/>
        <v>-17.142857142857146</v>
      </c>
      <c r="G286" s="371">
        <f si="28" t="shared"/>
        <v>0.85</v>
      </c>
      <c r="H286" s="456">
        <f si="30" t="shared"/>
        <v>0</v>
      </c>
      <c r="I286" s="375">
        <f si="30" t="shared"/>
        <v>23200</v>
      </c>
      <c r="J286" s="375">
        <f si="30" t="shared"/>
        <v>24900</v>
      </c>
      <c r="K286" s="363" t="e">
        <f si="29" t="shared"/>
        <v>#NUM!</v>
      </c>
      <c r="L286" s="476">
        <f si="27" t="shared"/>
        <v>0.3125</v>
      </c>
      <c r="P286" s="7"/>
      <c r="AJ286" s="340"/>
      <c r="AL286" s="341"/>
      <c r="AM286" s="342"/>
      <c r="AN286" s="342"/>
    </row>
    <row r="287" spans="4:40" x14ac:dyDescent="0.2">
      <c r="D287" s="454">
        <v>6</v>
      </c>
      <c r="E287" s="455">
        <f si="26" t="shared"/>
        <v>411.42857142857144</v>
      </c>
      <c r="F287" s="371">
        <f si="28" t="shared"/>
        <v>-45.714285714285722</v>
      </c>
      <c r="G287" s="371">
        <f si="28" t="shared"/>
        <v>0.85</v>
      </c>
      <c r="H287" s="456">
        <f si="30" t="shared"/>
        <v>0</v>
      </c>
      <c r="I287" s="375">
        <f si="30" t="shared"/>
        <v>23200</v>
      </c>
      <c r="J287" s="375">
        <f si="30" t="shared"/>
        <v>24900</v>
      </c>
      <c r="K287" s="363" t="e">
        <f si="29" t="shared"/>
        <v>#NUM!</v>
      </c>
      <c r="L287" s="476">
        <f si="27" t="shared"/>
        <v>0</v>
      </c>
      <c r="P287" s="7"/>
      <c r="AJ287" s="305"/>
      <c r="AL287" s="341"/>
      <c r="AM287" s="342"/>
      <c r="AN287" s="342"/>
    </row>
    <row r="288" spans="4:40" x14ac:dyDescent="0.2">
      <c r="D288" s="454">
        <v>7</v>
      </c>
      <c r="E288" s="455">
        <f si="26" t="shared"/>
        <v>480</v>
      </c>
      <c r="F288" s="371">
        <f>+F275</f>
        <v>-80</v>
      </c>
      <c r="G288" s="371">
        <f>+G275</f>
        <v>0.85</v>
      </c>
      <c r="H288" s="456">
        <f si="30" t="shared"/>
        <v>0</v>
      </c>
      <c r="I288" s="375">
        <f si="30" t="shared"/>
        <v>23200</v>
      </c>
      <c r="J288" s="375">
        <f si="30" t="shared"/>
        <v>24900</v>
      </c>
      <c r="K288" s="363" t="e">
        <f si="29" t="shared"/>
        <v>#NUM!</v>
      </c>
      <c r="L288" s="476">
        <f si="27" t="shared"/>
        <v>0</v>
      </c>
      <c r="AJ288" s="305"/>
      <c r="AL288" s="341"/>
      <c r="AM288" s="342"/>
      <c r="AN288" s="342"/>
    </row>
    <row ht="13.5" r="289" spans="4:40" thickBot="1" x14ac:dyDescent="0.25">
      <c r="D289" s="454">
        <v>8</v>
      </c>
      <c r="E289" s="455" t="e">
        <f>#REF!</f>
        <v>#REF!</v>
      </c>
      <c r="F289" s="371" t="e">
        <f>+F276</f>
        <v>#REF!</v>
      </c>
      <c r="G289" s="371">
        <f>+G276</f>
        <v>0.85</v>
      </c>
      <c r="H289" s="456">
        <f si="30" t="shared"/>
        <v>0</v>
      </c>
      <c r="I289" s="375">
        <f si="30" t="shared"/>
        <v>23200</v>
      </c>
      <c r="J289" s="375">
        <f si="30" t="shared"/>
        <v>24900</v>
      </c>
      <c r="K289" s="363" t="e">
        <f si="29" t="shared"/>
        <v>#NUM!</v>
      </c>
      <c r="L289" s="476">
        <f si="27" t="shared"/>
        <v>0</v>
      </c>
      <c r="AJ289" s="305"/>
      <c r="AL289" s="341"/>
      <c r="AM289" s="342"/>
      <c r="AN289" s="342"/>
    </row>
    <row ht="15.75" r="290" spans="4:40" thickBot="1" x14ac:dyDescent="0.3">
      <c r="D290" s="407" t="s">
        <v>173</v>
      </c>
      <c r="E290" s="406" t="e">
        <f>SUM(E282:E289)/12</f>
        <v>#REF!</v>
      </c>
      <c r="F290" s="409"/>
      <c r="G290" s="409"/>
      <c r="H290" s="410"/>
      <c r="I290" s="410"/>
      <c r="J290" s="410"/>
      <c r="K290" s="414"/>
      <c r="L290" s="477" t="s">
        <v>184</v>
      </c>
      <c r="M290" s="1"/>
      <c r="AJ290" s="340"/>
      <c r="AL290" s="341"/>
      <c r="AM290" s="342"/>
      <c r="AN290" s="342"/>
    </row>
    <row r="291" spans="4:40" x14ac:dyDescent="0.2">
      <c r="D291" s="478" t="s">
        <v>106</v>
      </c>
      <c r="E291" s="479"/>
      <c r="F291" s="480"/>
      <c r="G291" s="480"/>
      <c r="H291" s="481"/>
      <c r="I291" s="481"/>
      <c r="J291" s="481"/>
      <c r="K291" s="482"/>
      <c r="L291" s="483"/>
      <c r="M291" s="1"/>
      <c r="AJ291" s="305"/>
      <c r="AL291" s="341"/>
      <c r="AM291" s="342"/>
      <c r="AN291" s="342"/>
    </row>
    <row r="292" spans="4:40" x14ac:dyDescent="0.2">
      <c r="D292" s="472" t="s">
        <v>188</v>
      </c>
      <c r="E292" s="367" t="s">
        <v>144</v>
      </c>
      <c r="F292" s="436" t="s">
        <v>145</v>
      </c>
      <c r="G292" s="436" t="s">
        <v>178</v>
      </c>
      <c r="H292" s="371" t="s">
        <v>179</v>
      </c>
      <c r="I292" s="437" t="s">
        <v>180</v>
      </c>
      <c r="J292" s="437" t="s">
        <v>153</v>
      </c>
      <c r="K292" s="368" t="s">
        <v>153</v>
      </c>
      <c r="L292" s="473" t="s">
        <v>27</v>
      </c>
      <c r="M292" s="4"/>
      <c r="N292" s="4"/>
      <c r="O292" s="4"/>
      <c r="Q292" s="4"/>
      <c r="AJ292" s="305"/>
      <c r="AL292" s="341"/>
      <c r="AM292" s="342"/>
      <c r="AN292" s="342"/>
    </row>
    <row ht="13.5" r="293" spans="4:40" thickBot="1" x14ac:dyDescent="0.25">
      <c r="D293" s="484" t="s">
        <v>33</v>
      </c>
      <c r="E293" s="443" t="s">
        <v>42</v>
      </c>
      <c r="F293" s="443" t="s">
        <v>43</v>
      </c>
      <c r="G293" s="443" t="s">
        <v>53</v>
      </c>
      <c r="H293" s="444" t="s">
        <v>63</v>
      </c>
      <c r="I293" s="445" t="s">
        <v>160</v>
      </c>
      <c r="J293" s="445" t="s">
        <v>160</v>
      </c>
      <c r="K293" s="446" t="s">
        <v>42</v>
      </c>
      <c r="L293" s="448" t="s">
        <v>42</v>
      </c>
      <c r="M293" s="485"/>
      <c r="N293" s="217"/>
      <c r="O293" s="217"/>
      <c r="P293" s="217"/>
      <c r="Q293" s="217"/>
      <c r="R293" s="217"/>
      <c r="S293" s="217"/>
      <c r="T293" s="217"/>
      <c r="AJ293" s="305"/>
      <c r="AL293" s="341"/>
      <c r="AM293" s="342"/>
      <c r="AN293" s="342"/>
    </row>
    <row ht="15" r="294" spans="4:40" x14ac:dyDescent="0.25">
      <c r="D294" s="454">
        <v>1</v>
      </c>
      <c r="E294" s="455">
        <f ref="E294:E300" si="31" t="shared">E252</f>
        <v>68.571428571428569</v>
      </c>
      <c r="F294" s="371">
        <f>+Fill_Height</f>
        <v>40</v>
      </c>
      <c r="G294" s="371">
        <f>G282</f>
        <v>0.85</v>
      </c>
      <c r="H294" s="456">
        <v>0</v>
      </c>
      <c r="I294" s="375" t="e">
        <f>J252</f>
        <v>#REF!</v>
      </c>
      <c r="J294" s="375">
        <f>J282</f>
        <v>24900</v>
      </c>
      <c r="K294" s="352">
        <f>BI333</f>
        <v>0.375</v>
      </c>
      <c r="L294" s="475">
        <f>+L269</f>
        <v>0.625</v>
      </c>
      <c r="M294" s="1"/>
      <c r="AJ294" s="340"/>
      <c r="AL294" s="341"/>
      <c r="AM294" s="342"/>
      <c r="AN294" s="342"/>
    </row>
    <row r="295" spans="4:40" x14ac:dyDescent="0.2">
      <c r="D295" s="454">
        <v>2</v>
      </c>
      <c r="E295" s="455">
        <f si="31" t="shared"/>
        <v>137.14285714285714</v>
      </c>
      <c r="F295" s="371">
        <f>+F294-E294/12</f>
        <v>34.285714285714285</v>
      </c>
      <c r="G295" s="371">
        <f>G283</f>
        <v>0.85</v>
      </c>
      <c r="H295" s="456">
        <f>+H294</f>
        <v>0</v>
      </c>
      <c r="I295" s="375" t="e">
        <f>J253</f>
        <v>#REF!</v>
      </c>
      <c r="J295" s="375">
        <f>J283</f>
        <v>24900</v>
      </c>
      <c r="K295" s="352">
        <f ref="K295:K301" si="32" t="shared">BI334</f>
        <v>0.375</v>
      </c>
      <c r="L295" s="475">
        <f ref="L295:L300" si="33" t="shared">+L270</f>
        <v>0.5</v>
      </c>
      <c r="M295" s="1"/>
      <c r="AJ295" s="305"/>
      <c r="AL295" s="341"/>
      <c r="AM295" s="342"/>
      <c r="AN295" s="342"/>
    </row>
    <row r="296" spans="4:40" x14ac:dyDescent="0.2">
      <c r="D296" s="454">
        <v>3</v>
      </c>
      <c r="E296" s="455">
        <f si="31" t="shared"/>
        <v>205.71428571428572</v>
      </c>
      <c r="F296" s="371">
        <f ref="F296:F301" si="34" t="shared">+F295-E295/12</f>
        <v>22.857142857142854</v>
      </c>
      <c r="G296" s="371">
        <f ref="G296:G301" si="35" t="shared">G284</f>
        <v>0.85</v>
      </c>
      <c r="H296" s="456">
        <f ref="H296:H301" si="36" t="shared">+H295</f>
        <v>0</v>
      </c>
      <c r="I296" s="375" t="e">
        <f>J254</f>
        <v>#REF!</v>
      </c>
      <c r="J296" s="375">
        <f ref="I296:K301" si="37" t="shared">J284</f>
        <v>24900</v>
      </c>
      <c r="K296" s="352" t="e">
        <f si="32" t="shared"/>
        <v>#REF!</v>
      </c>
      <c r="L296" s="475">
        <f si="33" t="shared"/>
        <v>0.375</v>
      </c>
      <c r="M296" s="1"/>
      <c r="AJ296" s="305"/>
      <c r="AL296" s="341"/>
      <c r="AM296" s="342"/>
      <c r="AN296" s="342"/>
    </row>
    <row r="297" spans="4:40" x14ac:dyDescent="0.2">
      <c r="D297" s="454">
        <v>4</v>
      </c>
      <c r="E297" s="455">
        <f si="31" t="shared"/>
        <v>274.28571428571428</v>
      </c>
      <c r="F297" s="371">
        <f si="34" t="shared"/>
        <v>5.7142857142857117</v>
      </c>
      <c r="G297" s="371">
        <f si="35" t="shared"/>
        <v>0.85</v>
      </c>
      <c r="H297" s="456">
        <f si="36" t="shared"/>
        <v>0</v>
      </c>
      <c r="I297" s="375" t="e">
        <f>I296</f>
        <v>#REF!</v>
      </c>
      <c r="J297" s="375">
        <f si="37" t="shared"/>
        <v>24900</v>
      </c>
      <c r="K297" s="352" t="e">
        <f si="32" t="shared"/>
        <v>#REF!</v>
      </c>
      <c r="L297" s="475">
        <f si="33" t="shared"/>
        <v>0.3125</v>
      </c>
      <c r="M297" s="1"/>
      <c r="AJ297" s="305"/>
      <c r="AL297" s="341"/>
      <c r="AM297" s="342"/>
      <c r="AN297" s="342"/>
    </row>
    <row ht="15" r="298" spans="4:40" x14ac:dyDescent="0.25">
      <c r="D298" s="454">
        <v>5</v>
      </c>
      <c r="E298" s="455">
        <f si="31" t="shared"/>
        <v>342.85714285714289</v>
      </c>
      <c r="F298" s="371">
        <f si="34" t="shared"/>
        <v>-17.142857142857146</v>
      </c>
      <c r="G298" s="371">
        <f si="35" t="shared"/>
        <v>0.85</v>
      </c>
      <c r="H298" s="456">
        <f si="36" t="shared"/>
        <v>0</v>
      </c>
      <c r="I298" s="375" t="e">
        <f>I297</f>
        <v>#REF!</v>
      </c>
      <c r="J298" s="375">
        <f si="37" t="shared"/>
        <v>24900</v>
      </c>
      <c r="K298" s="352" t="e">
        <f si="32" t="shared"/>
        <v>#REF!</v>
      </c>
      <c r="L298" s="475">
        <f si="33" t="shared"/>
        <v>0.3125</v>
      </c>
      <c r="M298" s="1"/>
      <c r="AJ298" s="340"/>
      <c r="AL298" s="341"/>
      <c r="AM298" s="342"/>
      <c r="AN298" s="342"/>
    </row>
    <row r="299" spans="4:40" x14ac:dyDescent="0.2">
      <c r="D299" s="454">
        <v>6</v>
      </c>
      <c r="E299" s="455">
        <f si="31" t="shared"/>
        <v>411.42857142857144</v>
      </c>
      <c r="F299" s="371">
        <f si="34" t="shared"/>
        <v>-45.714285714285722</v>
      </c>
      <c r="G299" s="371">
        <f si="35" t="shared"/>
        <v>0.85</v>
      </c>
      <c r="H299" s="456">
        <f si="36" t="shared"/>
        <v>0</v>
      </c>
      <c r="I299" s="375" t="e">
        <f>J257</f>
        <v>#REF!</v>
      </c>
      <c r="J299" s="375">
        <f si="37" t="shared"/>
        <v>24900</v>
      </c>
      <c r="K299" s="352" t="e">
        <f si="32" t="shared"/>
        <v>#REF!</v>
      </c>
      <c r="L299" s="475">
        <f si="33" t="shared"/>
        <v>0</v>
      </c>
      <c r="M299" s="1"/>
      <c r="AJ299" s="305"/>
      <c r="AL299" s="341"/>
      <c r="AM299" s="342"/>
      <c r="AN299" s="342"/>
    </row>
    <row r="300" spans="4:40" x14ac:dyDescent="0.2">
      <c r="D300" s="454">
        <v>7</v>
      </c>
      <c r="E300" s="455">
        <f si="31" t="shared"/>
        <v>480</v>
      </c>
      <c r="F300" s="371">
        <f si="34" t="shared"/>
        <v>-80</v>
      </c>
      <c r="G300" s="371">
        <f si="35" t="shared"/>
        <v>0.85</v>
      </c>
      <c r="H300" s="456">
        <f si="36" t="shared"/>
        <v>0</v>
      </c>
      <c r="I300" s="375" t="e">
        <f>I299</f>
        <v>#REF!</v>
      </c>
      <c r="J300" s="375">
        <f si="37" t="shared"/>
        <v>24900</v>
      </c>
      <c r="K300" s="352" t="e">
        <f si="32" t="shared"/>
        <v>#REF!</v>
      </c>
      <c r="L300" s="475">
        <f si="33" t="shared"/>
        <v>0</v>
      </c>
      <c r="M300" s="1"/>
      <c r="AJ300" s="305"/>
      <c r="AL300" s="341"/>
      <c r="AM300" s="342"/>
      <c r="AN300" s="342"/>
    </row>
    <row ht="13.5" r="301" spans="4:40" thickBot="1" x14ac:dyDescent="0.25">
      <c r="D301" s="454">
        <v>8</v>
      </c>
      <c r="E301" s="455" t="e">
        <f>#REF!</f>
        <v>#REF!</v>
      </c>
      <c r="F301" s="371">
        <f si="34" t="shared"/>
        <v>-120</v>
      </c>
      <c r="G301" s="371">
        <f si="35" t="shared"/>
        <v>0.85</v>
      </c>
      <c r="H301" s="456">
        <f si="36" t="shared"/>
        <v>0</v>
      </c>
      <c r="I301" s="375">
        <f si="37" t="shared"/>
        <v>23200</v>
      </c>
      <c r="J301" s="375">
        <f si="37" t="shared"/>
        <v>24900</v>
      </c>
      <c r="K301" s="352" t="e">
        <f si="32" t="shared"/>
        <v>#REF!</v>
      </c>
      <c r="L301" s="475">
        <f>+L276</f>
        <v>0</v>
      </c>
      <c r="M301" s="1"/>
      <c r="AJ301" s="305"/>
      <c r="AL301" s="341"/>
      <c r="AM301" s="342"/>
      <c r="AN301" s="342"/>
    </row>
    <row ht="15.75" r="302" spans="4:40" thickBot="1" x14ac:dyDescent="0.3">
      <c r="D302" s="407" t="s">
        <v>173</v>
      </c>
      <c r="E302" s="406" t="e">
        <f>SUM(E294:E301)/12</f>
        <v>#REF!</v>
      </c>
      <c r="F302" s="409"/>
      <c r="G302" s="409"/>
      <c r="H302" s="410"/>
      <c r="I302" s="410"/>
      <c r="J302" s="410"/>
      <c r="K302" s="414"/>
      <c r="L302" s="477" t="s">
        <v>184</v>
      </c>
      <c r="M302" s="1"/>
      <c r="AJ302" s="340"/>
      <c r="AL302" s="341"/>
      <c r="AM302" s="342"/>
      <c r="AN302" s="342"/>
    </row>
    <row r="303" spans="4:40" x14ac:dyDescent="0.2">
      <c r="AJ303" s="305"/>
      <c r="AL303" s="341"/>
      <c r="AM303" s="342"/>
      <c r="AN303" s="342"/>
    </row>
    <row r="304" spans="4:40" x14ac:dyDescent="0.2">
      <c r="AJ304" s="305"/>
      <c r="AL304" s="341"/>
      <c r="AM304" s="342"/>
      <c r="AN304" s="342"/>
    </row>
    <row r="305" spans="5:40" x14ac:dyDescent="0.2">
      <c r="E305" s="1"/>
      <c r="F305" s="1"/>
      <c r="G305" s="1"/>
      <c r="H305" s="1"/>
      <c r="I305" s="1"/>
      <c r="J305" s="1"/>
      <c r="AJ305" s="305"/>
      <c r="AL305" s="341"/>
      <c r="AM305" s="342"/>
      <c r="AN305" s="342"/>
    </row>
    <row ht="15" r="306" spans="5:40" x14ac:dyDescent="0.25">
      <c r="E306" s="1"/>
      <c r="F306" s="1"/>
      <c r="G306" s="1"/>
      <c r="H306" s="1"/>
      <c r="I306" s="1"/>
      <c r="J306" s="1"/>
      <c r="AJ306" s="340"/>
      <c r="AL306" s="341"/>
      <c r="AM306" s="342"/>
      <c r="AN306" s="342"/>
    </row>
    <row r="307" spans="5:40" x14ac:dyDescent="0.2">
      <c r="E307" s="1"/>
      <c r="F307" s="1"/>
      <c r="G307" s="1"/>
      <c r="H307" s="1"/>
      <c r="I307" s="1"/>
      <c r="J307" s="1"/>
      <c r="AJ307" s="305"/>
      <c r="AL307" s="341"/>
      <c r="AM307" s="342"/>
      <c r="AN307" s="342"/>
    </row>
    <row r="308" spans="5:40" x14ac:dyDescent="0.2">
      <c r="E308" s="1"/>
      <c r="F308" s="1"/>
      <c r="G308" s="1"/>
      <c r="H308" s="1"/>
      <c r="I308" s="1"/>
      <c r="J308" s="1"/>
      <c r="AJ308" s="305"/>
      <c r="AL308" s="341"/>
      <c r="AM308" s="342"/>
      <c r="AN308" s="342"/>
    </row>
    <row r="309" spans="5:40" x14ac:dyDescent="0.2">
      <c r="E309" s="1"/>
      <c r="F309" s="1"/>
      <c r="G309" s="1"/>
      <c r="H309" s="1"/>
      <c r="I309" s="1"/>
      <c r="J309" s="1"/>
      <c r="AJ309" s="305"/>
      <c r="AL309" s="341"/>
      <c r="AM309" s="342"/>
      <c r="AN309" s="342"/>
    </row>
    <row ht="15" r="310" spans="5:40" x14ac:dyDescent="0.25">
      <c r="E310" s="1"/>
      <c r="F310" s="1"/>
      <c r="G310" s="1"/>
      <c r="H310" s="1"/>
      <c r="I310" s="1"/>
      <c r="J310" s="1"/>
      <c r="AJ310" s="340"/>
      <c r="AL310" s="341"/>
      <c r="AM310" s="342"/>
      <c r="AN310" s="342"/>
    </row>
    <row r="311" spans="5:40" x14ac:dyDescent="0.2">
      <c r="E311" s="1"/>
      <c r="F311" s="1"/>
      <c r="G311" s="1"/>
      <c r="H311" s="1"/>
      <c r="I311" s="1"/>
      <c r="J311" s="1"/>
      <c r="AJ311" s="305"/>
      <c r="AL311" s="341"/>
      <c r="AM311" s="342"/>
      <c r="AN311" s="342"/>
    </row>
    <row r="312" spans="5:40" x14ac:dyDescent="0.2">
      <c r="E312" s="1"/>
      <c r="F312" s="1"/>
      <c r="G312" s="1"/>
      <c r="H312" s="1"/>
      <c r="I312" s="1"/>
      <c r="J312" s="1"/>
      <c r="AJ312" s="305"/>
      <c r="AL312" s="341"/>
      <c r="AM312" s="342"/>
      <c r="AN312" s="342"/>
    </row>
    <row r="313" spans="5:40" x14ac:dyDescent="0.2">
      <c r="E313" s="1"/>
      <c r="F313" s="1"/>
      <c r="G313" s="1"/>
      <c r="H313" s="1"/>
      <c r="I313" s="1"/>
      <c r="J313" s="1"/>
      <c r="AJ313" s="305"/>
      <c r="AL313" s="341"/>
      <c r="AM313" s="342"/>
      <c r="AN313" s="342"/>
    </row>
    <row ht="15" r="314" spans="5:40" x14ac:dyDescent="0.25">
      <c r="E314" s="1"/>
      <c r="F314" s="1"/>
      <c r="G314" s="1"/>
      <c r="H314" s="1"/>
      <c r="I314" s="1"/>
      <c r="J314" s="1"/>
      <c r="AJ314" s="340"/>
      <c r="AL314" s="341"/>
      <c r="AM314" s="342"/>
      <c r="AN314" s="342"/>
    </row>
    <row r="315" spans="5:40" x14ac:dyDescent="0.2">
      <c r="E315" s="1"/>
      <c r="F315" s="1"/>
      <c r="G315" s="1"/>
      <c r="H315" s="1"/>
      <c r="I315" s="1"/>
      <c r="J315" s="1"/>
      <c r="AJ315" s="305"/>
      <c r="AL315" s="341"/>
      <c r="AM315" s="342"/>
      <c r="AN315" s="342"/>
    </row>
    <row r="316" spans="5:40" x14ac:dyDescent="0.2">
      <c r="E316" s="1"/>
      <c r="F316" s="1"/>
      <c r="G316" s="1"/>
      <c r="H316" s="1"/>
      <c r="I316" s="1"/>
      <c r="J316" s="1"/>
      <c r="AJ316" s="305"/>
      <c r="AL316" s="341"/>
      <c r="AM316" s="342"/>
    </row>
    <row r="317" spans="5:40" x14ac:dyDescent="0.2">
      <c r="E317" s="1"/>
      <c r="F317" s="1"/>
      <c r="G317" s="1"/>
      <c r="H317" s="1"/>
      <c r="I317" s="1"/>
      <c r="J317" s="1"/>
      <c r="AJ317" s="305"/>
      <c r="AL317" s="341"/>
      <c r="AM317" s="342"/>
      <c r="AN317" s="342"/>
    </row>
    <row ht="15" r="318" spans="5:40" x14ac:dyDescent="0.25">
      <c r="E318" s="1"/>
      <c r="F318" s="1"/>
      <c r="G318" s="1"/>
      <c r="H318" s="1"/>
      <c r="I318" s="1"/>
      <c r="J318" s="1"/>
      <c r="AJ318" s="340"/>
      <c r="AL318" s="341"/>
      <c r="AM318" s="342"/>
      <c r="AN318" s="342"/>
    </row>
    <row r="319" spans="5:40" x14ac:dyDescent="0.2">
      <c r="E319" s="1"/>
      <c r="F319" s="1"/>
      <c r="G319" s="1"/>
      <c r="H319" s="1"/>
      <c r="I319" s="1"/>
      <c r="J319" s="1"/>
      <c r="AJ319" s="305"/>
      <c r="AL319" s="341"/>
      <c r="AM319" s="342"/>
      <c r="AN319" s="342"/>
    </row>
    <row r="320" spans="5:40" x14ac:dyDescent="0.2">
      <c r="E320" s="1"/>
      <c r="F320" s="1"/>
      <c r="G320" s="1"/>
      <c r="H320" s="1"/>
      <c r="I320" s="1"/>
      <c r="J320" s="1"/>
      <c r="AJ320" s="305"/>
      <c r="AL320" s="341"/>
      <c r="AM320" s="342"/>
      <c r="AN320" s="342"/>
    </row>
    <row r="321" spans="3:62" x14ac:dyDescent="0.2">
      <c r="E321" s="1"/>
      <c r="F321" s="1"/>
      <c r="G321" s="1"/>
      <c r="H321" s="1"/>
      <c r="I321" s="1"/>
      <c r="J321" s="1"/>
      <c r="AJ321" s="305"/>
      <c r="AL321" s="341"/>
      <c r="AM321" s="342"/>
      <c r="AN321" s="342"/>
    </row>
    <row ht="15" r="322" spans="3:62" x14ac:dyDescent="0.25">
      <c r="E322" s="1"/>
      <c r="F322" s="1"/>
      <c r="G322" s="1"/>
      <c r="H322" s="1"/>
      <c r="I322" s="1"/>
      <c r="J322" s="1"/>
      <c r="AJ322" s="340"/>
      <c r="AL322" s="341"/>
      <c r="AM322" s="342"/>
      <c r="AN322" s="342"/>
    </row>
    <row r="323" spans="3:62" x14ac:dyDescent="0.2">
      <c r="E323" s="1"/>
      <c r="F323" s="1"/>
      <c r="G323" s="1"/>
      <c r="H323" s="1"/>
      <c r="I323" s="1"/>
      <c r="J323" s="1"/>
      <c r="AJ323" s="305"/>
      <c r="AL323" s="341"/>
      <c r="AM323" s="342"/>
      <c r="AN323" s="342"/>
    </row>
    <row r="324" spans="3:62" x14ac:dyDescent="0.2">
      <c r="E324" s="1"/>
      <c r="F324" s="1"/>
      <c r="G324" s="1"/>
      <c r="H324" s="1"/>
      <c r="I324" s="1"/>
      <c r="J324" s="1"/>
      <c r="AJ324" s="305"/>
      <c r="AL324" s="341"/>
      <c r="AM324" s="342"/>
      <c r="AN324" s="342"/>
    </row>
    <row r="325" spans="3:62" x14ac:dyDescent="0.2">
      <c r="E325" s="1"/>
      <c r="F325" s="1"/>
      <c r="G325" s="1"/>
      <c r="H325" s="1"/>
      <c r="I325" s="1"/>
      <c r="J325" s="1"/>
      <c r="AJ325" s="305"/>
      <c r="AL325" s="341"/>
      <c r="AM325" s="342"/>
      <c r="AN325" s="342"/>
    </row>
    <row ht="15" r="326" spans="3:62" x14ac:dyDescent="0.25">
      <c r="E326" s="1"/>
      <c r="F326" s="1"/>
      <c r="G326" s="1"/>
      <c r="H326" s="1"/>
      <c r="I326" s="1"/>
      <c r="J326" s="1"/>
      <c r="AJ326" s="340"/>
      <c r="AL326" s="341"/>
      <c r="AM326" s="342"/>
      <c r="AN326" s="342"/>
    </row>
    <row r="327" spans="3:62" x14ac:dyDescent="0.2">
      <c r="E327" s="1"/>
      <c r="F327" s="1"/>
      <c r="G327" s="1"/>
      <c r="H327" s="1"/>
      <c r="I327" s="1"/>
      <c r="J327" s="1"/>
      <c r="AJ327" s="305"/>
      <c r="AL327" s="341"/>
      <c r="AM327" s="342"/>
      <c r="AN327" s="342"/>
    </row>
    <row r="328" spans="3:62" x14ac:dyDescent="0.2">
      <c r="E328" s="1"/>
      <c r="F328" s="1"/>
      <c r="G328" s="1"/>
      <c r="H328" s="1"/>
      <c r="I328" s="1"/>
      <c r="J328" s="1"/>
      <c r="AJ328" s="305"/>
      <c r="AL328" s="341"/>
      <c r="AM328" s="342"/>
      <c r="AN328" s="342"/>
    </row>
    <row r="331" spans="3:62" x14ac:dyDescent="0.2">
      <c r="C331" s="1" t="s">
        <v>106</v>
      </c>
    </row>
    <row customFormat="1" ht="158.25" r="332" s="486" spans="3:62" x14ac:dyDescent="0.25">
      <c r="D332" s="487" t="s">
        <v>189</v>
      </c>
      <c r="E332" s="487" t="s">
        <v>190</v>
      </c>
      <c r="F332" s="487" t="s">
        <v>191</v>
      </c>
      <c r="G332" s="488" t="s">
        <v>17</v>
      </c>
      <c r="H332" s="489" t="s">
        <v>192</v>
      </c>
      <c r="I332" s="486" t="s">
        <v>193</v>
      </c>
      <c r="J332" s="486" t="s">
        <v>194</v>
      </c>
      <c r="K332" s="486" t="s">
        <v>195</v>
      </c>
      <c r="L332" s="486" t="s">
        <v>196</v>
      </c>
      <c r="M332" s="486" t="s">
        <v>197</v>
      </c>
      <c r="N332" s="486" t="s">
        <v>198</v>
      </c>
      <c r="P332" s="486" t="s">
        <v>199</v>
      </c>
      <c r="Q332" s="486" t="s">
        <v>200</v>
      </c>
      <c r="R332" s="486" t="s">
        <v>201</v>
      </c>
      <c r="S332" s="486" t="s">
        <v>202</v>
      </c>
      <c r="T332" s="486" t="s">
        <v>203</v>
      </c>
      <c r="U332" s="486" t="s">
        <v>204</v>
      </c>
      <c r="V332" s="486" t="s">
        <v>205</v>
      </c>
      <c r="W332" s="486" t="s">
        <v>206</v>
      </c>
      <c r="X332" s="486" t="s">
        <v>207</v>
      </c>
      <c r="Y332" s="490" t="s">
        <v>208</v>
      </c>
      <c r="Z332" s="486" t="s">
        <v>209</v>
      </c>
      <c r="AB332" s="486" t="s">
        <v>210</v>
      </c>
      <c r="AC332" s="486" t="s">
        <v>211</v>
      </c>
      <c r="AD332" s="486" t="s">
        <v>212</v>
      </c>
      <c r="AE332" s="491" t="s">
        <v>213</v>
      </c>
      <c r="AF332" s="486" t="s">
        <v>214</v>
      </c>
      <c r="AG332" s="486" t="s">
        <v>215</v>
      </c>
      <c r="AH332" s="486" t="s">
        <v>216</v>
      </c>
      <c r="AI332" s="486" t="s">
        <v>217</v>
      </c>
      <c r="AJ332" s="486" t="s">
        <v>218</v>
      </c>
      <c r="AK332" s="486" t="s">
        <v>219</v>
      </c>
      <c r="AM332" s="486" t="s">
        <v>220</v>
      </c>
      <c r="AN332" s="486" t="s">
        <v>211</v>
      </c>
      <c r="AO332" s="486" t="s">
        <v>212</v>
      </c>
      <c r="AP332" s="486" t="s">
        <v>214</v>
      </c>
      <c r="AQ332" s="486" t="s">
        <v>215</v>
      </c>
      <c r="AR332" s="486" t="s">
        <v>221</v>
      </c>
      <c r="AS332" s="486" t="s">
        <v>217</v>
      </c>
      <c r="AT332" s="486" t="s">
        <v>219</v>
      </c>
      <c r="AV332" s="486" t="s">
        <v>222</v>
      </c>
      <c r="AW332" s="486" t="s">
        <v>211</v>
      </c>
      <c r="AX332" s="486" t="s">
        <v>212</v>
      </c>
      <c r="AY332" s="486" t="s">
        <v>214</v>
      </c>
      <c r="AZ332" s="486" t="s">
        <v>215</v>
      </c>
      <c r="BA332" s="486" t="s">
        <v>221</v>
      </c>
      <c r="BB332" s="486" t="s">
        <v>217</v>
      </c>
      <c r="BC332" s="486" t="s">
        <v>223</v>
      </c>
      <c r="BD332" s="486" t="s">
        <v>224</v>
      </c>
      <c r="BE332" s="486" t="s">
        <v>225</v>
      </c>
      <c r="BF332" s="486" t="s">
        <v>226</v>
      </c>
      <c r="BG332" s="486" t="s">
        <v>227</v>
      </c>
      <c r="BH332" s="486" t="s">
        <v>228</v>
      </c>
      <c r="BI332" s="491" t="s">
        <v>229</v>
      </c>
      <c r="BJ332" s="486" t="s">
        <v>204</v>
      </c>
    </row>
    <row ht="15" r="333" spans="3:62" x14ac:dyDescent="0.25">
      <c r="C333" s="1">
        <v>1</v>
      </c>
      <c r="D333" s="1">
        <f ref="D333:D340" si="38" t="shared">+K252</f>
        <v>0.625</v>
      </c>
      <c r="E333" s="4">
        <f>+Height</f>
        <v>30</v>
      </c>
      <c r="F333" s="5">
        <f>+E333</f>
        <v>30</v>
      </c>
      <c r="G333" s="492">
        <f>G269</f>
        <v>0.85</v>
      </c>
      <c r="H333" s="338">
        <f>H345</f>
        <v>36000</v>
      </c>
      <c r="I333" s="338">
        <f>+H333*0.8</f>
        <v>28800</v>
      </c>
      <c r="J333" s="338"/>
      <c r="M333" s="338">
        <f ref="M333:M340" si="39" t="shared">MIN(H333:L333)</f>
        <v>28800</v>
      </c>
      <c r="N333" s="339">
        <f ref="N333:N340" si="40" t="shared">+M333*G333</f>
        <v>24480</v>
      </c>
      <c r="O333" s="339"/>
      <c r="P333" s="1">
        <f>IF(E333&gt;0,+Fill_Height,0)</f>
        <v>40</v>
      </c>
      <c r="Q333" s="1">
        <f ref="Q333:Q339" si="41" t="shared">+E252</f>
        <v>68.571428571428569</v>
      </c>
      <c r="R333" s="1">
        <f ref="R333:R340" si="42" t="shared">+d*12/2</f>
        <v>204</v>
      </c>
      <c r="S333" s="1">
        <f>(6/(d*K252))^0.5</f>
        <v>0.53136893132405716</v>
      </c>
      <c r="T333" s="1">
        <f>IF(S333/P333&lt;=2,S333/P333,2)</f>
        <v>1.3284223283101429E-2</v>
      </c>
      <c r="U333" s="305">
        <f>+I245</f>
        <v>0</v>
      </c>
      <c r="V333" s="305">
        <f>W333-U333</f>
        <v>0.10055500000000002</v>
      </c>
      <c r="W333" s="305">
        <f ref="W333:W340" si="43" t="shared">2.6*d*(P333-1)*g/M333+U333</f>
        <v>0.10055500000000002</v>
      </c>
      <c r="X333" s="1">
        <f>(((1.06-(0.463*d/P333)*(P333*g/M333)^0.5)*(2.6*(P333*d*g/M333)))+U$333:U$65787)</f>
        <v>0.10793498499506879</v>
      </c>
      <c r="Y333" s="1">
        <f>MIN(W333,X333)</f>
        <v>0.10055500000000002</v>
      </c>
      <c r="AB333" s="1"/>
      <c r="AC333" s="115"/>
      <c r="BH333" s="493">
        <f>+Y333</f>
        <v>0.10055500000000002</v>
      </c>
      <c r="BI333" s="493">
        <f>IF(BH333&lt;0.375,0.375,BH333)</f>
        <v>0.375</v>
      </c>
    </row>
    <row ht="15" r="334" spans="3:62" x14ac:dyDescent="0.25">
      <c r="C334" s="1">
        <v>2</v>
      </c>
      <c r="D334" s="1">
        <f si="38" t="shared"/>
        <v>0.5</v>
      </c>
      <c r="E334" s="4">
        <f ref="E334:E340" si="44" t="shared">+E333-E252/12</f>
        <v>24.285714285714285</v>
      </c>
      <c r="F334" s="5">
        <f ref="F334:F340" si="45" t="shared">+F333</f>
        <v>30</v>
      </c>
      <c r="G334" s="492">
        <f ref="G334:G340" si="46" t="shared">G270</f>
        <v>0.85</v>
      </c>
      <c r="H334" s="338">
        <f ref="H334:H340" si="47" t="shared">H346</f>
        <v>36000</v>
      </c>
      <c r="I334" s="338">
        <f>+H334*0.8</f>
        <v>28800</v>
      </c>
      <c r="J334" s="338"/>
      <c r="M334" s="338">
        <f si="39" t="shared"/>
        <v>28800</v>
      </c>
      <c r="N334" s="339">
        <f si="40" t="shared"/>
        <v>24480</v>
      </c>
      <c r="O334" s="339"/>
      <c r="P334" s="1">
        <f ref="P334:P340" si="48" t="shared">IF(E334&gt;0,+P333-E252/12,0)</f>
        <v>34.285714285714285</v>
      </c>
      <c r="Q334" s="1">
        <f si="41" t="shared"/>
        <v>137.14285714285714</v>
      </c>
      <c r="R334" s="1">
        <f si="42" t="shared"/>
        <v>204</v>
      </c>
      <c r="U334" s="305">
        <f>+U333</f>
        <v>0</v>
      </c>
      <c r="V334" s="305">
        <f ref="V334:V340" si="49" t="shared">W334-U334</f>
        <v>8.5821666666666671E-2</v>
      </c>
      <c r="W334" s="305">
        <f si="43" t="shared"/>
        <v>8.5821666666666671E-2</v>
      </c>
      <c r="Z334" s="1">
        <f>+Q333/(R333*BH333)^0.5</f>
        <v>15.140014059964315</v>
      </c>
      <c r="AB334" s="1"/>
      <c r="AC334" s="268">
        <f>+BH333/W334</f>
        <v>1.1716738197424894</v>
      </c>
      <c r="AD334" s="1">
        <f>((AC334^0.5)*(AC334-1)/(1+AC334^1.5))</f>
        <v>8.1924461650055652E-2</v>
      </c>
      <c r="AE334" s="1">
        <f ref="AE334:AE340" si="50" t="shared">(R334*W334)^0.5</f>
        <v>4.1842107977490812</v>
      </c>
      <c r="AF334" s="1">
        <f>(0.61*(R334*W334)^0.5+3.84*AD334*P334)</f>
        <v>13.338309137582836</v>
      </c>
      <c r="AG334" s="1">
        <f ref="AG334:AG340" si="51" t="shared">12*AD334*P334</f>
        <v>33.706064221737179</v>
      </c>
      <c r="AH334" s="1">
        <f>1.22*AE334</f>
        <v>5.1047371732538789</v>
      </c>
      <c r="AI334" s="1">
        <f>MIN(AF334:AH334)</f>
        <v>5.1047371732538789</v>
      </c>
      <c r="AJ334" s="305">
        <f ref="AJ334:AJ340" si="52" t="shared">AK334-U334</f>
        <v>0.10270963588120527</v>
      </c>
      <c r="AK334" s="1">
        <f ref="AK334:AK340" si="53" t="shared">2.6*d*(P334-AI334/12)*g/N334+U334</f>
        <v>0.10270963588120527</v>
      </c>
      <c r="AN334" s="1">
        <f>+BH333/AK334</f>
        <v>0.97902206679325277</v>
      </c>
      <c r="AO334" s="1">
        <f>((AN334^0.5)*(AN334-1)/(1+AN334^1.5))</f>
        <v>-1.0543375693901779E-2</v>
      </c>
      <c r="AP334" s="1">
        <f>(0.61*(R334*AK334)^0.5+3.84*AO334*P334)</f>
        <v>1.4041149379158979</v>
      </c>
      <c r="AQ334" s="1">
        <f ref="AQ334:AQ340" si="54" t="shared">12*AO334*P334</f>
        <v>-4.3378459997767322</v>
      </c>
      <c r="AR334" s="1">
        <f ref="AR334:AR340" si="55" t="shared">1.22*(R334*AK334)^0.5</f>
        <v>5.584451315688904</v>
      </c>
      <c r="AS334" s="1">
        <f>MIN(AP334:AR334)</f>
        <v>-4.3378459997767322</v>
      </c>
      <c r="AT334" s="1">
        <f ref="AT334:AT340" si="56" t="shared">2.6*d*(P334-AS334/12)*g/N334+U334</f>
        <v>0.10509651107216578</v>
      </c>
      <c r="AW334" s="1">
        <f>+BH333/AT334</f>
        <v>0.95678723274603017</v>
      </c>
      <c r="AX334" s="1">
        <f>((AW334^0.5)*(AW334-1)/(1+AW334^1.5))</f>
        <v>-2.1834333205838975E-2</v>
      </c>
      <c r="AY334" s="1">
        <f>(0.61*(R334*AT334)^0.5+3.84*AX334*P334)</f>
        <v>-5.016225625327575E-2</v>
      </c>
      <c r="AZ334" s="1">
        <f ref="AZ334:AZ340" si="57" t="shared">12*AX334*P334</f>
        <v>-8.98326851897375</v>
      </c>
      <c r="BA334" s="1">
        <f ref="BA334:BA340" si="58" t="shared">1.22*(R334*AT334)^0.5</f>
        <v>5.6489673396366484</v>
      </c>
      <c r="BB334" s="1">
        <f>MIN(AY334:BA334)</f>
        <v>-8.98326851897375</v>
      </c>
      <c r="BC334" s="1">
        <f ref="BC334:BC340" si="59" t="shared">2.6*d*(P334-BB334/12)*g/N334+U334</f>
        <v>0.10627077065340726</v>
      </c>
      <c r="BD334" s="1">
        <f>Z334</f>
        <v>15.140014059964315</v>
      </c>
      <c r="BE334" s="1">
        <f>BH333</f>
        <v>0.10055500000000002</v>
      </c>
      <c r="BF334" s="1">
        <f>BC334</f>
        <v>0.10627077065340726</v>
      </c>
      <c r="BG334" s="1">
        <f>BC334+((BH333-BC334))*(2.1-((Q333/(1.25*R334*BH333)^0.5)))</f>
        <v>0.17166856220607135</v>
      </c>
      <c r="BH334" s="1">
        <f>(IF(BD334&lt;=1.375,BE334,IF(BD334&gt;=2.625,BF334,BG334)))</f>
        <v>0.10627077065340726</v>
      </c>
      <c r="BI334" s="1">
        <f ref="BI334:BI352" si="60" t="shared">IF(BH334&lt;0.375,0.375,BH334)</f>
        <v>0.375</v>
      </c>
    </row>
    <row ht="15" r="335" spans="3:62" x14ac:dyDescent="0.25">
      <c r="C335" s="1">
        <v>3</v>
      </c>
      <c r="D335" s="1">
        <f si="38" t="shared"/>
        <v>0.375</v>
      </c>
      <c r="E335" s="4">
        <f si="44" t="shared"/>
        <v>12.857142857142856</v>
      </c>
      <c r="F335" s="5">
        <f si="45" t="shared"/>
        <v>30</v>
      </c>
      <c r="G335" s="492">
        <f si="46" t="shared"/>
        <v>0.85</v>
      </c>
      <c r="H335" s="338">
        <f si="47" t="shared"/>
        <v>36000</v>
      </c>
      <c r="I335" s="338"/>
      <c r="J335" s="338">
        <f ref="J335:J340" si="61" t="shared">+H335*0.88</f>
        <v>31680</v>
      </c>
      <c r="K335" s="339" t="e">
        <f>+#REF!*0.472</f>
        <v>#REF!</v>
      </c>
      <c r="L335" s="338" t="e">
        <f>+#REF!*0.519</f>
        <v>#REF!</v>
      </c>
      <c r="M335" s="338" t="e">
        <f si="39" t="shared"/>
        <v>#REF!</v>
      </c>
      <c r="N335" s="339" t="e">
        <f si="40" t="shared"/>
        <v>#REF!</v>
      </c>
      <c r="O335" s="339"/>
      <c r="P335" s="1">
        <f si="48" t="shared"/>
        <v>22.857142857142854</v>
      </c>
      <c r="Q335" s="1">
        <f si="41" t="shared"/>
        <v>205.71428571428572</v>
      </c>
      <c r="R335" s="1">
        <f si="42" t="shared"/>
        <v>204</v>
      </c>
      <c r="U335" s="305">
        <f ref="U335:U340" si="62" t="shared">+U334</f>
        <v>0</v>
      </c>
      <c r="V335" s="305" t="e">
        <f si="49" t="shared"/>
        <v>#REF!</v>
      </c>
      <c r="W335" s="305" t="e">
        <f si="43" t="shared"/>
        <v>#REF!</v>
      </c>
      <c r="Z335" s="1">
        <f ref="Z335:Z340" si="63" t="shared">+Q334/(R334*BH334)^0.5</f>
        <v>29.454468766221456</v>
      </c>
      <c r="AB335" s="1"/>
      <c r="AC335" s="268" t="e">
        <f>BH334/W335</f>
        <v>#REF!</v>
      </c>
      <c r="AD335" s="1" t="e">
        <f ref="AD335:AD340" si="64" t="shared">((AC335^0.5)*(AC335-1)/(1+AC335^1.5))</f>
        <v>#REF!</v>
      </c>
      <c r="AE335" s="1" t="e">
        <f si="50" t="shared"/>
        <v>#REF!</v>
      </c>
      <c r="AF335" s="1" t="e">
        <f ref="AF335:AF340" si="65" t="shared">(0.61*AE335+3.84*AD335*P335)</f>
        <v>#REF!</v>
      </c>
      <c r="AG335" s="1" t="e">
        <f si="51" t="shared"/>
        <v>#REF!</v>
      </c>
      <c r="AH335" s="1" t="e">
        <f ref="AH335:AH340" si="66" t="shared">1.22*(R335*W335)^0.5</f>
        <v>#REF!</v>
      </c>
      <c r="AI335" s="1" t="e">
        <f ref="AI335:AI340" si="67" t="shared">MIN(AF335:AH335)</f>
        <v>#REF!</v>
      </c>
      <c r="AJ335" s="305" t="e">
        <f si="52" t="shared"/>
        <v>#REF!</v>
      </c>
      <c r="AK335" s="1" t="e">
        <f si="53" t="shared"/>
        <v>#REF!</v>
      </c>
      <c r="AN335" s="1" t="e">
        <f>+BG334/AK335</f>
        <v>#REF!</v>
      </c>
      <c r="AO335" s="1" t="e">
        <f ref="AO335:AO340" si="68" t="shared">((AN335^0.5)*(AN335-1)/(1+AN335^1.5))</f>
        <v>#REF!</v>
      </c>
      <c r="AP335" s="1" t="e">
        <f ref="AP335:AP340" si="69" t="shared">(0.61*(R335*D335)^0.5+3.84*AO335*P335)</f>
        <v>#REF!</v>
      </c>
      <c r="AQ335" s="1" t="e">
        <f si="54" t="shared"/>
        <v>#REF!</v>
      </c>
      <c r="AR335" s="1" t="e">
        <f si="55" t="shared"/>
        <v>#REF!</v>
      </c>
      <c r="AS335" s="1" t="e">
        <f ref="AS335:AS340" si="70" t="shared">MIN(AP335:AR335)</f>
        <v>#REF!</v>
      </c>
      <c r="AT335" s="1" t="e">
        <f si="56" t="shared"/>
        <v>#REF!</v>
      </c>
      <c r="AW335" s="1" t="e">
        <f>+BG334/AT335</f>
        <v>#REF!</v>
      </c>
      <c r="AX335" s="1" t="e">
        <f ref="AX335:AX340" si="71" t="shared">((AW335^0.5)*(AW335-1)/(1+AW335^1.5))</f>
        <v>#REF!</v>
      </c>
      <c r="AY335" s="1" t="e">
        <f ref="AY335:AY340" si="72" t="shared">(0.61*(R335*D335)^0.5+3.84*AX335*P335)</f>
        <v>#REF!</v>
      </c>
      <c r="AZ335" s="1" t="e">
        <f si="57" t="shared"/>
        <v>#REF!</v>
      </c>
      <c r="BA335" s="1" t="e">
        <f si="58" t="shared"/>
        <v>#REF!</v>
      </c>
      <c r="BB335" s="1" t="e">
        <f ref="BB335:BB340" si="73" t="shared">MIN(AY335:BA335)</f>
        <v>#REF!</v>
      </c>
      <c r="BC335" s="1" t="e">
        <f si="59" t="shared"/>
        <v>#REF!</v>
      </c>
      <c r="BH335" s="1" t="e">
        <f ref="BH335:BH340" si="74" t="shared">BC335</f>
        <v>#REF!</v>
      </c>
      <c r="BI335" s="1" t="e">
        <f si="60" t="shared"/>
        <v>#REF!</v>
      </c>
    </row>
    <row ht="15" r="336" spans="3:62" x14ac:dyDescent="0.25">
      <c r="C336" s="1">
        <v>4</v>
      </c>
      <c r="D336" s="1">
        <f si="38" t="shared"/>
        <v>0.3125</v>
      </c>
      <c r="E336" s="4">
        <f si="44" t="shared"/>
        <v>-4.2857142857142865</v>
      </c>
      <c r="F336" s="5">
        <f si="45" t="shared"/>
        <v>30</v>
      </c>
      <c r="G336" s="492">
        <f si="46" t="shared"/>
        <v>0.85</v>
      </c>
      <c r="H336" s="338">
        <f si="47" t="shared"/>
        <v>36000</v>
      </c>
      <c r="I336" s="338"/>
      <c r="J336" s="338">
        <f si="61" t="shared"/>
        <v>31680</v>
      </c>
      <c r="K336" s="339" t="e">
        <f>+#REF!*0.472</f>
        <v>#REF!</v>
      </c>
      <c r="L336" s="338" t="e">
        <f>+#REF!*0.519</f>
        <v>#REF!</v>
      </c>
      <c r="M336" s="338" t="e">
        <f si="39" t="shared"/>
        <v>#REF!</v>
      </c>
      <c r="N336" s="339" t="e">
        <f si="40" t="shared"/>
        <v>#REF!</v>
      </c>
      <c r="O336" s="339"/>
      <c r="P336" s="1">
        <f si="48" t="shared"/>
        <v>0</v>
      </c>
      <c r="Q336" s="1">
        <f si="41" t="shared"/>
        <v>274.28571428571428</v>
      </c>
      <c r="R336" s="1">
        <f si="42" t="shared"/>
        <v>204</v>
      </c>
      <c r="U336" s="305">
        <f si="62" t="shared"/>
        <v>0</v>
      </c>
      <c r="V336" s="305" t="e">
        <f si="49" t="shared"/>
        <v>#REF!</v>
      </c>
      <c r="W336" s="305" t="e">
        <f si="43" t="shared"/>
        <v>#REF!</v>
      </c>
      <c r="Z336" s="1" t="e">
        <f si="63" t="shared"/>
        <v>#REF!</v>
      </c>
      <c r="AB336" s="1"/>
      <c r="AC336" s="268" t="e">
        <f>+BH335/W336</f>
        <v>#REF!</v>
      </c>
      <c r="AD336" s="1" t="e">
        <f si="64" t="shared"/>
        <v>#REF!</v>
      </c>
      <c r="AE336" s="1" t="e">
        <f si="50" t="shared"/>
        <v>#REF!</v>
      </c>
      <c r="AF336" s="1" t="e">
        <f si="65" t="shared"/>
        <v>#REF!</v>
      </c>
      <c r="AG336" s="1" t="e">
        <f si="51" t="shared"/>
        <v>#REF!</v>
      </c>
      <c r="AH336" s="1" t="e">
        <f si="66" t="shared"/>
        <v>#REF!</v>
      </c>
      <c r="AI336" s="1" t="e">
        <f si="67" t="shared"/>
        <v>#REF!</v>
      </c>
      <c r="AJ336" s="305" t="e">
        <f si="52" t="shared"/>
        <v>#REF!</v>
      </c>
      <c r="AK336" s="1" t="e">
        <f si="53" t="shared"/>
        <v>#REF!</v>
      </c>
      <c r="AN336" s="1" t="e">
        <f>+BH335/AK336</f>
        <v>#REF!</v>
      </c>
      <c r="AO336" s="1" t="e">
        <f si="68" t="shared"/>
        <v>#REF!</v>
      </c>
      <c r="AP336" s="1" t="e">
        <f si="69" t="shared"/>
        <v>#REF!</v>
      </c>
      <c r="AQ336" s="1" t="e">
        <f si="54" t="shared"/>
        <v>#REF!</v>
      </c>
      <c r="AR336" s="1" t="e">
        <f si="55" t="shared"/>
        <v>#REF!</v>
      </c>
      <c r="AS336" s="1" t="e">
        <f si="70" t="shared"/>
        <v>#REF!</v>
      </c>
      <c r="AT336" s="1" t="e">
        <f si="56" t="shared"/>
        <v>#REF!</v>
      </c>
      <c r="AW336" s="1" t="e">
        <f>+BH335/AT336</f>
        <v>#REF!</v>
      </c>
      <c r="AX336" s="1" t="e">
        <f si="71" t="shared"/>
        <v>#REF!</v>
      </c>
      <c r="AY336" s="1" t="e">
        <f si="72" t="shared"/>
        <v>#REF!</v>
      </c>
      <c r="AZ336" s="1" t="e">
        <f si="57" t="shared"/>
        <v>#REF!</v>
      </c>
      <c r="BA336" s="1" t="e">
        <f si="58" t="shared"/>
        <v>#REF!</v>
      </c>
      <c r="BB336" s="1" t="e">
        <f si="73" t="shared"/>
        <v>#REF!</v>
      </c>
      <c r="BC336" s="1" t="e">
        <f si="59" t="shared"/>
        <v>#REF!</v>
      </c>
      <c r="BH336" s="1" t="e">
        <f si="74" t="shared"/>
        <v>#REF!</v>
      </c>
      <c r="BI336" s="1" t="e">
        <f si="60" t="shared"/>
        <v>#REF!</v>
      </c>
    </row>
    <row ht="15" r="337" spans="3:62" x14ac:dyDescent="0.25">
      <c r="C337" s="1">
        <v>5</v>
      </c>
      <c r="D337" s="1">
        <f si="38" t="shared"/>
        <v>0.3125</v>
      </c>
      <c r="E337" s="4">
        <f si="44" t="shared"/>
        <v>-27.142857142857146</v>
      </c>
      <c r="F337" s="5">
        <f si="45" t="shared"/>
        <v>30</v>
      </c>
      <c r="G337" s="492">
        <f si="46" t="shared"/>
        <v>0.85</v>
      </c>
      <c r="H337" s="338">
        <f si="47" t="shared"/>
        <v>36000</v>
      </c>
      <c r="I337" s="338"/>
      <c r="J337" s="338">
        <f si="61" t="shared"/>
        <v>31680</v>
      </c>
      <c r="K337" s="339" t="e">
        <f>+#REF!*0.472</f>
        <v>#REF!</v>
      </c>
      <c r="L337" s="338" t="e">
        <f>+#REF!*0.519</f>
        <v>#REF!</v>
      </c>
      <c r="M337" s="338" t="e">
        <f si="39" t="shared"/>
        <v>#REF!</v>
      </c>
      <c r="N337" s="339" t="e">
        <f si="40" t="shared"/>
        <v>#REF!</v>
      </c>
      <c r="O337" s="339"/>
      <c r="P337" s="1">
        <f si="48" t="shared"/>
        <v>0</v>
      </c>
      <c r="Q337" s="1">
        <f si="41" t="shared"/>
        <v>342.85714285714289</v>
      </c>
      <c r="R337" s="1">
        <f si="42" t="shared"/>
        <v>204</v>
      </c>
      <c r="U337" s="305">
        <f si="62" t="shared"/>
        <v>0</v>
      </c>
      <c r="V337" s="305" t="e">
        <f si="49" t="shared"/>
        <v>#REF!</v>
      </c>
      <c r="W337" s="305" t="e">
        <f si="43" t="shared"/>
        <v>#REF!</v>
      </c>
      <c r="Z337" s="1" t="e">
        <f si="63" t="shared"/>
        <v>#REF!</v>
      </c>
      <c r="AB337" s="1"/>
      <c r="AC337" s="268" t="e">
        <f>+BH336/W337</f>
        <v>#REF!</v>
      </c>
      <c r="AD337" s="1" t="e">
        <f si="64" t="shared"/>
        <v>#REF!</v>
      </c>
      <c r="AE337" s="1" t="e">
        <f si="50" t="shared"/>
        <v>#REF!</v>
      </c>
      <c r="AF337" s="1" t="e">
        <f si="65" t="shared"/>
        <v>#REF!</v>
      </c>
      <c r="AG337" s="1" t="e">
        <f si="51" t="shared"/>
        <v>#REF!</v>
      </c>
      <c r="AH337" s="1" t="e">
        <f si="66" t="shared"/>
        <v>#REF!</v>
      </c>
      <c r="AI337" s="1" t="e">
        <f si="67" t="shared"/>
        <v>#REF!</v>
      </c>
      <c r="AJ337" s="305" t="e">
        <f si="52" t="shared"/>
        <v>#REF!</v>
      </c>
      <c r="AK337" s="1" t="e">
        <f si="53" t="shared"/>
        <v>#REF!</v>
      </c>
      <c r="AN337" s="1" t="e">
        <f>+BH336/AK337</f>
        <v>#REF!</v>
      </c>
      <c r="AO337" s="1" t="e">
        <f si="68" t="shared"/>
        <v>#REF!</v>
      </c>
      <c r="AP337" s="1" t="e">
        <f si="69" t="shared"/>
        <v>#REF!</v>
      </c>
      <c r="AQ337" s="1" t="e">
        <f si="54" t="shared"/>
        <v>#REF!</v>
      </c>
      <c r="AR337" s="1" t="e">
        <f si="55" t="shared"/>
        <v>#REF!</v>
      </c>
      <c r="AS337" s="1" t="e">
        <f si="70" t="shared"/>
        <v>#REF!</v>
      </c>
      <c r="AT337" s="1" t="e">
        <f si="56" t="shared"/>
        <v>#REF!</v>
      </c>
      <c r="AW337" s="1" t="e">
        <f>+BH336/AT337</f>
        <v>#REF!</v>
      </c>
      <c r="AX337" s="1" t="e">
        <f si="71" t="shared"/>
        <v>#REF!</v>
      </c>
      <c r="AY337" s="1" t="e">
        <f si="72" t="shared"/>
        <v>#REF!</v>
      </c>
      <c r="AZ337" s="1" t="e">
        <f si="57" t="shared"/>
        <v>#REF!</v>
      </c>
      <c r="BA337" s="1" t="e">
        <f si="58" t="shared"/>
        <v>#REF!</v>
      </c>
      <c r="BB337" s="1" t="e">
        <f si="73" t="shared"/>
        <v>#REF!</v>
      </c>
      <c r="BC337" s="1" t="e">
        <f si="59" t="shared"/>
        <v>#REF!</v>
      </c>
      <c r="BH337" s="1" t="e">
        <f si="74" t="shared"/>
        <v>#REF!</v>
      </c>
      <c r="BI337" s="1" t="e">
        <f si="60" t="shared"/>
        <v>#REF!</v>
      </c>
    </row>
    <row ht="15" r="338" spans="3:62" x14ac:dyDescent="0.25">
      <c r="C338" s="1">
        <v>6</v>
      </c>
      <c r="D338" s="1">
        <f si="38" t="shared"/>
        <v>0</v>
      </c>
      <c r="E338" s="4">
        <f si="44" t="shared"/>
        <v>-55.714285714285722</v>
      </c>
      <c r="F338" s="5">
        <f si="45" t="shared"/>
        <v>30</v>
      </c>
      <c r="G338" s="492">
        <f si="46" t="shared"/>
        <v>0.85</v>
      </c>
      <c r="H338" s="338">
        <f si="47" t="shared"/>
        <v>36000</v>
      </c>
      <c r="I338" s="338"/>
      <c r="J338" s="338">
        <f si="61" t="shared"/>
        <v>31680</v>
      </c>
      <c r="K338" s="339" t="e">
        <f>+#REF!*0.472</f>
        <v>#REF!</v>
      </c>
      <c r="L338" s="338" t="e">
        <f>+#REF!*0.519</f>
        <v>#REF!</v>
      </c>
      <c r="M338" s="338" t="e">
        <f si="39" t="shared"/>
        <v>#REF!</v>
      </c>
      <c r="N338" s="339" t="e">
        <f si="40" t="shared"/>
        <v>#REF!</v>
      </c>
      <c r="O338" s="339"/>
      <c r="P338" s="1">
        <f si="48" t="shared"/>
        <v>0</v>
      </c>
      <c r="Q338" s="1">
        <f si="41" t="shared"/>
        <v>411.42857142857144</v>
      </c>
      <c r="R338" s="1">
        <f si="42" t="shared"/>
        <v>204</v>
      </c>
      <c r="U338" s="305">
        <f si="62" t="shared"/>
        <v>0</v>
      </c>
      <c r="V338" s="305" t="e">
        <f si="49" t="shared"/>
        <v>#REF!</v>
      </c>
      <c r="W338" s="305" t="e">
        <f si="43" t="shared"/>
        <v>#REF!</v>
      </c>
      <c r="Z338" s="1" t="e">
        <f si="63" t="shared"/>
        <v>#REF!</v>
      </c>
      <c r="AB338" s="1"/>
      <c r="AC338" s="268" t="e">
        <f>+BH337/W338</f>
        <v>#REF!</v>
      </c>
      <c r="AD338" s="1" t="e">
        <f si="64" t="shared"/>
        <v>#REF!</v>
      </c>
      <c r="AE338" s="1" t="e">
        <f si="50" t="shared"/>
        <v>#REF!</v>
      </c>
      <c r="AF338" s="1" t="e">
        <f si="65" t="shared"/>
        <v>#REF!</v>
      </c>
      <c r="AG338" s="1" t="e">
        <f si="51" t="shared"/>
        <v>#REF!</v>
      </c>
      <c r="AH338" s="1" t="e">
        <f si="66" t="shared"/>
        <v>#REF!</v>
      </c>
      <c r="AI338" s="1" t="e">
        <f si="67" t="shared"/>
        <v>#REF!</v>
      </c>
      <c r="AJ338" s="305" t="e">
        <f si="52" t="shared"/>
        <v>#REF!</v>
      </c>
      <c r="AK338" s="1" t="e">
        <f si="53" t="shared"/>
        <v>#REF!</v>
      </c>
      <c r="AN338" s="1" t="e">
        <f>+BH337/AK338</f>
        <v>#REF!</v>
      </c>
      <c r="AO338" s="1" t="e">
        <f si="68" t="shared"/>
        <v>#REF!</v>
      </c>
      <c r="AP338" s="1" t="e">
        <f si="69" t="shared"/>
        <v>#REF!</v>
      </c>
      <c r="AQ338" s="1" t="e">
        <f si="54" t="shared"/>
        <v>#REF!</v>
      </c>
      <c r="AR338" s="1" t="e">
        <f si="55" t="shared"/>
        <v>#REF!</v>
      </c>
      <c r="AS338" s="1" t="e">
        <f si="70" t="shared"/>
        <v>#REF!</v>
      </c>
      <c r="AT338" s="1" t="e">
        <f si="56" t="shared"/>
        <v>#REF!</v>
      </c>
      <c r="AW338" s="1" t="e">
        <f>+BH337/AT338</f>
        <v>#REF!</v>
      </c>
      <c r="AX338" s="1" t="e">
        <f si="71" t="shared"/>
        <v>#REF!</v>
      </c>
      <c r="AY338" s="1" t="e">
        <f si="72" t="shared"/>
        <v>#REF!</v>
      </c>
      <c r="AZ338" s="1" t="e">
        <f si="57" t="shared"/>
        <v>#REF!</v>
      </c>
      <c r="BA338" s="1" t="e">
        <f si="58" t="shared"/>
        <v>#REF!</v>
      </c>
      <c r="BB338" s="1" t="e">
        <f si="73" t="shared"/>
        <v>#REF!</v>
      </c>
      <c r="BC338" s="1" t="e">
        <f si="59" t="shared"/>
        <v>#REF!</v>
      </c>
      <c r="BH338" s="1" t="e">
        <f si="74" t="shared"/>
        <v>#REF!</v>
      </c>
      <c r="BI338" s="1" t="e">
        <f si="60" t="shared"/>
        <v>#REF!</v>
      </c>
    </row>
    <row ht="15" r="339" spans="3:62" x14ac:dyDescent="0.25">
      <c r="C339" s="1">
        <v>7</v>
      </c>
      <c r="D339" s="1">
        <f si="38" t="shared"/>
        <v>0</v>
      </c>
      <c r="E339" s="4">
        <f si="44" t="shared"/>
        <v>-90</v>
      </c>
      <c r="F339" s="5">
        <f si="45" t="shared"/>
        <v>30</v>
      </c>
      <c r="G339" s="492">
        <f si="46" t="shared"/>
        <v>0.85</v>
      </c>
      <c r="H339" s="338">
        <f si="47" t="shared"/>
        <v>36000</v>
      </c>
      <c r="I339" s="338"/>
      <c r="J339" s="338">
        <f si="61" t="shared"/>
        <v>31680</v>
      </c>
      <c r="K339" s="339" t="e">
        <f>+#REF!*0.472</f>
        <v>#REF!</v>
      </c>
      <c r="L339" s="338" t="e">
        <f>+#REF!*0.519</f>
        <v>#REF!</v>
      </c>
      <c r="M339" s="338" t="e">
        <f si="39" t="shared"/>
        <v>#REF!</v>
      </c>
      <c r="N339" s="339" t="e">
        <f si="40" t="shared"/>
        <v>#REF!</v>
      </c>
      <c r="O339" s="339"/>
      <c r="P339" s="1">
        <f si="48" t="shared"/>
        <v>0</v>
      </c>
      <c r="Q339" s="1">
        <f si="41" t="shared"/>
        <v>480</v>
      </c>
      <c r="R339" s="1">
        <f si="42" t="shared"/>
        <v>204</v>
      </c>
      <c r="U339" s="305">
        <f si="62" t="shared"/>
        <v>0</v>
      </c>
      <c r="V339" s="305" t="e">
        <f si="49" t="shared"/>
        <v>#REF!</v>
      </c>
      <c r="W339" s="305" t="e">
        <f si="43" t="shared"/>
        <v>#REF!</v>
      </c>
      <c r="Z339" s="1" t="e">
        <f si="63" t="shared"/>
        <v>#REF!</v>
      </c>
      <c r="AB339" s="1"/>
      <c r="AC339" s="268" t="e">
        <f>+BH338/W339</f>
        <v>#REF!</v>
      </c>
      <c r="AD339" s="1" t="e">
        <f si="64" t="shared"/>
        <v>#REF!</v>
      </c>
      <c r="AE339" s="1" t="e">
        <f si="50" t="shared"/>
        <v>#REF!</v>
      </c>
      <c r="AF339" s="1" t="e">
        <f si="65" t="shared"/>
        <v>#REF!</v>
      </c>
      <c r="AG339" s="1" t="e">
        <f si="51" t="shared"/>
        <v>#REF!</v>
      </c>
      <c r="AH339" s="1" t="e">
        <f si="66" t="shared"/>
        <v>#REF!</v>
      </c>
      <c r="AI339" s="1" t="e">
        <f si="67" t="shared"/>
        <v>#REF!</v>
      </c>
      <c r="AJ339" s="305" t="e">
        <f si="52" t="shared"/>
        <v>#REF!</v>
      </c>
      <c r="AK339" s="1" t="e">
        <f si="53" t="shared"/>
        <v>#REF!</v>
      </c>
      <c r="AN339" s="1" t="e">
        <f>+BH338/AK339</f>
        <v>#REF!</v>
      </c>
      <c r="AO339" s="1" t="e">
        <f si="68" t="shared"/>
        <v>#REF!</v>
      </c>
      <c r="AP339" s="1" t="e">
        <f si="69" t="shared"/>
        <v>#REF!</v>
      </c>
      <c r="AQ339" s="1" t="e">
        <f si="54" t="shared"/>
        <v>#REF!</v>
      </c>
      <c r="AR339" s="1" t="e">
        <f si="55" t="shared"/>
        <v>#REF!</v>
      </c>
      <c r="AS339" s="1" t="e">
        <f si="70" t="shared"/>
        <v>#REF!</v>
      </c>
      <c r="AT339" s="1" t="e">
        <f si="56" t="shared"/>
        <v>#REF!</v>
      </c>
      <c r="AW339" s="1" t="e">
        <f>+BH338/AT339</f>
        <v>#REF!</v>
      </c>
      <c r="AX339" s="1" t="e">
        <f si="71" t="shared"/>
        <v>#REF!</v>
      </c>
      <c r="AY339" s="1" t="e">
        <f si="72" t="shared"/>
        <v>#REF!</v>
      </c>
      <c r="AZ339" s="1" t="e">
        <f si="57" t="shared"/>
        <v>#REF!</v>
      </c>
      <c r="BA339" s="1" t="e">
        <f si="58" t="shared"/>
        <v>#REF!</v>
      </c>
      <c r="BB339" s="1" t="e">
        <f si="73" t="shared"/>
        <v>#REF!</v>
      </c>
      <c r="BC339" s="1" t="e">
        <f si="59" t="shared"/>
        <v>#REF!</v>
      </c>
      <c r="BH339" s="1" t="e">
        <f si="74" t="shared"/>
        <v>#REF!</v>
      </c>
      <c r="BI339" s="1" t="e">
        <f si="60" t="shared"/>
        <v>#REF!</v>
      </c>
    </row>
    <row ht="15" r="340" spans="3:62" x14ac:dyDescent="0.25">
      <c r="C340" s="1">
        <v>8</v>
      </c>
      <c r="D340" s="1">
        <f si="38" t="shared"/>
        <v>0</v>
      </c>
      <c r="E340" s="4">
        <f si="44" t="shared"/>
        <v>-130</v>
      </c>
      <c r="F340" s="5">
        <f si="45" t="shared"/>
        <v>30</v>
      </c>
      <c r="G340" s="492">
        <f si="46" t="shared"/>
        <v>0.85</v>
      </c>
      <c r="H340" s="338">
        <f si="47" t="shared"/>
        <v>36000</v>
      </c>
      <c r="I340" s="338"/>
      <c r="J340" s="338">
        <f si="61" t="shared"/>
        <v>31680</v>
      </c>
      <c r="K340" s="339" t="e">
        <f>+#REF!*0.472</f>
        <v>#REF!</v>
      </c>
      <c r="L340" s="338" t="e">
        <f>+#REF!*0.519</f>
        <v>#REF!</v>
      </c>
      <c r="M340" s="338" t="e">
        <f si="39" t="shared"/>
        <v>#REF!</v>
      </c>
      <c r="N340" s="339" t="e">
        <f si="40" t="shared"/>
        <v>#REF!</v>
      </c>
      <c r="O340" s="339"/>
      <c r="P340" s="1">
        <f si="48" t="shared"/>
        <v>0</v>
      </c>
      <c r="Q340" s="1" t="e">
        <f>+#REF!</f>
        <v>#REF!</v>
      </c>
      <c r="R340" s="1">
        <f si="42" t="shared"/>
        <v>204</v>
      </c>
      <c r="U340" s="305">
        <f si="62" t="shared"/>
        <v>0</v>
      </c>
      <c r="V340" s="305" t="e">
        <f si="49" t="shared"/>
        <v>#REF!</v>
      </c>
      <c r="W340" s="305" t="e">
        <f si="43" t="shared"/>
        <v>#REF!</v>
      </c>
      <c r="Z340" s="1" t="e">
        <f si="63" t="shared"/>
        <v>#REF!</v>
      </c>
      <c r="AB340" s="1"/>
      <c r="AC340" s="268" t="e">
        <f>+BH339/W340</f>
        <v>#REF!</v>
      </c>
      <c r="AD340" s="1" t="e">
        <f si="64" t="shared"/>
        <v>#REF!</v>
      </c>
      <c r="AE340" s="1" t="e">
        <f si="50" t="shared"/>
        <v>#REF!</v>
      </c>
      <c r="AF340" s="1" t="e">
        <f si="65" t="shared"/>
        <v>#REF!</v>
      </c>
      <c r="AG340" s="1" t="e">
        <f si="51" t="shared"/>
        <v>#REF!</v>
      </c>
      <c r="AH340" s="1" t="e">
        <f si="66" t="shared"/>
        <v>#REF!</v>
      </c>
      <c r="AI340" s="1" t="e">
        <f si="67" t="shared"/>
        <v>#REF!</v>
      </c>
      <c r="AJ340" s="305" t="e">
        <f si="52" t="shared"/>
        <v>#REF!</v>
      </c>
      <c r="AK340" s="1" t="e">
        <f si="53" t="shared"/>
        <v>#REF!</v>
      </c>
      <c r="AN340" s="1" t="e">
        <f>+BH339/AK340</f>
        <v>#REF!</v>
      </c>
      <c r="AO340" s="1" t="e">
        <f si="68" t="shared"/>
        <v>#REF!</v>
      </c>
      <c r="AP340" s="1" t="e">
        <f si="69" t="shared"/>
        <v>#REF!</v>
      </c>
      <c r="AQ340" s="1" t="e">
        <f si="54" t="shared"/>
        <v>#REF!</v>
      </c>
      <c r="AR340" s="1" t="e">
        <f si="55" t="shared"/>
        <v>#REF!</v>
      </c>
      <c r="AS340" s="1" t="e">
        <f si="70" t="shared"/>
        <v>#REF!</v>
      </c>
      <c r="AT340" s="1" t="e">
        <f si="56" t="shared"/>
        <v>#REF!</v>
      </c>
      <c r="AW340" s="1" t="e">
        <f>+BH339/AT340</f>
        <v>#REF!</v>
      </c>
      <c r="AX340" s="1" t="e">
        <f si="71" t="shared"/>
        <v>#REF!</v>
      </c>
      <c r="AY340" s="1" t="e">
        <f si="72" t="shared"/>
        <v>#REF!</v>
      </c>
      <c r="AZ340" s="1" t="e">
        <f si="57" t="shared"/>
        <v>#REF!</v>
      </c>
      <c r="BA340" s="1" t="e">
        <f si="58" t="shared"/>
        <v>#REF!</v>
      </c>
      <c r="BB340" s="1" t="e">
        <f si="73" t="shared"/>
        <v>#REF!</v>
      </c>
      <c r="BC340" s="1" t="e">
        <f si="59" t="shared"/>
        <v>#REF!</v>
      </c>
      <c r="BH340" s="1" t="e">
        <f si="74" t="shared"/>
        <v>#REF!</v>
      </c>
      <c r="BI340" s="1" t="e">
        <f si="60" t="shared"/>
        <v>#REF!</v>
      </c>
    </row>
    <row ht="15" r="341" spans="3:62" x14ac:dyDescent="0.25">
      <c r="G341" s="492"/>
      <c r="H341" s="338"/>
      <c r="I341" s="338"/>
      <c r="J341" s="338"/>
      <c r="K341" s="339"/>
      <c r="L341" s="338"/>
      <c r="M341" s="338"/>
      <c r="N341" s="339"/>
      <c r="O341" s="339"/>
      <c r="U341" s="305"/>
      <c r="V341" s="305"/>
      <c r="W341" s="305"/>
      <c r="AB341" s="1"/>
      <c r="AC341" s="268"/>
      <c r="AJ341" s="305"/>
    </row>
    <row ht="15" r="342" spans="3:62" x14ac:dyDescent="0.25">
      <c r="G342" s="492"/>
      <c r="H342" s="338"/>
      <c r="I342" s="338"/>
      <c r="J342" s="338"/>
      <c r="K342" s="339"/>
      <c r="L342" s="338"/>
      <c r="M342" s="338"/>
      <c r="N342" s="339"/>
      <c r="O342" s="339"/>
      <c r="U342" s="305"/>
      <c r="V342" s="305"/>
      <c r="W342" s="305"/>
      <c r="AB342" s="1"/>
      <c r="AC342" s="268"/>
      <c r="AJ342" s="305"/>
    </row>
    <row r="343" spans="3:62" x14ac:dyDescent="0.2">
      <c r="C343" s="1" t="s">
        <v>174</v>
      </c>
      <c r="E343" s="1"/>
      <c r="F343" s="1"/>
      <c r="G343" s="1"/>
      <c r="H343" s="1"/>
      <c r="I343" s="1"/>
      <c r="J343" s="1"/>
      <c r="L343" s="1"/>
      <c r="M343" s="1"/>
      <c r="AB343" s="1"/>
    </row>
    <row customFormat="1" ht="158.25" r="344" s="486" spans="3:62" x14ac:dyDescent="0.25">
      <c r="D344" s="487" t="s">
        <v>189</v>
      </c>
      <c r="E344" s="487" t="s">
        <v>190</v>
      </c>
      <c r="F344" s="487" t="s">
        <v>191</v>
      </c>
      <c r="G344" s="488" t="s">
        <v>17</v>
      </c>
      <c r="H344" s="489" t="s">
        <v>192</v>
      </c>
      <c r="M344" s="486" t="s">
        <v>198</v>
      </c>
      <c r="N344" s="486" t="s">
        <v>230</v>
      </c>
      <c r="P344" s="486" t="s">
        <v>199</v>
      </c>
      <c r="Q344" s="486" t="s">
        <v>200</v>
      </c>
      <c r="R344" s="486" t="s">
        <v>201</v>
      </c>
      <c r="S344" s="486" t="s">
        <v>202</v>
      </c>
      <c r="T344" s="486" t="s">
        <v>203</v>
      </c>
      <c r="U344" s="486" t="s">
        <v>204</v>
      </c>
      <c r="V344" s="486" t="s">
        <v>205</v>
      </c>
      <c r="W344" s="486" t="s">
        <v>206</v>
      </c>
      <c r="X344" s="486" t="s">
        <v>207</v>
      </c>
      <c r="Y344" s="490" t="s">
        <v>208</v>
      </c>
      <c r="Z344" s="486" t="s">
        <v>209</v>
      </c>
      <c r="AB344" s="486" t="s">
        <v>210</v>
      </c>
      <c r="AC344" s="486" t="s">
        <v>211</v>
      </c>
      <c r="AD344" s="486" t="s">
        <v>212</v>
      </c>
      <c r="AE344" s="491" t="s">
        <v>213</v>
      </c>
      <c r="AF344" s="486" t="s">
        <v>214</v>
      </c>
      <c r="AG344" s="486" t="s">
        <v>215</v>
      </c>
      <c r="AH344" s="486" t="s">
        <v>216</v>
      </c>
      <c r="AI344" s="486" t="s">
        <v>217</v>
      </c>
      <c r="AJ344" s="486" t="s">
        <v>218</v>
      </c>
      <c r="AK344" s="486" t="s">
        <v>219</v>
      </c>
      <c r="AM344" s="486" t="s">
        <v>220</v>
      </c>
      <c r="AN344" s="486" t="s">
        <v>211</v>
      </c>
      <c r="AO344" s="486" t="s">
        <v>212</v>
      </c>
      <c r="AP344" s="486" t="s">
        <v>214</v>
      </c>
      <c r="AQ344" s="486" t="s">
        <v>215</v>
      </c>
      <c r="AR344" s="486" t="s">
        <v>221</v>
      </c>
      <c r="AS344" s="486" t="s">
        <v>217</v>
      </c>
      <c r="AT344" s="486" t="s">
        <v>219</v>
      </c>
      <c r="AV344" s="486" t="s">
        <v>222</v>
      </c>
      <c r="AW344" s="486" t="s">
        <v>211</v>
      </c>
      <c r="AX344" s="486" t="s">
        <v>212</v>
      </c>
      <c r="AY344" s="486" t="s">
        <v>214</v>
      </c>
      <c r="AZ344" s="486" t="s">
        <v>215</v>
      </c>
      <c r="BA344" s="486" t="s">
        <v>221</v>
      </c>
      <c r="BB344" s="486" t="s">
        <v>217</v>
      </c>
      <c r="BC344" s="486" t="s">
        <v>223</v>
      </c>
      <c r="BD344" s="486" t="s">
        <v>224</v>
      </c>
      <c r="BE344" s="486" t="s">
        <v>225</v>
      </c>
      <c r="BF344" s="486" t="s">
        <v>226</v>
      </c>
      <c r="BG344" s="486" t="s">
        <v>227</v>
      </c>
      <c r="BH344" s="486" t="s">
        <v>228</v>
      </c>
      <c r="BI344" s="491" t="s">
        <v>229</v>
      </c>
      <c r="BJ344" s="486" t="s">
        <v>204</v>
      </c>
    </row>
    <row ht="15" r="345" spans="3:62" x14ac:dyDescent="0.25">
      <c r="C345" s="1">
        <v>1</v>
      </c>
      <c r="D345" s="1">
        <f>D333</f>
        <v>0.625</v>
      </c>
      <c r="E345" s="4">
        <f>+Height</f>
        <v>30</v>
      </c>
      <c r="F345" s="5">
        <f>+E345</f>
        <v>30</v>
      </c>
      <c r="G345" s="492">
        <f ref="G345:G352" si="75" t="shared">H252</f>
        <v>0.85</v>
      </c>
      <c r="H345" s="338">
        <f ref="H345:H352" si="76" t="shared">VLOOKUP(I252,$D$379:$N$408,2)</f>
        <v>36000</v>
      </c>
      <c r="I345" s="338"/>
      <c r="J345" s="338"/>
      <c r="M345" s="338">
        <f ref="M345:N352" si="77" t="shared">I269</f>
        <v>23200</v>
      </c>
      <c r="N345" s="338">
        <f si="77" t="shared"/>
        <v>24900</v>
      </c>
      <c r="O345" s="338"/>
      <c r="P345" s="1">
        <f>P333</f>
        <v>40</v>
      </c>
      <c r="Q345" s="1">
        <f>Q333</f>
        <v>68.571428571428569</v>
      </c>
      <c r="R345" s="1">
        <f ref="R345:R352" si="78" t="shared">+d*12/2</f>
        <v>204</v>
      </c>
      <c r="S345" s="1">
        <f>(6/d*K252)^0.5</f>
        <v>0.33210558207753577</v>
      </c>
      <c r="T345" s="1">
        <f>IF(S345/P345&lt;=2,S345/P345,2)</f>
        <v>8.3026395519383948E-3</v>
      </c>
      <c r="U345" s="305">
        <f>U333</f>
        <v>0</v>
      </c>
      <c r="V345" s="305">
        <f>W345-U345</f>
        <v>0.12482689655172416</v>
      </c>
      <c r="W345" s="305">
        <f ref="W345:W352" si="79" t="shared">2.6*d*(P345-1)*g/M345+U345</f>
        <v>0.12482689655172416</v>
      </c>
      <c r="X345" s="1">
        <f>(((1.06-(0.463*d/P345)*(P345*g/M345)^0.5)*(2.6*(P345*d*g/M345)))+U$345:U$65787)</f>
        <v>0.13379176898354725</v>
      </c>
      <c r="Y345" s="1">
        <f>MIN(W345,X345)</f>
        <v>0.12482689655172416</v>
      </c>
      <c r="AB345" s="1"/>
      <c r="AC345" s="115"/>
      <c r="BH345" s="1">
        <f>+Y345</f>
        <v>0.12482689655172416</v>
      </c>
      <c r="BI345" s="1">
        <f>IF(BH345&lt;0.375,0.375,BH345)</f>
        <v>0.375</v>
      </c>
    </row>
    <row ht="15" r="346" spans="3:62" x14ac:dyDescent="0.25">
      <c r="C346" s="1">
        <v>2</v>
      </c>
      <c r="D346" s="1">
        <f ref="D346:E352" si="80" t="shared">D334</f>
        <v>0.5</v>
      </c>
      <c r="E346" s="4">
        <f>E334</f>
        <v>24.285714285714285</v>
      </c>
      <c r="F346" s="5">
        <f ref="F346:F352" si="81" t="shared">+F345</f>
        <v>30</v>
      </c>
      <c r="G346" s="492">
        <f si="75" t="shared"/>
        <v>0.85</v>
      </c>
      <c r="H346" s="338">
        <f si="76" t="shared"/>
        <v>36000</v>
      </c>
      <c r="I346" s="338"/>
      <c r="J346" s="338"/>
      <c r="M346" s="338">
        <f si="77" t="shared"/>
        <v>23200</v>
      </c>
      <c r="N346" s="338">
        <f si="77" t="shared"/>
        <v>24900</v>
      </c>
      <c r="O346" s="338"/>
      <c r="P346" s="1">
        <f ref="P346:Q352" si="82" t="shared">P334</f>
        <v>34.285714285714285</v>
      </c>
      <c r="Q346" s="1">
        <f si="82" t="shared"/>
        <v>137.14285714285714</v>
      </c>
      <c r="R346" s="1">
        <f si="78" t="shared"/>
        <v>204</v>
      </c>
      <c r="U346" s="305">
        <f>+U345</f>
        <v>0</v>
      </c>
      <c r="V346" s="305">
        <f ref="V346:V352" si="83" t="shared">W346-U346</f>
        <v>0.10653724137931035</v>
      </c>
      <c r="W346" s="305">
        <f si="79" t="shared"/>
        <v>0.10653724137931035</v>
      </c>
      <c r="Z346" s="1">
        <f>+Q345/(R345*BH345)^0.5</f>
        <v>13.588578482540234</v>
      </c>
      <c r="AB346" s="1"/>
      <c r="AC346" s="268">
        <f>+BH345/W346</f>
        <v>1.1716738197424894</v>
      </c>
      <c r="AD346" s="1">
        <f>((AC346^0.5)*(AC346-1)/(1+AC346^1.5))</f>
        <v>8.1924461650055652E-2</v>
      </c>
      <c r="AE346" s="1">
        <f ref="AE346:AE352" si="84" t="shared">(R346*W346)^0.5</f>
        <v>4.6619306345525251</v>
      </c>
      <c r="AF346" s="1">
        <f>(0.61*(R346*W346)^0.5+3.84*AD346*P346)</f>
        <v>13.629718238032938</v>
      </c>
      <c r="AG346" s="1">
        <f ref="AG346:AG352" si="85" t="shared">12*AD346*P346</f>
        <v>33.706064221737179</v>
      </c>
      <c r="AH346" s="1">
        <f>1.22*AE346</f>
        <v>5.6875553741540807</v>
      </c>
      <c r="AI346" s="1">
        <f>MIN(AF346:AH346)</f>
        <v>5.6875553741540807</v>
      </c>
      <c r="AJ346" s="305">
        <f ref="AJ346:AJ352" si="86" t="shared">AK346-U346</f>
        <v>0.10083234567649535</v>
      </c>
      <c r="AK346" s="1">
        <f ref="AK346:AK352" si="87" t="shared">2.6*d*(P346-AI346/12)*g/N346+U346</f>
        <v>0.10083234567649535</v>
      </c>
      <c r="AN346" s="1">
        <f>+BH345/AK346</f>
        <v>1.2379648188708368</v>
      </c>
      <c r="AO346" s="1">
        <f>((AN346^0.5)*(AN346-1)/(1+AN346^1.5))</f>
        <v>0.11136873114155871</v>
      </c>
      <c r="AP346" s="1">
        <f>(0.61*(R346*AK346)^0.5+3.84*AO346*P346)</f>
        <v>17.4290792711144</v>
      </c>
      <c r="AQ346" s="1">
        <f ref="AQ346:AQ352" si="88" t="shared">12*AO346*P346</f>
        <v>45.820277955384149</v>
      </c>
      <c r="AR346" s="1">
        <f ref="AR346:AR352" si="89" t="shared">1.22*(R346*AK346)^0.5</f>
        <v>5.5331806507829393</v>
      </c>
      <c r="AS346" s="1">
        <f>MIN(AP346:AR346)</f>
        <v>5.5331806507829393</v>
      </c>
      <c r="AT346" s="1">
        <f ref="AT346:AT352" si="90" t="shared">2.6*d*(P346-AS346/12)*g/N346+U346</f>
        <v>0.10087070996517893</v>
      </c>
      <c r="AW346" s="1">
        <f>+BH345/AT346</f>
        <v>1.2374939820966366</v>
      </c>
      <c r="AX346" s="1">
        <f>((AW346^0.5)*(AW346-1)/(1+AW346^1.5))</f>
        <v>0.11116397819437381</v>
      </c>
      <c r="AY346" s="1">
        <f>(0.61*(R346*AT346)^0.5+3.84*AX346*P346)</f>
        <v>17.402648343669657</v>
      </c>
      <c r="AZ346" s="1">
        <f ref="AZ346:AZ352" si="91" t="shared">12*AX346*P346</f>
        <v>45.736036742828084</v>
      </c>
      <c r="BA346" s="1">
        <f ref="BA346:BA352" si="92" t="shared">1.22*(R346*AT346)^0.5</f>
        <v>5.5342331719293458</v>
      </c>
      <c r="BB346" s="1">
        <f>MIN(AY346:BA346)</f>
        <v>5.5342331719293458</v>
      </c>
      <c r="BC346" s="1">
        <f ref="BC346:BC352" si="93" t="shared">2.6*d*(P346-BB346/12)*g/N346+U346</f>
        <v>0.10087044839887956</v>
      </c>
      <c r="BD346" s="1">
        <f>Z346</f>
        <v>13.588578482540234</v>
      </c>
      <c r="BE346" s="1">
        <f>BH345</f>
        <v>0.12482689655172416</v>
      </c>
      <c r="BF346" s="1">
        <f>BC346</f>
        <v>0.10087044839887956</v>
      </c>
      <c r="BG346" s="1">
        <f>BC346+((BH345-BC346))*(2.1-((Q345/(1.25*R346*BH345)^0.5)))</f>
        <v>-0.13998753955125642</v>
      </c>
      <c r="BH346" s="1">
        <f>(IF(BD346&lt;=1.375,BE346,IF(BD346&gt;=2.625,BF346,BG346)))</f>
        <v>0.10087044839887956</v>
      </c>
      <c r="BI346" s="1">
        <f si="60" t="shared"/>
        <v>0.375</v>
      </c>
    </row>
    <row ht="15" r="347" spans="3:62" x14ac:dyDescent="0.25">
      <c r="C347" s="1">
        <v>3</v>
      </c>
      <c r="D347" s="1">
        <f si="80" t="shared"/>
        <v>0.375</v>
      </c>
      <c r="E347" s="4">
        <f si="80" t="shared"/>
        <v>12.857142857142856</v>
      </c>
      <c r="F347" s="5">
        <f si="81" t="shared"/>
        <v>30</v>
      </c>
      <c r="G347" s="492">
        <f si="75" t="shared"/>
        <v>0.85</v>
      </c>
      <c r="H347" s="338">
        <f si="76" t="shared"/>
        <v>36000</v>
      </c>
      <c r="I347" s="338"/>
      <c r="J347" s="338"/>
      <c r="K347" s="339"/>
      <c r="L347" s="338"/>
      <c r="M347" s="338">
        <f si="77" t="shared"/>
        <v>23200</v>
      </c>
      <c r="N347" s="338">
        <f si="77" t="shared"/>
        <v>24900</v>
      </c>
      <c r="O347" s="338"/>
      <c r="P347" s="1">
        <f si="82" t="shared"/>
        <v>22.857142857142854</v>
      </c>
      <c r="Q347" s="1">
        <f si="82" t="shared"/>
        <v>205.71428571428572</v>
      </c>
      <c r="R347" s="1">
        <f si="78" t="shared"/>
        <v>204</v>
      </c>
      <c r="U347" s="305">
        <f ref="U347:U352" si="94" t="shared">+U346</f>
        <v>0</v>
      </c>
      <c r="V347" s="305">
        <f si="83" t="shared"/>
        <v>6.9957931034482737E-2</v>
      </c>
      <c r="W347" s="305">
        <f si="79" t="shared"/>
        <v>6.9957931034482737E-2</v>
      </c>
      <c r="AB347" s="1"/>
      <c r="AC347" s="268">
        <f>BH346/W347</f>
        <v>1.4418729500327823</v>
      </c>
      <c r="AD347" s="1">
        <f ref="AD347:AD352" si="95" t="shared">((AC347^0.5)*(AC347-1)/(1+AC347^1.5))</f>
        <v>0.19425848435126677</v>
      </c>
      <c r="AE347" s="1">
        <f si="84" t="shared"/>
        <v>3.7777530267388415</v>
      </c>
      <c r="AF347" s="1">
        <f ref="AF347:AF352" si="96" t="shared">(0.61*AE347+3.84*AD347*P347)</f>
        <v>19.354774029941879</v>
      </c>
      <c r="AG347" s="1">
        <f si="85" t="shared"/>
        <v>53.282327136347448</v>
      </c>
      <c r="AH347" s="1">
        <f ref="AH347:AH352" si="97" t="shared">1.22*(R347*W347)^0.5</f>
        <v>4.6088586926213866</v>
      </c>
      <c r="AI347" s="1">
        <f ref="AI347:AI352" si="98" t="shared">MIN(AF347:AH347)</f>
        <v>4.6088586926213866</v>
      </c>
      <c r="AJ347" s="305">
        <f si="86" t="shared"/>
        <v>6.7018489253416011E-2</v>
      </c>
      <c r="AK347" s="1">
        <f si="87" t="shared"/>
        <v>6.7018489253416011E-2</v>
      </c>
      <c r="AN347" s="1">
        <f>+BG346/AK347</f>
        <v>-2.0887898415901862</v>
      </c>
      <c r="AO347" s="1" t="e">
        <f ref="AO347:AO352" si="99" t="shared">((AN347^0.5)*(AN347-1)/(1+AN347^1.5))</f>
        <v>#NUM!</v>
      </c>
      <c r="AP347" s="1" t="e">
        <f ref="AP347:AP352" si="100" t="shared">(0.61*(R347*D347)^0.5+3.84*AO347*P347)</f>
        <v>#NUM!</v>
      </c>
      <c r="AQ347" s="1" t="e">
        <f si="88" t="shared"/>
        <v>#NUM!</v>
      </c>
      <c r="AR347" s="1">
        <f si="89" t="shared"/>
        <v>4.510993810522911</v>
      </c>
      <c r="AS347" s="1" t="e">
        <f ref="AS347:AS352" si="101" t="shared">MIN(AP347:AR347)</f>
        <v>#NUM!</v>
      </c>
      <c r="AT347" s="1" t="e">
        <f si="90" t="shared"/>
        <v>#NUM!</v>
      </c>
      <c r="AW347" s="1" t="e">
        <f>+BG346/AT347</f>
        <v>#NUM!</v>
      </c>
      <c r="AX347" s="1" t="e">
        <f ref="AX347:AX352" si="102" t="shared">((AW347^0.5)*(AW347-1)/(1+AW347^1.5))</f>
        <v>#NUM!</v>
      </c>
      <c r="AY347" s="1" t="e">
        <f ref="AY347:AY352" si="103" t="shared">(0.61*(R347*D347)^0.5+3.84*AX347*P347)</f>
        <v>#NUM!</v>
      </c>
      <c r="AZ347" s="1" t="e">
        <f si="91" t="shared"/>
        <v>#NUM!</v>
      </c>
      <c r="BA347" s="1" t="e">
        <f si="92" t="shared"/>
        <v>#NUM!</v>
      </c>
      <c r="BB347" s="1" t="e">
        <f ref="BB347:BB352" si="104" t="shared">MIN(AY347:BA347)</f>
        <v>#NUM!</v>
      </c>
      <c r="BC347" s="1" t="e">
        <f si="93" t="shared"/>
        <v>#NUM!</v>
      </c>
      <c r="BH347" s="1" t="e">
        <f ref="BH347:BH352" si="105" t="shared">BC347</f>
        <v>#NUM!</v>
      </c>
      <c r="BI347" s="1" t="e">
        <f si="60" t="shared"/>
        <v>#NUM!</v>
      </c>
    </row>
    <row ht="15" r="348" spans="3:62" x14ac:dyDescent="0.25">
      <c r="C348" s="1">
        <v>4</v>
      </c>
      <c r="D348" s="1">
        <f si="80" t="shared"/>
        <v>0.3125</v>
      </c>
      <c r="E348" s="4">
        <f si="80" t="shared"/>
        <v>-4.2857142857142865</v>
      </c>
      <c r="F348" s="5">
        <f si="81" t="shared"/>
        <v>30</v>
      </c>
      <c r="G348" s="492">
        <f si="75" t="shared"/>
        <v>0.85</v>
      </c>
      <c r="H348" s="338">
        <f si="76" t="shared"/>
        <v>36000</v>
      </c>
      <c r="I348" s="338"/>
      <c r="J348" s="338"/>
      <c r="K348" s="339"/>
      <c r="L348" s="338"/>
      <c r="M348" s="338">
        <f si="77" t="shared"/>
        <v>23200</v>
      </c>
      <c r="N348" s="338">
        <f si="77" t="shared"/>
        <v>24900</v>
      </c>
      <c r="O348" s="338"/>
      <c r="P348" s="1">
        <f si="82" t="shared"/>
        <v>0</v>
      </c>
      <c r="Q348" s="1">
        <f si="82" t="shared"/>
        <v>274.28571428571428</v>
      </c>
      <c r="R348" s="1">
        <f si="78" t="shared"/>
        <v>204</v>
      </c>
      <c r="U348" s="305">
        <f si="94" t="shared"/>
        <v>0</v>
      </c>
      <c r="V348" s="305">
        <f si="83" t="shared"/>
        <v>-3.2006896551724138E-3</v>
      </c>
      <c r="W348" s="305">
        <f si="79" t="shared"/>
        <v>-3.2006896551724138E-3</v>
      </c>
      <c r="AB348" s="1"/>
      <c r="AC348" s="268" t="e">
        <f>+BH347/W348</f>
        <v>#NUM!</v>
      </c>
      <c r="AD348" s="1" t="e">
        <f si="95" t="shared"/>
        <v>#NUM!</v>
      </c>
      <c r="AE348" s="1" t="e">
        <f si="84" t="shared"/>
        <v>#NUM!</v>
      </c>
      <c r="AF348" s="1" t="e">
        <f si="96" t="shared"/>
        <v>#NUM!</v>
      </c>
      <c r="AG348" s="1" t="e">
        <f si="85" t="shared"/>
        <v>#NUM!</v>
      </c>
      <c r="AH348" s="1" t="e">
        <f si="97" t="shared"/>
        <v>#NUM!</v>
      </c>
      <c r="AI348" s="1" t="e">
        <f si="98" t="shared"/>
        <v>#NUM!</v>
      </c>
      <c r="AJ348" s="305" t="e">
        <f si="86" t="shared"/>
        <v>#NUM!</v>
      </c>
      <c r="AK348" s="1" t="e">
        <f si="87" t="shared"/>
        <v>#NUM!</v>
      </c>
      <c r="AN348" s="1" t="e">
        <f>+BH347/AK348</f>
        <v>#NUM!</v>
      </c>
      <c r="AO348" s="1" t="e">
        <f si="99" t="shared"/>
        <v>#NUM!</v>
      </c>
      <c r="AP348" s="1" t="e">
        <f si="100" t="shared"/>
        <v>#NUM!</v>
      </c>
      <c r="AQ348" s="1" t="e">
        <f si="88" t="shared"/>
        <v>#NUM!</v>
      </c>
      <c r="AR348" s="1" t="e">
        <f si="89" t="shared"/>
        <v>#NUM!</v>
      </c>
      <c r="AS348" s="1" t="e">
        <f si="101" t="shared"/>
        <v>#NUM!</v>
      </c>
      <c r="AT348" s="1" t="e">
        <f si="90" t="shared"/>
        <v>#NUM!</v>
      </c>
      <c r="AW348" s="1" t="e">
        <f>+BH347/AT348</f>
        <v>#NUM!</v>
      </c>
      <c r="AX348" s="1" t="e">
        <f si="102" t="shared"/>
        <v>#NUM!</v>
      </c>
      <c r="AY348" s="1" t="e">
        <f si="103" t="shared"/>
        <v>#NUM!</v>
      </c>
      <c r="AZ348" s="1" t="e">
        <f si="91" t="shared"/>
        <v>#NUM!</v>
      </c>
      <c r="BA348" s="1" t="e">
        <f si="92" t="shared"/>
        <v>#NUM!</v>
      </c>
      <c r="BB348" s="1" t="e">
        <f si="104" t="shared"/>
        <v>#NUM!</v>
      </c>
      <c r="BC348" s="1" t="e">
        <f si="93" t="shared"/>
        <v>#NUM!</v>
      </c>
      <c r="BH348" s="1" t="e">
        <f si="105" t="shared"/>
        <v>#NUM!</v>
      </c>
      <c r="BI348" s="1" t="e">
        <f si="60" t="shared"/>
        <v>#NUM!</v>
      </c>
    </row>
    <row ht="15" r="349" spans="3:62" x14ac:dyDescent="0.25">
      <c r="C349" s="1">
        <v>5</v>
      </c>
      <c r="D349" s="1">
        <f si="80" t="shared"/>
        <v>0.3125</v>
      </c>
      <c r="E349" s="4">
        <f si="80" t="shared"/>
        <v>-27.142857142857146</v>
      </c>
      <c r="F349" s="5">
        <f si="81" t="shared"/>
        <v>30</v>
      </c>
      <c r="G349" s="492">
        <f si="75" t="shared"/>
        <v>0.85</v>
      </c>
      <c r="H349" s="338">
        <f si="76" t="shared"/>
        <v>36000</v>
      </c>
      <c r="I349" s="338"/>
      <c r="J349" s="338"/>
      <c r="K349" s="339"/>
      <c r="L349" s="338"/>
      <c r="M349" s="338">
        <f si="77" t="shared"/>
        <v>23200</v>
      </c>
      <c r="N349" s="338">
        <f si="77" t="shared"/>
        <v>24900</v>
      </c>
      <c r="O349" s="338"/>
      <c r="P349" s="1">
        <f si="82" t="shared"/>
        <v>0</v>
      </c>
      <c r="Q349" s="1">
        <f si="82" t="shared"/>
        <v>342.85714285714289</v>
      </c>
      <c r="R349" s="1">
        <f si="78" t="shared"/>
        <v>204</v>
      </c>
      <c r="U349" s="305">
        <f si="94" t="shared"/>
        <v>0</v>
      </c>
      <c r="V349" s="305">
        <f si="83" t="shared"/>
        <v>-3.2006896551724138E-3</v>
      </c>
      <c r="W349" s="305">
        <f si="79" t="shared"/>
        <v>-3.2006896551724138E-3</v>
      </c>
      <c r="AB349" s="1"/>
      <c r="AC349" s="268" t="e">
        <f>+BH348/W349</f>
        <v>#NUM!</v>
      </c>
      <c r="AD349" s="1" t="e">
        <f si="95" t="shared"/>
        <v>#NUM!</v>
      </c>
      <c r="AE349" s="1" t="e">
        <f si="84" t="shared"/>
        <v>#NUM!</v>
      </c>
      <c r="AF349" s="1" t="e">
        <f si="96" t="shared"/>
        <v>#NUM!</v>
      </c>
      <c r="AG349" s="1" t="e">
        <f si="85" t="shared"/>
        <v>#NUM!</v>
      </c>
      <c r="AH349" s="1" t="e">
        <f si="97" t="shared"/>
        <v>#NUM!</v>
      </c>
      <c r="AI349" s="1" t="e">
        <f si="98" t="shared"/>
        <v>#NUM!</v>
      </c>
      <c r="AJ349" s="305" t="e">
        <f si="86" t="shared"/>
        <v>#NUM!</v>
      </c>
      <c r="AK349" s="1" t="e">
        <f si="87" t="shared"/>
        <v>#NUM!</v>
      </c>
      <c r="AN349" s="1" t="e">
        <f>+BH348/AK349</f>
        <v>#NUM!</v>
      </c>
      <c r="AO349" s="1" t="e">
        <f si="99" t="shared"/>
        <v>#NUM!</v>
      </c>
      <c r="AP349" s="1" t="e">
        <f si="100" t="shared"/>
        <v>#NUM!</v>
      </c>
      <c r="AQ349" s="1" t="e">
        <f si="88" t="shared"/>
        <v>#NUM!</v>
      </c>
      <c r="AR349" s="1" t="e">
        <f si="89" t="shared"/>
        <v>#NUM!</v>
      </c>
      <c r="AS349" s="1" t="e">
        <f si="101" t="shared"/>
        <v>#NUM!</v>
      </c>
      <c r="AT349" s="1" t="e">
        <f si="90" t="shared"/>
        <v>#NUM!</v>
      </c>
      <c r="AW349" s="1" t="e">
        <f>+BH348/AT349</f>
        <v>#NUM!</v>
      </c>
      <c r="AX349" s="1" t="e">
        <f si="102" t="shared"/>
        <v>#NUM!</v>
      </c>
      <c r="AY349" s="1" t="e">
        <f si="103" t="shared"/>
        <v>#NUM!</v>
      </c>
      <c r="AZ349" s="1" t="e">
        <f si="91" t="shared"/>
        <v>#NUM!</v>
      </c>
      <c r="BA349" s="1" t="e">
        <f si="92" t="shared"/>
        <v>#NUM!</v>
      </c>
      <c r="BB349" s="1" t="e">
        <f si="104" t="shared"/>
        <v>#NUM!</v>
      </c>
      <c r="BC349" s="1" t="e">
        <f si="93" t="shared"/>
        <v>#NUM!</v>
      </c>
      <c r="BH349" s="1" t="e">
        <f si="105" t="shared"/>
        <v>#NUM!</v>
      </c>
      <c r="BI349" s="1" t="e">
        <f si="60" t="shared"/>
        <v>#NUM!</v>
      </c>
    </row>
    <row ht="15" r="350" spans="3:62" x14ac:dyDescent="0.25">
      <c r="C350" s="1">
        <v>6</v>
      </c>
      <c r="D350" s="1">
        <f si="80" t="shared"/>
        <v>0</v>
      </c>
      <c r="E350" s="4">
        <f si="80" t="shared"/>
        <v>-55.714285714285722</v>
      </c>
      <c r="F350" s="5">
        <f si="81" t="shared"/>
        <v>30</v>
      </c>
      <c r="G350" s="492">
        <f si="75" t="shared"/>
        <v>0.85</v>
      </c>
      <c r="H350" s="338">
        <f si="76" t="shared"/>
        <v>36000</v>
      </c>
      <c r="I350" s="338"/>
      <c r="J350" s="338"/>
      <c r="K350" s="339"/>
      <c r="L350" s="338"/>
      <c r="M350" s="338">
        <f si="77" t="shared"/>
        <v>23200</v>
      </c>
      <c r="N350" s="338">
        <f si="77" t="shared"/>
        <v>24900</v>
      </c>
      <c r="O350" s="338"/>
      <c r="P350" s="1">
        <f si="82" t="shared"/>
        <v>0</v>
      </c>
      <c r="Q350" s="1">
        <f si="82" t="shared"/>
        <v>411.42857142857144</v>
      </c>
      <c r="R350" s="1">
        <f si="78" t="shared"/>
        <v>204</v>
      </c>
      <c r="U350" s="305">
        <f si="94" t="shared"/>
        <v>0</v>
      </c>
      <c r="V350" s="305">
        <f si="83" t="shared"/>
        <v>-3.2006896551724138E-3</v>
      </c>
      <c r="W350" s="305">
        <f si="79" t="shared"/>
        <v>-3.2006896551724138E-3</v>
      </c>
      <c r="AB350" s="1"/>
      <c r="AC350" s="268" t="e">
        <f>+BH349/W350</f>
        <v>#NUM!</v>
      </c>
      <c r="AD350" s="1" t="e">
        <f si="95" t="shared"/>
        <v>#NUM!</v>
      </c>
      <c r="AE350" s="1" t="e">
        <f si="84" t="shared"/>
        <v>#NUM!</v>
      </c>
      <c r="AF350" s="1" t="e">
        <f si="96" t="shared"/>
        <v>#NUM!</v>
      </c>
      <c r="AG350" s="1" t="e">
        <f si="85" t="shared"/>
        <v>#NUM!</v>
      </c>
      <c r="AH350" s="1" t="e">
        <f si="97" t="shared"/>
        <v>#NUM!</v>
      </c>
      <c r="AI350" s="1" t="e">
        <f si="98" t="shared"/>
        <v>#NUM!</v>
      </c>
      <c r="AJ350" s="305" t="e">
        <f si="86" t="shared"/>
        <v>#NUM!</v>
      </c>
      <c r="AK350" s="1" t="e">
        <f si="87" t="shared"/>
        <v>#NUM!</v>
      </c>
      <c r="AN350" s="1" t="e">
        <f>+BH349/AK350</f>
        <v>#NUM!</v>
      </c>
      <c r="AO350" s="1" t="e">
        <f si="99" t="shared"/>
        <v>#NUM!</v>
      </c>
      <c r="AP350" s="1" t="e">
        <f si="100" t="shared"/>
        <v>#NUM!</v>
      </c>
      <c r="AQ350" s="1" t="e">
        <f si="88" t="shared"/>
        <v>#NUM!</v>
      </c>
      <c r="AR350" s="1" t="e">
        <f si="89" t="shared"/>
        <v>#NUM!</v>
      </c>
      <c r="AS350" s="1" t="e">
        <f si="101" t="shared"/>
        <v>#NUM!</v>
      </c>
      <c r="AT350" s="1" t="e">
        <f si="90" t="shared"/>
        <v>#NUM!</v>
      </c>
      <c r="AW350" s="1" t="e">
        <f>+BH349/AT350</f>
        <v>#NUM!</v>
      </c>
      <c r="AX350" s="1" t="e">
        <f si="102" t="shared"/>
        <v>#NUM!</v>
      </c>
      <c r="AY350" s="1" t="e">
        <f si="103" t="shared"/>
        <v>#NUM!</v>
      </c>
      <c r="AZ350" s="1" t="e">
        <f si="91" t="shared"/>
        <v>#NUM!</v>
      </c>
      <c r="BA350" s="1" t="e">
        <f si="92" t="shared"/>
        <v>#NUM!</v>
      </c>
      <c r="BB350" s="1" t="e">
        <f si="104" t="shared"/>
        <v>#NUM!</v>
      </c>
      <c r="BC350" s="1" t="e">
        <f si="93" t="shared"/>
        <v>#NUM!</v>
      </c>
      <c r="BH350" s="1" t="e">
        <f si="105" t="shared"/>
        <v>#NUM!</v>
      </c>
      <c r="BI350" s="1" t="e">
        <f si="60" t="shared"/>
        <v>#NUM!</v>
      </c>
    </row>
    <row ht="15" r="351" spans="3:62" x14ac:dyDescent="0.25">
      <c r="C351" s="1">
        <v>7</v>
      </c>
      <c r="D351" s="1">
        <f si="80" t="shared"/>
        <v>0</v>
      </c>
      <c r="E351" s="4">
        <f si="80" t="shared"/>
        <v>-90</v>
      </c>
      <c r="F351" s="5">
        <f si="81" t="shared"/>
        <v>30</v>
      </c>
      <c r="G351" s="492">
        <f si="75" t="shared"/>
        <v>0.85</v>
      </c>
      <c r="H351" s="338">
        <f si="76" t="shared"/>
        <v>36000</v>
      </c>
      <c r="I351" s="338"/>
      <c r="J351" s="338"/>
      <c r="K351" s="339"/>
      <c r="L351" s="338"/>
      <c r="M351" s="338">
        <f si="77" t="shared"/>
        <v>23200</v>
      </c>
      <c r="N351" s="338">
        <f si="77" t="shared"/>
        <v>24900</v>
      </c>
      <c r="O351" s="338"/>
      <c r="P351" s="1">
        <f si="82" t="shared"/>
        <v>0</v>
      </c>
      <c r="Q351" s="1">
        <f si="82" t="shared"/>
        <v>480</v>
      </c>
      <c r="R351" s="1">
        <f si="78" t="shared"/>
        <v>204</v>
      </c>
      <c r="U351" s="305">
        <f si="94" t="shared"/>
        <v>0</v>
      </c>
      <c r="V351" s="305">
        <f si="83" t="shared"/>
        <v>-3.2006896551724138E-3</v>
      </c>
      <c r="W351" s="305">
        <f si="79" t="shared"/>
        <v>-3.2006896551724138E-3</v>
      </c>
      <c r="AB351" s="1"/>
      <c r="AC351" s="268" t="e">
        <f>+BH350/W351</f>
        <v>#NUM!</v>
      </c>
      <c r="AD351" s="1" t="e">
        <f si="95" t="shared"/>
        <v>#NUM!</v>
      </c>
      <c r="AE351" s="1" t="e">
        <f si="84" t="shared"/>
        <v>#NUM!</v>
      </c>
      <c r="AF351" s="1" t="e">
        <f si="96" t="shared"/>
        <v>#NUM!</v>
      </c>
      <c r="AG351" s="1" t="e">
        <f si="85" t="shared"/>
        <v>#NUM!</v>
      </c>
      <c r="AH351" s="1" t="e">
        <f si="97" t="shared"/>
        <v>#NUM!</v>
      </c>
      <c r="AI351" s="1" t="e">
        <f si="98" t="shared"/>
        <v>#NUM!</v>
      </c>
      <c r="AJ351" s="305" t="e">
        <f si="86" t="shared"/>
        <v>#NUM!</v>
      </c>
      <c r="AK351" s="1" t="e">
        <f si="87" t="shared"/>
        <v>#NUM!</v>
      </c>
      <c r="AN351" s="1" t="e">
        <f>+BH350/AK351</f>
        <v>#NUM!</v>
      </c>
      <c r="AO351" s="1" t="e">
        <f si="99" t="shared"/>
        <v>#NUM!</v>
      </c>
      <c r="AP351" s="1" t="e">
        <f si="100" t="shared"/>
        <v>#NUM!</v>
      </c>
      <c r="AQ351" s="1" t="e">
        <f si="88" t="shared"/>
        <v>#NUM!</v>
      </c>
      <c r="AR351" s="1" t="e">
        <f si="89" t="shared"/>
        <v>#NUM!</v>
      </c>
      <c r="AS351" s="1" t="e">
        <f si="101" t="shared"/>
        <v>#NUM!</v>
      </c>
      <c r="AT351" s="1" t="e">
        <f si="90" t="shared"/>
        <v>#NUM!</v>
      </c>
      <c r="AW351" s="1" t="e">
        <f>+BH350/AT351</f>
        <v>#NUM!</v>
      </c>
      <c r="AX351" s="1" t="e">
        <f si="102" t="shared"/>
        <v>#NUM!</v>
      </c>
      <c r="AY351" s="1" t="e">
        <f si="103" t="shared"/>
        <v>#NUM!</v>
      </c>
      <c r="AZ351" s="1" t="e">
        <f si="91" t="shared"/>
        <v>#NUM!</v>
      </c>
      <c r="BA351" s="1" t="e">
        <f si="92" t="shared"/>
        <v>#NUM!</v>
      </c>
      <c r="BB351" s="1" t="e">
        <f si="104" t="shared"/>
        <v>#NUM!</v>
      </c>
      <c r="BC351" s="1" t="e">
        <f si="93" t="shared"/>
        <v>#NUM!</v>
      </c>
      <c r="BH351" s="1" t="e">
        <f si="105" t="shared"/>
        <v>#NUM!</v>
      </c>
      <c r="BI351" s="1" t="e">
        <f si="60" t="shared"/>
        <v>#NUM!</v>
      </c>
    </row>
    <row ht="15" r="352" spans="3:62" x14ac:dyDescent="0.25">
      <c r="C352" s="1">
        <v>8</v>
      </c>
      <c r="D352" s="1">
        <f si="80" t="shared"/>
        <v>0</v>
      </c>
      <c r="E352" s="4">
        <f si="80" t="shared"/>
        <v>-130</v>
      </c>
      <c r="F352" s="5">
        <f si="81" t="shared"/>
        <v>30</v>
      </c>
      <c r="G352" s="492">
        <f si="75" t="shared"/>
        <v>0.85</v>
      </c>
      <c r="H352" s="338">
        <f si="76" t="shared"/>
        <v>36000</v>
      </c>
      <c r="I352" s="338"/>
      <c r="J352" s="338"/>
      <c r="K352" s="339"/>
      <c r="L352" s="338"/>
      <c r="M352" s="338">
        <f si="77" t="shared"/>
        <v>23200</v>
      </c>
      <c r="N352" s="338">
        <f si="77" t="shared"/>
        <v>24900</v>
      </c>
      <c r="O352" s="338"/>
      <c r="P352" s="1">
        <f si="82" t="shared"/>
        <v>0</v>
      </c>
      <c r="Q352" s="1" t="e">
        <f si="82" t="shared"/>
        <v>#REF!</v>
      </c>
      <c r="R352" s="1">
        <f si="78" t="shared"/>
        <v>204</v>
      </c>
      <c r="U352" s="305">
        <f si="94" t="shared"/>
        <v>0</v>
      </c>
      <c r="V352" s="305">
        <f si="83" t="shared"/>
        <v>-3.2006896551724138E-3</v>
      </c>
      <c r="W352" s="305">
        <f si="79" t="shared"/>
        <v>-3.2006896551724138E-3</v>
      </c>
      <c r="AB352" s="1"/>
      <c r="AC352" s="268" t="e">
        <f>+BH351/W352</f>
        <v>#NUM!</v>
      </c>
      <c r="AD352" s="1" t="e">
        <f si="95" t="shared"/>
        <v>#NUM!</v>
      </c>
      <c r="AE352" s="1" t="e">
        <f si="84" t="shared"/>
        <v>#NUM!</v>
      </c>
      <c r="AF352" s="1" t="e">
        <f si="96" t="shared"/>
        <v>#NUM!</v>
      </c>
      <c r="AG352" s="1" t="e">
        <f si="85" t="shared"/>
        <v>#NUM!</v>
      </c>
      <c r="AH352" s="1" t="e">
        <f si="97" t="shared"/>
        <v>#NUM!</v>
      </c>
      <c r="AI352" s="1" t="e">
        <f si="98" t="shared"/>
        <v>#NUM!</v>
      </c>
      <c r="AJ352" s="305" t="e">
        <f si="86" t="shared"/>
        <v>#NUM!</v>
      </c>
      <c r="AK352" s="1" t="e">
        <f si="87" t="shared"/>
        <v>#NUM!</v>
      </c>
      <c r="AN352" s="1" t="e">
        <f>+BH351/AK352</f>
        <v>#NUM!</v>
      </c>
      <c r="AO352" s="1" t="e">
        <f si="99" t="shared"/>
        <v>#NUM!</v>
      </c>
      <c r="AP352" s="1" t="e">
        <f si="100" t="shared"/>
        <v>#NUM!</v>
      </c>
      <c r="AQ352" s="1" t="e">
        <f si="88" t="shared"/>
        <v>#NUM!</v>
      </c>
      <c r="AR352" s="1" t="e">
        <f si="89" t="shared"/>
        <v>#NUM!</v>
      </c>
      <c r="AS352" s="1" t="e">
        <f si="101" t="shared"/>
        <v>#NUM!</v>
      </c>
      <c r="AT352" s="1" t="e">
        <f si="90" t="shared"/>
        <v>#NUM!</v>
      </c>
      <c r="AW352" s="1" t="e">
        <f>+BH351/AT352</f>
        <v>#NUM!</v>
      </c>
      <c r="AX352" s="1" t="e">
        <f si="102" t="shared"/>
        <v>#NUM!</v>
      </c>
      <c r="AY352" s="1" t="e">
        <f si="103" t="shared"/>
        <v>#NUM!</v>
      </c>
      <c r="AZ352" s="1" t="e">
        <f si="91" t="shared"/>
        <v>#NUM!</v>
      </c>
      <c r="BA352" s="1" t="e">
        <f si="92" t="shared"/>
        <v>#NUM!</v>
      </c>
      <c r="BB352" s="1" t="e">
        <f si="104" t="shared"/>
        <v>#NUM!</v>
      </c>
      <c r="BC352" s="1" t="e">
        <f si="93" t="shared"/>
        <v>#NUM!</v>
      </c>
      <c r="BH352" s="1" t="e">
        <f si="105" t="shared"/>
        <v>#NUM!</v>
      </c>
      <c r="BI352" s="1" t="e">
        <f si="60" t="shared"/>
        <v>#NUM!</v>
      </c>
    </row>
    <row r="358" spans="4:5" x14ac:dyDescent="0.2">
      <c r="D358" s="1" t="s">
        <v>231</v>
      </c>
    </row>
    <row r="359" spans="4:5" x14ac:dyDescent="0.2">
      <c r="D359" s="1" t="s">
        <v>232</v>
      </c>
      <c r="E359" s="4">
        <v>0.45</v>
      </c>
    </row>
    <row r="360" spans="4:5" x14ac:dyDescent="0.2">
      <c r="D360" s="1" t="s">
        <v>233</v>
      </c>
      <c r="E360" s="4">
        <v>0.75</v>
      </c>
    </row>
    <row r="361" spans="4:5" x14ac:dyDescent="0.2">
      <c r="D361" s="1" t="s">
        <v>234</v>
      </c>
      <c r="E361" s="4">
        <v>0.6</v>
      </c>
    </row>
    <row r="362" spans="4:5" x14ac:dyDescent="0.2">
      <c r="D362" s="1" t="s">
        <v>235</v>
      </c>
      <c r="E362" s="4">
        <v>0.85</v>
      </c>
    </row>
    <row r="363" spans="4:5" x14ac:dyDescent="0.2">
      <c r="D363" s="1" t="s">
        <v>236</v>
      </c>
      <c r="E363" s="4">
        <v>0.7</v>
      </c>
    </row>
    <row r="364" spans="4:5" x14ac:dyDescent="0.2">
      <c r="D364" s="1" t="s">
        <v>237</v>
      </c>
      <c r="E364" s="4">
        <v>0.9</v>
      </c>
    </row>
    <row r="365" spans="4:5" x14ac:dyDescent="0.2">
      <c r="D365" s="1" t="s">
        <v>238</v>
      </c>
      <c r="E365" s="4">
        <v>0.75</v>
      </c>
    </row>
    <row r="366" spans="4:5" x14ac:dyDescent="0.2">
      <c r="D366" s="1" t="s">
        <v>239</v>
      </c>
      <c r="E366" s="4">
        <v>0.91</v>
      </c>
    </row>
    <row r="367" spans="4:5" x14ac:dyDescent="0.2">
      <c r="D367" s="1" t="s">
        <v>240</v>
      </c>
      <c r="E367" s="4">
        <v>0.92</v>
      </c>
    </row>
    <row r="368" spans="4:5" x14ac:dyDescent="0.2">
      <c r="D368" s="1" t="s">
        <v>241</v>
      </c>
      <c r="E368" s="4">
        <v>0.7</v>
      </c>
    </row>
    <row r="369" spans="2:19" x14ac:dyDescent="0.2">
      <c r="D369" s="1" t="s">
        <v>242</v>
      </c>
      <c r="E369" s="4">
        <v>0.85</v>
      </c>
    </row>
    <row r="370" spans="2:19" x14ac:dyDescent="0.2">
      <c r="D370" s="1" t="s">
        <v>243</v>
      </c>
      <c r="E370" s="4">
        <v>0.7</v>
      </c>
    </row>
    <row r="371" spans="2:19" x14ac:dyDescent="0.2">
      <c r="D371" s="1" t="s">
        <v>47</v>
      </c>
      <c r="E371" s="4">
        <v>1</v>
      </c>
    </row>
    <row r="372" spans="2:19" x14ac:dyDescent="0.2">
      <c r="D372" s="1" t="s">
        <v>244</v>
      </c>
      <c r="E372" s="4">
        <v>0.7</v>
      </c>
    </row>
    <row r="373" spans="2:19" x14ac:dyDescent="0.2">
      <c r="D373" s="1" t="s">
        <v>245</v>
      </c>
      <c r="E373" s="4">
        <v>0.35</v>
      </c>
    </row>
    <row r="375" spans="2:19" x14ac:dyDescent="0.2">
      <c r="D375" s="5">
        <v>1</v>
      </c>
      <c r="E375" s="5">
        <v>2</v>
      </c>
      <c r="F375" s="5">
        <v>3</v>
      </c>
      <c r="G375" s="5">
        <v>4</v>
      </c>
      <c r="H375" s="5">
        <v>5</v>
      </c>
      <c r="I375" s="5">
        <v>6</v>
      </c>
      <c r="J375" s="5">
        <v>7</v>
      </c>
      <c r="K375" s="5">
        <v>11</v>
      </c>
      <c r="L375" s="5">
        <v>12</v>
      </c>
      <c r="M375" s="5">
        <v>13</v>
      </c>
      <c r="N375" s="5">
        <v>14</v>
      </c>
      <c r="O375" s="5">
        <v>15</v>
      </c>
    </row>
    <row r="376" spans="2:19" x14ac:dyDescent="0.2">
      <c r="D376" s="1" t="s">
        <v>246</v>
      </c>
    </row>
    <row r="377" spans="2:19" x14ac:dyDescent="0.2">
      <c r="G377" s="494" t="s">
        <v>174</v>
      </c>
      <c r="H377" s="494"/>
      <c r="I377" s="494" t="s">
        <v>106</v>
      </c>
      <c r="J377" s="494"/>
      <c r="K377" s="495"/>
      <c r="P377" s="304" t="s">
        <v>247</v>
      </c>
      <c r="Q377" s="304"/>
    </row>
    <row r="378" spans="2:19" x14ac:dyDescent="0.2">
      <c r="B378" s="115" t="s">
        <v>248</v>
      </c>
      <c r="E378" s="4" t="s">
        <v>249</v>
      </c>
      <c r="F378" s="5" t="s">
        <v>250</v>
      </c>
      <c r="G378" s="5" t="s">
        <v>251</v>
      </c>
      <c r="H378" s="2" t="s">
        <v>252</v>
      </c>
      <c r="I378" s="2" t="s">
        <v>252</v>
      </c>
      <c r="J378" s="2" t="s">
        <v>252</v>
      </c>
      <c r="K378" s="496" t="s">
        <v>253</v>
      </c>
      <c r="L378" s="497" t="s">
        <v>254</v>
      </c>
      <c r="M378" s="498" t="s">
        <v>255</v>
      </c>
      <c r="N378" s="1" t="s">
        <v>256</v>
      </c>
      <c r="O378" s="217" t="s">
        <v>248</v>
      </c>
      <c r="P378" s="497" t="s">
        <v>254</v>
      </c>
      <c r="Q378" s="498" t="s">
        <v>255</v>
      </c>
    </row>
    <row ht="15" r="379" spans="2:19" x14ac:dyDescent="0.25">
      <c r="B379" s="268" t="s">
        <v>257</v>
      </c>
      <c r="D379" s="1" t="s">
        <v>258</v>
      </c>
      <c r="E379" s="338">
        <v>34000</v>
      </c>
      <c r="F379" s="338">
        <v>58000</v>
      </c>
      <c r="G379" s="338">
        <v>22700</v>
      </c>
      <c r="H379" s="338">
        <v>24900</v>
      </c>
      <c r="I379" s="338">
        <v>27400</v>
      </c>
      <c r="J379" s="338">
        <v>30100</v>
      </c>
      <c r="K379" s="339">
        <f ref="K379:K405" si="106" t="shared">0.472*F379</f>
        <v>27376</v>
      </c>
      <c r="L379" s="338" t="e">
        <f>MIN(#REF!)</f>
        <v>#REF!</v>
      </c>
      <c r="M379" s="338">
        <f ref="M379:M405" si="107" t="shared">MIN(K379:K379)</f>
        <v>27376</v>
      </c>
      <c r="N379" s="339">
        <v>21000</v>
      </c>
      <c r="O379" s="338" t="s">
        <v>257</v>
      </c>
      <c r="P379" s="1">
        <v>27400</v>
      </c>
      <c r="Q379" s="1">
        <v>30100</v>
      </c>
      <c r="S379" s="1">
        <f ref="S379:S403" si="108" t="shared">1.3333*G379</f>
        <v>30265.91</v>
      </c>
    </row>
    <row ht="15" r="380" spans="2:19" x14ac:dyDescent="0.25">
      <c r="B380" s="268" t="s">
        <v>259</v>
      </c>
      <c r="D380" s="1" t="s">
        <v>260</v>
      </c>
      <c r="E380" s="338">
        <v>34000</v>
      </c>
      <c r="F380" s="338">
        <v>58000</v>
      </c>
      <c r="G380" s="338">
        <v>22700</v>
      </c>
      <c r="H380" s="338">
        <v>24900</v>
      </c>
      <c r="I380" s="338">
        <v>27400</v>
      </c>
      <c r="J380" s="338">
        <v>30100</v>
      </c>
      <c r="K380" s="339">
        <f si="106" t="shared"/>
        <v>27376</v>
      </c>
      <c r="L380" s="338" t="e">
        <f>MIN(#REF!)</f>
        <v>#REF!</v>
      </c>
      <c r="M380" s="338">
        <f si="107" t="shared"/>
        <v>27376</v>
      </c>
      <c r="N380" s="339">
        <v>21000</v>
      </c>
      <c r="O380" s="338" t="s">
        <v>259</v>
      </c>
      <c r="P380" s="1">
        <v>27400</v>
      </c>
      <c r="Q380" s="1">
        <v>30100</v>
      </c>
      <c r="S380" s="1">
        <f si="108" t="shared"/>
        <v>30265.91</v>
      </c>
    </row>
    <row ht="15" r="381" spans="2:19" x14ac:dyDescent="0.25">
      <c r="B381" s="268" t="s">
        <v>261</v>
      </c>
      <c r="D381" s="1" t="s">
        <v>262</v>
      </c>
      <c r="E381" s="338">
        <v>34000</v>
      </c>
      <c r="F381" s="338">
        <v>58000</v>
      </c>
      <c r="G381" s="338">
        <v>22700</v>
      </c>
      <c r="H381" s="338">
        <v>24900</v>
      </c>
      <c r="I381" s="338">
        <v>27400</v>
      </c>
      <c r="J381" s="338">
        <v>30100</v>
      </c>
      <c r="K381" s="339">
        <f si="106" t="shared"/>
        <v>27376</v>
      </c>
      <c r="L381" s="338" t="e">
        <f>MIN(#REF!)</f>
        <v>#REF!</v>
      </c>
      <c r="M381" s="338">
        <f si="107" t="shared"/>
        <v>27376</v>
      </c>
      <c r="N381" s="339">
        <v>21000</v>
      </c>
      <c r="O381" s="338" t="s">
        <v>261</v>
      </c>
      <c r="P381" s="1">
        <v>27400</v>
      </c>
      <c r="Q381" s="1">
        <v>30100</v>
      </c>
      <c r="S381" s="1">
        <f si="108" t="shared"/>
        <v>30265.91</v>
      </c>
    </row>
    <row ht="15" r="382" spans="2:19" x14ac:dyDescent="0.25">
      <c r="B382" s="268" t="s">
        <v>263</v>
      </c>
      <c r="D382" s="1" t="s">
        <v>264</v>
      </c>
      <c r="E382" s="338">
        <v>51000</v>
      </c>
      <c r="F382" s="338">
        <v>71000</v>
      </c>
      <c r="G382" s="338">
        <v>28400</v>
      </c>
      <c r="H382" s="338">
        <v>30400</v>
      </c>
      <c r="I382" s="338">
        <v>33500</v>
      </c>
      <c r="J382" s="338">
        <v>36800</v>
      </c>
      <c r="K382" s="339">
        <f si="106" t="shared"/>
        <v>33512</v>
      </c>
      <c r="L382" s="338" t="e">
        <f>MIN(#REF!)</f>
        <v>#REF!</v>
      </c>
      <c r="M382" s="338">
        <f si="107" t="shared"/>
        <v>33512</v>
      </c>
      <c r="N382" s="339">
        <v>21000</v>
      </c>
      <c r="O382" s="338" t="s">
        <v>263</v>
      </c>
      <c r="P382" s="1">
        <v>33500</v>
      </c>
      <c r="Q382" s="1">
        <v>36800</v>
      </c>
      <c r="S382" s="1">
        <f si="108" t="shared"/>
        <v>37865.72</v>
      </c>
    </row>
    <row ht="15" r="383" spans="2:19" x14ac:dyDescent="0.25">
      <c r="B383" s="268" t="s">
        <v>257</v>
      </c>
      <c r="D383" s="1" t="s">
        <v>265</v>
      </c>
      <c r="E383" s="338">
        <v>30000</v>
      </c>
      <c r="F383" s="338">
        <v>55000</v>
      </c>
      <c r="G383" s="338">
        <v>20000</v>
      </c>
      <c r="H383" s="338">
        <v>22500</v>
      </c>
      <c r="I383" s="338">
        <v>26000</v>
      </c>
      <c r="J383" s="338">
        <v>27000</v>
      </c>
      <c r="K383" s="339">
        <f si="106" t="shared"/>
        <v>25960</v>
      </c>
      <c r="L383" s="338" t="e">
        <f>MIN(#REF!)</f>
        <v>#REF!</v>
      </c>
      <c r="M383" s="338">
        <f si="107" t="shared"/>
        <v>25960</v>
      </c>
      <c r="N383" s="339">
        <v>21000</v>
      </c>
      <c r="O383" s="338" t="s">
        <v>257</v>
      </c>
      <c r="P383" s="1">
        <v>26000</v>
      </c>
      <c r="Q383" s="1">
        <v>27000</v>
      </c>
      <c r="S383" s="1">
        <f si="108" t="shared"/>
        <v>26666</v>
      </c>
    </row>
    <row ht="15" r="384" spans="2:19" x14ac:dyDescent="0.25">
      <c r="B384" s="268" t="s">
        <v>257</v>
      </c>
      <c r="D384" s="1" t="s">
        <v>266</v>
      </c>
      <c r="E384" s="338">
        <v>30000</v>
      </c>
      <c r="F384" s="338">
        <v>55000</v>
      </c>
      <c r="G384" s="338">
        <v>20000</v>
      </c>
      <c r="H384" s="338">
        <v>22500</v>
      </c>
      <c r="I384" s="338">
        <v>26000</v>
      </c>
      <c r="J384" s="338">
        <v>27000</v>
      </c>
      <c r="K384" s="339">
        <f si="106" t="shared"/>
        <v>25960</v>
      </c>
      <c r="L384" s="338" t="e">
        <f>MIN(#REF!)</f>
        <v>#REF!</v>
      </c>
      <c r="M384" s="338">
        <f si="107" t="shared"/>
        <v>25960</v>
      </c>
      <c r="N384" s="339">
        <v>21000</v>
      </c>
      <c r="O384" s="338" t="s">
        <v>257</v>
      </c>
      <c r="P384" s="1">
        <v>26000</v>
      </c>
      <c r="Q384" s="1">
        <v>27000</v>
      </c>
      <c r="S384" s="1">
        <f si="108" t="shared"/>
        <v>26666</v>
      </c>
    </row>
    <row ht="15" r="385" spans="2:19" x14ac:dyDescent="0.25">
      <c r="B385" s="268" t="s">
        <v>259</v>
      </c>
      <c r="D385" s="1" t="s">
        <v>50</v>
      </c>
      <c r="E385" s="338">
        <v>36000</v>
      </c>
      <c r="F385" s="338">
        <v>58000</v>
      </c>
      <c r="G385" s="338">
        <v>23200</v>
      </c>
      <c r="H385" s="338">
        <v>24900</v>
      </c>
      <c r="I385" s="338">
        <v>27400</v>
      </c>
      <c r="J385" s="338">
        <v>30100</v>
      </c>
      <c r="K385" s="339">
        <f si="106" t="shared"/>
        <v>27376</v>
      </c>
      <c r="L385" s="338" t="e">
        <f>MIN(#REF!)</f>
        <v>#REF!</v>
      </c>
      <c r="M385" s="338">
        <f si="107" t="shared"/>
        <v>27376</v>
      </c>
      <c r="N385" s="339">
        <v>21000</v>
      </c>
      <c r="O385" s="338" t="s">
        <v>259</v>
      </c>
      <c r="P385" s="1">
        <v>27400</v>
      </c>
      <c r="Q385" s="1">
        <v>30100</v>
      </c>
      <c r="S385" s="1">
        <f si="108" t="shared"/>
        <v>30932.559999999998</v>
      </c>
    </row>
    <row ht="15" r="386" spans="2:19" x14ac:dyDescent="0.25">
      <c r="B386" s="268" t="s">
        <v>267</v>
      </c>
      <c r="D386" s="1" t="s">
        <v>268</v>
      </c>
      <c r="E386" s="338">
        <v>30000</v>
      </c>
      <c r="F386" s="338">
        <v>55000</v>
      </c>
      <c r="G386" s="338">
        <v>20000</v>
      </c>
      <c r="H386" s="338">
        <v>22500</v>
      </c>
      <c r="I386" s="338">
        <v>26000</v>
      </c>
      <c r="J386" s="338">
        <v>27000</v>
      </c>
      <c r="K386" s="339">
        <f si="106" t="shared"/>
        <v>25960</v>
      </c>
      <c r="L386" s="338" t="e">
        <f>MIN(#REF!)</f>
        <v>#REF!</v>
      </c>
      <c r="M386" s="338">
        <f si="107" t="shared"/>
        <v>25960</v>
      </c>
      <c r="N386" s="339">
        <v>21000</v>
      </c>
      <c r="O386" s="338" t="s">
        <v>267</v>
      </c>
      <c r="P386" s="1">
        <v>26000</v>
      </c>
      <c r="Q386" s="1">
        <v>27000</v>
      </c>
      <c r="S386" s="1">
        <f si="108" t="shared"/>
        <v>26666</v>
      </c>
    </row>
    <row ht="15" r="387" spans="2:19" x14ac:dyDescent="0.25">
      <c r="B387" s="268" t="s">
        <v>267</v>
      </c>
      <c r="D387" s="1" t="s">
        <v>269</v>
      </c>
      <c r="E387" s="338">
        <v>32000</v>
      </c>
      <c r="F387" s="338">
        <v>60000</v>
      </c>
      <c r="G387" s="338">
        <v>21300</v>
      </c>
      <c r="H387" s="338">
        <v>24000</v>
      </c>
      <c r="I387" s="338">
        <v>28200</v>
      </c>
      <c r="J387" s="338">
        <v>28800</v>
      </c>
      <c r="K387" s="339">
        <f si="106" t="shared"/>
        <v>28320</v>
      </c>
      <c r="L387" s="338" t="e">
        <f>MIN(#REF!)</f>
        <v>#REF!</v>
      </c>
      <c r="M387" s="338">
        <f si="107" t="shared"/>
        <v>28320</v>
      </c>
      <c r="N387" s="339">
        <v>21000</v>
      </c>
      <c r="O387" s="338" t="s">
        <v>267</v>
      </c>
      <c r="P387" s="1">
        <v>28200</v>
      </c>
      <c r="Q387" s="1">
        <v>28800</v>
      </c>
      <c r="S387" s="1">
        <f si="108" t="shared"/>
        <v>28399.289999999997</v>
      </c>
    </row>
    <row ht="15" r="388" spans="2:19" x14ac:dyDescent="0.25">
      <c r="B388" s="268" t="s">
        <v>270</v>
      </c>
      <c r="D388" s="1" t="s">
        <v>271</v>
      </c>
      <c r="E388" s="338">
        <v>35000</v>
      </c>
      <c r="F388" s="338">
        <v>65000</v>
      </c>
      <c r="G388" s="338">
        <v>23300</v>
      </c>
      <c r="H388" s="338">
        <v>26300</v>
      </c>
      <c r="I388" s="338">
        <v>30700</v>
      </c>
      <c r="J388" s="338">
        <v>31500</v>
      </c>
      <c r="K388" s="339">
        <f si="106" t="shared"/>
        <v>30680</v>
      </c>
      <c r="L388" s="338" t="e">
        <f>MIN(#REF!)</f>
        <v>#REF!</v>
      </c>
      <c r="M388" s="338">
        <f si="107" t="shared"/>
        <v>30680</v>
      </c>
      <c r="N388" s="339">
        <v>21000</v>
      </c>
      <c r="O388" s="338" t="s">
        <v>270</v>
      </c>
      <c r="P388" s="1">
        <v>30700</v>
      </c>
      <c r="Q388" s="1">
        <v>31500</v>
      </c>
      <c r="S388" s="1">
        <f si="108" t="shared"/>
        <v>31065.89</v>
      </c>
    </row>
    <row ht="15" r="389" spans="2:19" x14ac:dyDescent="0.25">
      <c r="B389" s="268" t="s">
        <v>270</v>
      </c>
      <c r="D389" s="1" t="s">
        <v>272</v>
      </c>
      <c r="E389" s="338">
        <v>38000</v>
      </c>
      <c r="F389" s="338">
        <v>70000</v>
      </c>
      <c r="G389" s="338">
        <v>25300</v>
      </c>
      <c r="H389" s="338">
        <v>28500</v>
      </c>
      <c r="I389" s="338">
        <v>33000</v>
      </c>
      <c r="J389" s="338">
        <v>34200</v>
      </c>
      <c r="K389" s="339">
        <f si="106" t="shared"/>
        <v>33040</v>
      </c>
      <c r="L389" s="338" t="e">
        <f>MIN(#REF!)</f>
        <v>#REF!</v>
      </c>
      <c r="M389" s="338">
        <f si="107" t="shared"/>
        <v>33040</v>
      </c>
      <c r="N389" s="339">
        <v>21000</v>
      </c>
      <c r="O389" s="338" t="s">
        <v>270</v>
      </c>
      <c r="P389" s="1">
        <v>33000</v>
      </c>
      <c r="Q389" s="1">
        <v>34200</v>
      </c>
      <c r="S389" s="1">
        <f si="108" t="shared"/>
        <v>33732.49</v>
      </c>
    </row>
    <row ht="15" r="390" spans="2:19" x14ac:dyDescent="0.25">
      <c r="B390" s="268" t="s">
        <v>263</v>
      </c>
      <c r="D390" s="1" t="s">
        <v>273</v>
      </c>
      <c r="E390" s="338">
        <v>50000</v>
      </c>
      <c r="F390" s="338">
        <v>70000</v>
      </c>
      <c r="G390" s="338">
        <v>28000</v>
      </c>
      <c r="H390" s="338">
        <v>30000</v>
      </c>
      <c r="I390" s="338">
        <v>33000</v>
      </c>
      <c r="J390" s="338">
        <v>36300</v>
      </c>
      <c r="K390" s="339">
        <f si="106" t="shared"/>
        <v>33040</v>
      </c>
      <c r="L390" s="338" t="e">
        <f>MIN(#REF!)</f>
        <v>#REF!</v>
      </c>
      <c r="M390" s="338">
        <f si="107" t="shared"/>
        <v>33040</v>
      </c>
      <c r="N390" s="339">
        <v>21000</v>
      </c>
      <c r="O390" s="338" t="s">
        <v>263</v>
      </c>
      <c r="P390" s="1">
        <v>33000</v>
      </c>
      <c r="Q390" s="1">
        <v>36300</v>
      </c>
      <c r="S390" s="1">
        <f si="108" t="shared"/>
        <v>37332.400000000001</v>
      </c>
    </row>
    <row ht="15" r="391" spans="2:19" x14ac:dyDescent="0.25">
      <c r="B391" s="268" t="s">
        <v>263</v>
      </c>
      <c r="D391" s="1" t="s">
        <v>274</v>
      </c>
      <c r="E391" s="338">
        <v>60000</v>
      </c>
      <c r="F391" s="338">
        <v>80000</v>
      </c>
      <c r="G391" s="338">
        <v>32000</v>
      </c>
      <c r="H391" s="338">
        <v>34300</v>
      </c>
      <c r="I391" s="338">
        <v>37800</v>
      </c>
      <c r="J391" s="338">
        <v>41500</v>
      </c>
      <c r="K391" s="339">
        <f si="106" t="shared"/>
        <v>37760</v>
      </c>
      <c r="L391" s="338" t="e">
        <f>MIN(#REF!)</f>
        <v>#REF!</v>
      </c>
      <c r="M391" s="338">
        <f si="107" t="shared"/>
        <v>37760</v>
      </c>
      <c r="N391" s="339">
        <v>21000</v>
      </c>
      <c r="O391" s="338" t="s">
        <v>263</v>
      </c>
      <c r="P391" s="1">
        <v>37800</v>
      </c>
      <c r="Q391" s="1">
        <v>41500</v>
      </c>
      <c r="S391" s="1">
        <f si="108" t="shared"/>
        <v>42665.599999999999</v>
      </c>
    </row>
    <row ht="15" r="392" spans="2:19" x14ac:dyDescent="0.25">
      <c r="B392" s="115" t="s">
        <v>261</v>
      </c>
      <c r="D392" s="1" t="s">
        <v>275</v>
      </c>
      <c r="E392" s="338">
        <v>32000</v>
      </c>
      <c r="F392" s="338">
        <v>58000</v>
      </c>
      <c r="G392" s="338">
        <v>21300</v>
      </c>
      <c r="H392" s="338">
        <v>24000</v>
      </c>
      <c r="I392" s="338">
        <v>27400</v>
      </c>
      <c r="J392" s="338">
        <v>28800</v>
      </c>
      <c r="K392" s="339">
        <f si="106" t="shared"/>
        <v>27376</v>
      </c>
      <c r="L392" s="338" t="e">
        <f>MIN(#REF!)</f>
        <v>#REF!</v>
      </c>
      <c r="M392" s="338">
        <f si="107" t="shared"/>
        <v>27376</v>
      </c>
      <c r="N392" s="339">
        <v>21000</v>
      </c>
      <c r="O392" s="338" t="s">
        <v>261</v>
      </c>
      <c r="P392" s="1">
        <v>27400</v>
      </c>
      <c r="Q392" s="1">
        <v>28800</v>
      </c>
      <c r="S392" s="1">
        <f si="108" t="shared"/>
        <v>28399.289999999997</v>
      </c>
    </row>
    <row ht="15" r="393" spans="2:19" x14ac:dyDescent="0.25">
      <c r="B393" s="115" t="s">
        <v>270</v>
      </c>
      <c r="D393" s="1" t="s">
        <v>276</v>
      </c>
      <c r="E393" s="338">
        <v>35000</v>
      </c>
      <c r="F393" s="338">
        <v>65000</v>
      </c>
      <c r="G393" s="338">
        <v>23300</v>
      </c>
      <c r="H393" s="338">
        <v>26300</v>
      </c>
      <c r="I393" s="338">
        <v>30700</v>
      </c>
      <c r="J393" s="338">
        <v>31500</v>
      </c>
      <c r="K393" s="339">
        <f si="106" t="shared"/>
        <v>30680</v>
      </c>
      <c r="L393" s="338" t="e">
        <f>MIN(#REF!)</f>
        <v>#REF!</v>
      </c>
      <c r="M393" s="338">
        <f si="107" t="shared"/>
        <v>30680</v>
      </c>
      <c r="N393" s="339">
        <v>21000</v>
      </c>
      <c r="O393" s="338" t="s">
        <v>270</v>
      </c>
      <c r="P393" s="1">
        <v>30700</v>
      </c>
      <c r="Q393" s="1">
        <v>31500</v>
      </c>
      <c r="S393" s="1">
        <f si="108" t="shared"/>
        <v>31065.89</v>
      </c>
    </row>
    <row ht="15" r="394" spans="2:19" x14ac:dyDescent="0.25">
      <c r="B394" s="115" t="s">
        <v>270</v>
      </c>
      <c r="D394" s="1" t="s">
        <v>48</v>
      </c>
      <c r="E394" s="338">
        <v>42000</v>
      </c>
      <c r="F394" s="338">
        <v>70000</v>
      </c>
      <c r="G394" s="338">
        <v>28000</v>
      </c>
      <c r="H394" s="338">
        <v>30000</v>
      </c>
      <c r="I394" s="338">
        <v>33000</v>
      </c>
      <c r="J394" s="338">
        <v>36300</v>
      </c>
      <c r="K394" s="339">
        <f si="106" t="shared"/>
        <v>33040</v>
      </c>
      <c r="L394" s="338" t="e">
        <f>MIN(#REF!)</f>
        <v>#REF!</v>
      </c>
      <c r="M394" s="338">
        <f si="107" t="shared"/>
        <v>33040</v>
      </c>
      <c r="N394" s="339">
        <v>21000</v>
      </c>
      <c r="O394" s="338" t="s">
        <v>270</v>
      </c>
      <c r="P394" s="1">
        <v>33000</v>
      </c>
      <c r="Q394" s="1">
        <v>36300</v>
      </c>
      <c r="S394" s="1">
        <f si="108" t="shared"/>
        <v>37332.400000000001</v>
      </c>
    </row>
    <row ht="15" r="395" spans="2:19" x14ac:dyDescent="0.25">
      <c r="B395" s="115" t="s">
        <v>270</v>
      </c>
      <c r="D395" s="1" t="s">
        <v>277</v>
      </c>
      <c r="E395" s="338">
        <v>40000</v>
      </c>
      <c r="F395" s="338">
        <v>65000</v>
      </c>
      <c r="G395" s="338">
        <v>26000</v>
      </c>
      <c r="H395" s="338">
        <v>27900</v>
      </c>
      <c r="I395" s="338">
        <v>30700</v>
      </c>
      <c r="J395" s="338">
        <v>33700</v>
      </c>
      <c r="K395" s="339">
        <f si="106" t="shared"/>
        <v>30680</v>
      </c>
      <c r="L395" s="338" t="e">
        <f>MIN(#REF!)</f>
        <v>#REF!</v>
      </c>
      <c r="M395" s="338">
        <f si="107" t="shared"/>
        <v>30680</v>
      </c>
      <c r="N395" s="339">
        <v>21000</v>
      </c>
      <c r="O395" s="338" t="s">
        <v>270</v>
      </c>
      <c r="P395" s="1">
        <v>30700</v>
      </c>
      <c r="Q395" s="1">
        <v>33700</v>
      </c>
      <c r="S395" s="1">
        <f si="108" t="shared"/>
        <v>34665.799999999996</v>
      </c>
    </row>
    <row ht="15" r="396" spans="2:19" x14ac:dyDescent="0.25">
      <c r="B396" s="115" t="s">
        <v>278</v>
      </c>
      <c r="D396" s="1" t="s">
        <v>279</v>
      </c>
      <c r="E396" s="338">
        <v>43000</v>
      </c>
      <c r="F396" s="338">
        <v>70000</v>
      </c>
      <c r="G396" s="338">
        <v>28000</v>
      </c>
      <c r="H396" s="338">
        <v>30000</v>
      </c>
      <c r="I396" s="338">
        <v>33000</v>
      </c>
      <c r="J396" s="338">
        <v>36300</v>
      </c>
      <c r="K396" s="339">
        <f si="106" t="shared"/>
        <v>33040</v>
      </c>
      <c r="L396" s="338" t="e">
        <f>MIN(#REF!)</f>
        <v>#REF!</v>
      </c>
      <c r="M396" s="338">
        <f si="107" t="shared"/>
        <v>33040</v>
      </c>
      <c r="N396" s="339">
        <v>21000</v>
      </c>
      <c r="O396" s="338" t="s">
        <v>278</v>
      </c>
      <c r="P396" s="1">
        <v>33000</v>
      </c>
      <c r="Q396" s="1">
        <v>36300</v>
      </c>
      <c r="S396" s="1">
        <f si="108" t="shared"/>
        <v>37332.400000000001</v>
      </c>
    </row>
    <row ht="15" r="397" spans="2:19" x14ac:dyDescent="0.25">
      <c r="B397" s="115" t="s">
        <v>263</v>
      </c>
      <c r="D397" s="1" t="s">
        <v>280</v>
      </c>
      <c r="E397" s="338">
        <v>50000</v>
      </c>
      <c r="F397" s="338">
        <v>70000</v>
      </c>
      <c r="G397" s="338">
        <v>28000</v>
      </c>
      <c r="H397" s="338">
        <v>30000</v>
      </c>
      <c r="I397" s="338">
        <v>33000</v>
      </c>
      <c r="J397" s="338">
        <v>36300</v>
      </c>
      <c r="K397" s="339">
        <f si="106" t="shared"/>
        <v>33040</v>
      </c>
      <c r="L397" s="338" t="e">
        <f>MIN(#REF!)</f>
        <v>#REF!</v>
      </c>
      <c r="M397" s="338">
        <f si="107" t="shared"/>
        <v>33040</v>
      </c>
      <c r="N397" s="339">
        <v>21000</v>
      </c>
      <c r="O397" s="338" t="s">
        <v>263</v>
      </c>
      <c r="P397" s="1">
        <v>33000</v>
      </c>
      <c r="Q397" s="1">
        <v>36300</v>
      </c>
      <c r="S397" s="1">
        <f si="108" t="shared"/>
        <v>37332.400000000001</v>
      </c>
    </row>
    <row ht="15" r="398" spans="2:19" x14ac:dyDescent="0.25">
      <c r="B398" s="115" t="s">
        <v>263</v>
      </c>
      <c r="D398" s="1" t="s">
        <v>281</v>
      </c>
      <c r="E398" s="338">
        <v>50000</v>
      </c>
      <c r="F398" s="338">
        <v>70000</v>
      </c>
      <c r="G398" s="338">
        <v>28000</v>
      </c>
      <c r="H398" s="338">
        <v>30000</v>
      </c>
      <c r="I398" s="338">
        <v>33000</v>
      </c>
      <c r="J398" s="338">
        <v>36300</v>
      </c>
      <c r="K398" s="339">
        <f si="106" t="shared"/>
        <v>33040</v>
      </c>
      <c r="L398" s="338" t="e">
        <f>MIN(#REF!)</f>
        <v>#REF!</v>
      </c>
      <c r="M398" s="338">
        <f si="107" t="shared"/>
        <v>33040</v>
      </c>
      <c r="N398" s="339">
        <v>21000</v>
      </c>
      <c r="O398" s="338" t="s">
        <v>263</v>
      </c>
      <c r="P398" s="1">
        <v>33000</v>
      </c>
      <c r="Q398" s="1">
        <v>36300</v>
      </c>
      <c r="S398" s="1">
        <f si="108" t="shared"/>
        <v>37332.400000000001</v>
      </c>
    </row>
    <row ht="15" r="399" spans="2:19" x14ac:dyDescent="0.25">
      <c r="B399" s="115" t="s">
        <v>263</v>
      </c>
      <c r="D399" s="1" t="s">
        <v>282</v>
      </c>
      <c r="E399" s="338">
        <v>50000</v>
      </c>
      <c r="F399" s="338">
        <v>70000</v>
      </c>
      <c r="G399" s="338">
        <v>28000</v>
      </c>
      <c r="H399" s="338">
        <v>30000</v>
      </c>
      <c r="I399" s="338">
        <v>33000</v>
      </c>
      <c r="J399" s="338">
        <v>36300</v>
      </c>
      <c r="K399" s="339">
        <f si="106" t="shared"/>
        <v>33040</v>
      </c>
      <c r="L399" s="338" t="e">
        <f>MIN(#REF!)</f>
        <v>#REF!</v>
      </c>
      <c r="M399" s="338">
        <f si="107" t="shared"/>
        <v>33040</v>
      </c>
      <c r="N399" s="339">
        <v>21000</v>
      </c>
      <c r="O399" s="338" t="s">
        <v>263</v>
      </c>
      <c r="P399" s="1">
        <v>33000</v>
      </c>
      <c r="Q399" s="1">
        <v>36300</v>
      </c>
      <c r="S399" s="1">
        <f si="108" t="shared"/>
        <v>37332.400000000001</v>
      </c>
    </row>
    <row ht="15" r="400" spans="2:19" x14ac:dyDescent="0.25">
      <c r="B400" s="115" t="s">
        <v>263</v>
      </c>
      <c r="D400" s="1" t="s">
        <v>283</v>
      </c>
      <c r="E400" s="338">
        <v>60000</v>
      </c>
      <c r="F400" s="338">
        <v>80000</v>
      </c>
      <c r="G400" s="338">
        <v>32000</v>
      </c>
      <c r="H400" s="338">
        <v>34300</v>
      </c>
      <c r="I400" s="338">
        <v>37800</v>
      </c>
      <c r="J400" s="338">
        <v>41500</v>
      </c>
      <c r="K400" s="339">
        <f si="106" t="shared"/>
        <v>37760</v>
      </c>
      <c r="L400" s="338" t="e">
        <f>MIN(#REF!)</f>
        <v>#REF!</v>
      </c>
      <c r="M400" s="338">
        <f si="107" t="shared"/>
        <v>37760</v>
      </c>
      <c r="N400" s="339">
        <v>21000</v>
      </c>
      <c r="O400" s="338" t="s">
        <v>263</v>
      </c>
      <c r="P400" s="1">
        <v>37800</v>
      </c>
      <c r="Q400" s="1">
        <v>41500</v>
      </c>
      <c r="S400" s="1">
        <f si="108" t="shared"/>
        <v>42665.599999999999</v>
      </c>
    </row>
    <row ht="15" r="401" spans="2:19" x14ac:dyDescent="0.25">
      <c r="B401" s="115" t="s">
        <v>263</v>
      </c>
      <c r="D401" s="1" t="s">
        <v>284</v>
      </c>
      <c r="E401" s="338">
        <v>50000</v>
      </c>
      <c r="F401" s="338">
        <v>70000</v>
      </c>
      <c r="G401" s="338">
        <v>28000</v>
      </c>
      <c r="H401" s="338">
        <v>30000</v>
      </c>
      <c r="I401" s="338">
        <v>33000</v>
      </c>
      <c r="J401" s="338">
        <v>36300</v>
      </c>
      <c r="K401" s="339">
        <f si="106" t="shared"/>
        <v>33040</v>
      </c>
      <c r="L401" s="338" t="e">
        <f>MIN(#REF!)</f>
        <v>#REF!</v>
      </c>
      <c r="M401" s="338">
        <f si="107" t="shared"/>
        <v>33040</v>
      </c>
      <c r="N401" s="339">
        <v>21000</v>
      </c>
      <c r="O401" s="338" t="s">
        <v>263</v>
      </c>
      <c r="P401" s="1">
        <v>33000</v>
      </c>
      <c r="Q401" s="1">
        <v>36300</v>
      </c>
      <c r="S401" s="1">
        <f si="108" t="shared"/>
        <v>37332.400000000001</v>
      </c>
    </row>
    <row ht="15" r="402" spans="2:19" x14ac:dyDescent="0.25">
      <c r="B402" s="115" t="s">
        <v>263</v>
      </c>
      <c r="D402" s="1" t="s">
        <v>285</v>
      </c>
      <c r="E402" s="338">
        <v>50000</v>
      </c>
      <c r="F402" s="338">
        <v>70000</v>
      </c>
      <c r="G402" s="338">
        <v>28000</v>
      </c>
      <c r="H402" s="338">
        <v>30000</v>
      </c>
      <c r="I402" s="338">
        <v>33000</v>
      </c>
      <c r="J402" s="338">
        <v>36300</v>
      </c>
      <c r="K402" s="339">
        <f si="106" t="shared"/>
        <v>33040</v>
      </c>
      <c r="L402" s="338" t="e">
        <f>MIN(#REF!)</f>
        <v>#REF!</v>
      </c>
      <c r="M402" s="338">
        <f si="107" t="shared"/>
        <v>33040</v>
      </c>
      <c r="N402" s="339">
        <v>21000</v>
      </c>
      <c r="O402" s="338" t="s">
        <v>263</v>
      </c>
      <c r="P402" s="1">
        <v>33000</v>
      </c>
      <c r="Q402" s="1">
        <v>36300</v>
      </c>
      <c r="S402" s="1">
        <f si="108" t="shared"/>
        <v>37332.400000000001</v>
      </c>
    </row>
    <row ht="15" r="403" spans="2:19" x14ac:dyDescent="0.25">
      <c r="B403" s="115"/>
      <c r="D403" s="1" t="s">
        <v>286</v>
      </c>
      <c r="E403" s="338">
        <v>18000</v>
      </c>
      <c r="F403" s="338">
        <v>40000</v>
      </c>
      <c r="G403" s="338" t="e">
        <f>I403</f>
        <v>#REF!</v>
      </c>
      <c r="H403" s="338" t="e">
        <f>J403</f>
        <v>#REF!</v>
      </c>
      <c r="I403" s="338" t="e">
        <f>#REF!</f>
        <v>#REF!</v>
      </c>
      <c r="J403" s="338" t="e">
        <f>#REF!</f>
        <v>#REF!</v>
      </c>
      <c r="K403" s="339">
        <f si="106" t="shared"/>
        <v>18880</v>
      </c>
      <c r="L403" s="338" t="e">
        <f>MIN(#REF!)</f>
        <v>#REF!</v>
      </c>
      <c r="M403" s="338">
        <f si="107" t="shared"/>
        <v>18880</v>
      </c>
      <c r="N403" s="339"/>
      <c r="O403" s="338"/>
      <c r="S403" s="1" t="e">
        <f si="108" t="shared"/>
        <v>#REF!</v>
      </c>
    </row>
    <row ht="15" r="404" spans="2:19" x14ac:dyDescent="0.25">
      <c r="D404" s="1" t="s">
        <v>287</v>
      </c>
      <c r="E404" s="338">
        <v>35534.236499999999</v>
      </c>
      <c r="F404" s="338">
        <v>58015.08</v>
      </c>
      <c r="G404" s="338"/>
      <c r="H404" s="338"/>
      <c r="I404" s="338"/>
      <c r="J404" s="338"/>
      <c r="K404" s="339">
        <f si="106" t="shared"/>
        <v>27383.117760000001</v>
      </c>
      <c r="L404" s="338" t="e">
        <f>MIN(#REF!)</f>
        <v>#REF!</v>
      </c>
      <c r="M404" s="338">
        <f si="107" t="shared"/>
        <v>27383.117760000001</v>
      </c>
      <c r="N404" s="339"/>
      <c r="O404" s="338"/>
    </row>
    <row ht="15" r="405" spans="2:19" x14ac:dyDescent="0.25">
      <c r="D405" s="115" t="s">
        <v>288</v>
      </c>
      <c r="E405" s="338">
        <v>71068.472999999998</v>
      </c>
      <c r="F405" s="338">
        <v>97900.447499999995</v>
      </c>
      <c r="G405" s="338"/>
      <c r="H405" s="338"/>
      <c r="I405" s="338"/>
      <c r="J405" s="338"/>
      <c r="K405" s="339">
        <f si="106" t="shared"/>
        <v>46209.011219999993</v>
      </c>
      <c r="L405" s="338" t="e">
        <f>MIN(#REF!)</f>
        <v>#REF!</v>
      </c>
      <c r="M405" s="338">
        <f si="107" t="shared"/>
        <v>46209.011219999993</v>
      </c>
      <c r="N405" s="339"/>
      <c r="O405" s="338"/>
    </row>
    <row customFormat="1" r="406" s="6" spans="2:19" x14ac:dyDescent="0.2">
      <c r="D406" s="6" t="s">
        <v>289</v>
      </c>
      <c r="E406" s="499">
        <v>42000</v>
      </c>
      <c r="F406" s="499">
        <v>70000</v>
      </c>
      <c r="G406" s="499">
        <v>28000</v>
      </c>
      <c r="H406" s="499">
        <v>30000</v>
      </c>
      <c r="I406" s="499">
        <v>33000</v>
      </c>
      <c r="J406" s="499">
        <v>36300</v>
      </c>
      <c r="K406" s="500">
        <v>33040</v>
      </c>
      <c r="L406" s="499">
        <v>30030</v>
      </c>
      <c r="M406" s="499">
        <v>33040</v>
      </c>
      <c r="N406" s="500">
        <v>21000</v>
      </c>
      <c r="O406" s="499"/>
      <c r="S406" s="6">
        <f>1.3333*G406</f>
        <v>37332.400000000001</v>
      </c>
    </row>
    <row customFormat="1" r="407" s="6" spans="2:19" x14ac:dyDescent="0.2">
      <c r="D407" s="6" t="s">
        <v>290</v>
      </c>
      <c r="E407" s="499">
        <v>50000</v>
      </c>
      <c r="F407" s="499">
        <v>75000</v>
      </c>
      <c r="G407" s="499">
        <v>28000</v>
      </c>
      <c r="H407" s="499">
        <v>30000</v>
      </c>
      <c r="I407" s="499">
        <v>33000</v>
      </c>
      <c r="J407" s="499">
        <v>36300</v>
      </c>
      <c r="K407" s="500">
        <v>35400</v>
      </c>
      <c r="L407" s="499">
        <v>32175</v>
      </c>
      <c r="M407" s="499">
        <v>35400</v>
      </c>
      <c r="N407" s="500">
        <v>21000</v>
      </c>
      <c r="O407" s="499"/>
      <c r="S407" s="6">
        <f>1.3333*G407</f>
        <v>37332.400000000001</v>
      </c>
    </row>
    <row ht="15" r="408" spans="2:19" x14ac:dyDescent="0.25">
      <c r="B408" s="115" t="s">
        <v>257</v>
      </c>
      <c r="D408" s="115" t="s">
        <v>291</v>
      </c>
      <c r="E408" s="338">
        <v>30000</v>
      </c>
      <c r="F408" s="338">
        <v>55000</v>
      </c>
      <c r="G408" s="338">
        <v>21000</v>
      </c>
      <c r="H408" s="338">
        <v>21000</v>
      </c>
      <c r="I408" s="338">
        <v>21000</v>
      </c>
      <c r="J408" s="338">
        <v>21000</v>
      </c>
      <c r="K408" s="501">
        <v>21000</v>
      </c>
      <c r="L408" s="501">
        <v>21000</v>
      </c>
      <c r="M408" s="501">
        <v>21000</v>
      </c>
      <c r="N408" s="501">
        <v>21000</v>
      </c>
      <c r="O408" s="338" t="s">
        <v>257</v>
      </c>
      <c r="P408" s="501">
        <v>21000</v>
      </c>
      <c r="Q408" s="501">
        <v>21000</v>
      </c>
      <c r="S408" s="1">
        <f>1.3333*G408</f>
        <v>27999.3</v>
      </c>
    </row>
    <row ht="15" r="409" spans="2:19" x14ac:dyDescent="0.25">
      <c r="B409" s="115" t="s">
        <v>257</v>
      </c>
      <c r="D409" s="115" t="s">
        <v>292</v>
      </c>
      <c r="E409" s="338">
        <v>30000</v>
      </c>
      <c r="F409" s="338">
        <v>55000</v>
      </c>
      <c r="G409" s="338">
        <v>20000</v>
      </c>
      <c r="H409" s="338">
        <v>22500</v>
      </c>
      <c r="I409" s="338">
        <v>26000</v>
      </c>
      <c r="J409" s="338">
        <v>27000</v>
      </c>
      <c r="K409" s="339">
        <f>0.472*F409</f>
        <v>25960</v>
      </c>
      <c r="L409" s="338">
        <v>23600</v>
      </c>
      <c r="M409" s="338">
        <f>MIN(K409:K409)</f>
        <v>25960</v>
      </c>
      <c r="N409" s="339">
        <v>21000</v>
      </c>
      <c r="O409" s="338" t="s">
        <v>257</v>
      </c>
      <c r="P409" s="1">
        <v>26000</v>
      </c>
      <c r="Q409" s="1">
        <v>27000</v>
      </c>
      <c r="S409" s="1">
        <f>1.3333*G409</f>
        <v>26666</v>
      </c>
    </row>
    <row ht="15" r="410" spans="2:19" x14ac:dyDescent="0.25"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</row>
    <row r="411" spans="2:19" x14ac:dyDescent="0.2">
      <c r="D411" s="1" t="s">
        <v>293</v>
      </c>
      <c r="J411" s="2" t="s">
        <v>294</v>
      </c>
    </row>
    <row r="412" spans="2:19" x14ac:dyDescent="0.2">
      <c r="D412" s="1">
        <v>1</v>
      </c>
      <c r="E412" s="4">
        <v>0</v>
      </c>
      <c r="F412" s="5">
        <v>3.125E-2</v>
      </c>
      <c r="H412" s="2">
        <v>0</v>
      </c>
      <c r="I412" s="502">
        <v>0</v>
      </c>
      <c r="J412" s="503">
        <v>0</v>
      </c>
    </row>
    <row r="413" spans="2:19" x14ac:dyDescent="0.2">
      <c r="D413" s="1">
        <v>2</v>
      </c>
      <c r="E413" s="4">
        <v>3.125E-2</v>
      </c>
      <c r="F413" s="5">
        <v>3.125E-2</v>
      </c>
      <c r="H413" s="2" t="s">
        <v>295</v>
      </c>
      <c r="I413" s="502">
        <f xml:space="preserve"> 1/32</f>
        <v>3.125E-2</v>
      </c>
      <c r="J413" s="503">
        <f>1/32</f>
        <v>3.125E-2</v>
      </c>
    </row>
    <row r="414" spans="2:19" x14ac:dyDescent="0.2">
      <c r="D414" s="1">
        <v>3</v>
      </c>
      <c r="E414" s="4">
        <v>6.25E-2</v>
      </c>
      <c r="F414" s="5">
        <v>6.25E-2</v>
      </c>
      <c r="H414" s="2" t="s">
        <v>296</v>
      </c>
      <c r="I414" s="504">
        <f>1/16</f>
        <v>6.25E-2</v>
      </c>
      <c r="J414" s="503">
        <f>1/32*D414</f>
        <v>9.375E-2</v>
      </c>
    </row>
    <row r="415" spans="2:19" x14ac:dyDescent="0.2">
      <c r="D415" s="1">
        <v>4</v>
      </c>
      <c r="E415" s="4">
        <v>9.375E-2</v>
      </c>
      <c r="F415" s="5">
        <v>0.125</v>
      </c>
      <c r="H415" s="2" t="s">
        <v>297</v>
      </c>
      <c r="I415" s="502">
        <f xml:space="preserve"> 3/32</f>
        <v>9.375E-2</v>
      </c>
      <c r="J415" s="503">
        <f ref="J415:J478" si="109" t="shared">1/32*D415</f>
        <v>0.125</v>
      </c>
    </row>
    <row r="416" spans="2:19" x14ac:dyDescent="0.2">
      <c r="D416" s="1">
        <v>5</v>
      </c>
      <c r="E416" s="4">
        <v>0.125</v>
      </c>
      <c r="F416" s="5">
        <v>0.125</v>
      </c>
      <c r="H416" s="2" t="s">
        <v>297</v>
      </c>
      <c r="I416" s="502">
        <v>0.125</v>
      </c>
      <c r="J416" s="503">
        <f si="109" t="shared"/>
        <v>0.15625</v>
      </c>
    </row>
    <row r="417" spans="4:10" x14ac:dyDescent="0.2">
      <c r="D417" s="1">
        <v>6</v>
      </c>
      <c r="E417" s="4">
        <v>0.15625</v>
      </c>
      <c r="F417" s="5">
        <v>0.15625</v>
      </c>
      <c r="H417" s="2" t="s">
        <v>298</v>
      </c>
      <c r="I417" s="502">
        <f xml:space="preserve"> 5/32</f>
        <v>0.15625</v>
      </c>
      <c r="J417" s="503">
        <f si="109" t="shared"/>
        <v>0.1875</v>
      </c>
    </row>
    <row r="418" spans="4:10" x14ac:dyDescent="0.2">
      <c r="D418" s="1">
        <v>7</v>
      </c>
      <c r="E418" s="4">
        <v>0.1875</v>
      </c>
      <c r="F418" s="5">
        <v>0.1875</v>
      </c>
      <c r="H418" s="2" t="s">
        <v>298</v>
      </c>
      <c r="I418" s="502">
        <v>0.1875</v>
      </c>
      <c r="J418" s="503">
        <f si="109" t="shared"/>
        <v>0.21875</v>
      </c>
    </row>
    <row r="419" spans="4:10" x14ac:dyDescent="0.2">
      <c r="D419" s="1">
        <v>8</v>
      </c>
      <c r="E419" s="4">
        <v>0.21875</v>
      </c>
      <c r="F419" s="5">
        <v>0.21875</v>
      </c>
      <c r="H419" s="2" t="s">
        <v>299</v>
      </c>
      <c r="I419" s="502">
        <f xml:space="preserve"> 7/32</f>
        <v>0.21875</v>
      </c>
      <c r="J419" s="503">
        <f si="109" t="shared"/>
        <v>0.25</v>
      </c>
    </row>
    <row r="420" spans="4:10" x14ac:dyDescent="0.2">
      <c r="D420" s="1">
        <v>9</v>
      </c>
      <c r="E420" s="4">
        <v>0.25</v>
      </c>
      <c r="F420" s="5">
        <v>0.25</v>
      </c>
      <c r="H420" s="2" t="s">
        <v>299</v>
      </c>
      <c r="I420" s="502">
        <v>0.25</v>
      </c>
      <c r="J420" s="503">
        <f si="109" t="shared"/>
        <v>0.28125</v>
      </c>
    </row>
    <row r="421" spans="4:10" x14ac:dyDescent="0.2">
      <c r="D421" s="1">
        <v>10</v>
      </c>
      <c r="E421" s="4">
        <v>0.28125</v>
      </c>
      <c r="F421" s="5">
        <v>0.28125</v>
      </c>
      <c r="H421" s="2" t="s">
        <v>300</v>
      </c>
      <c r="I421" s="502">
        <f xml:space="preserve"> 9/32</f>
        <v>0.28125</v>
      </c>
      <c r="J421" s="503">
        <f si="109" t="shared"/>
        <v>0.3125</v>
      </c>
    </row>
    <row r="422" spans="4:10" x14ac:dyDescent="0.2">
      <c r="D422" s="1">
        <v>11</v>
      </c>
      <c r="E422" s="4">
        <v>0.3125</v>
      </c>
      <c r="F422" s="5">
        <v>0.3125</v>
      </c>
      <c r="H422" s="2" t="s">
        <v>300</v>
      </c>
      <c r="I422" s="502">
        <v>0.3125</v>
      </c>
      <c r="J422" s="503">
        <f si="109" t="shared"/>
        <v>0.34375</v>
      </c>
    </row>
    <row r="423" spans="4:10" x14ac:dyDescent="0.2">
      <c r="D423" s="1">
        <v>12</v>
      </c>
      <c r="E423" s="4">
        <v>0.34375</v>
      </c>
      <c r="F423" s="5">
        <v>0.34375</v>
      </c>
      <c r="H423" s="2" t="s">
        <v>301</v>
      </c>
      <c r="I423" s="502">
        <f>11/32</f>
        <v>0.34375</v>
      </c>
      <c r="J423" s="503">
        <f si="109" t="shared"/>
        <v>0.375</v>
      </c>
    </row>
    <row r="424" spans="4:10" x14ac:dyDescent="0.2">
      <c r="D424" s="1">
        <v>13</v>
      </c>
      <c r="E424" s="4">
        <v>0.375</v>
      </c>
      <c r="F424" s="5">
        <v>0.375</v>
      </c>
      <c r="H424" s="2" t="s">
        <v>301</v>
      </c>
      <c r="I424" s="502">
        <v>0.375</v>
      </c>
      <c r="J424" s="503">
        <f si="109" t="shared"/>
        <v>0.40625</v>
      </c>
    </row>
    <row r="425" spans="4:10" x14ac:dyDescent="0.2">
      <c r="D425" s="1">
        <v>14</v>
      </c>
      <c r="E425" s="4">
        <v>0.4</v>
      </c>
      <c r="F425" s="5">
        <v>0.40625</v>
      </c>
      <c r="H425" s="2" t="s">
        <v>302</v>
      </c>
      <c r="I425" s="502">
        <f xml:space="preserve"> 13/32</f>
        <v>0.40625</v>
      </c>
      <c r="J425" s="503">
        <f si="109" t="shared"/>
        <v>0.4375</v>
      </c>
    </row>
    <row r="426" spans="4:10" x14ac:dyDescent="0.2">
      <c r="D426" s="1">
        <v>15</v>
      </c>
      <c r="E426" s="4">
        <v>0.4375</v>
      </c>
      <c r="F426" s="5">
        <v>0.4375</v>
      </c>
      <c r="H426" s="2" t="s">
        <v>302</v>
      </c>
      <c r="I426" s="502">
        <v>0.4375</v>
      </c>
      <c r="J426" s="503">
        <f si="109" t="shared"/>
        <v>0.46875</v>
      </c>
    </row>
    <row r="427" spans="4:10" x14ac:dyDescent="0.2">
      <c r="D427" s="1">
        <v>16</v>
      </c>
      <c r="E427" s="4">
        <v>0.46875</v>
      </c>
      <c r="F427" s="5">
        <v>0.46875</v>
      </c>
      <c r="H427" s="2" t="s">
        <v>303</v>
      </c>
      <c r="I427" s="502">
        <f xml:space="preserve"> 15/32</f>
        <v>0.46875</v>
      </c>
      <c r="J427" s="503">
        <f si="109" t="shared"/>
        <v>0.5</v>
      </c>
    </row>
    <row r="428" spans="4:10" x14ac:dyDescent="0.2">
      <c r="D428" s="1">
        <v>17</v>
      </c>
      <c r="E428" s="4">
        <v>0.5</v>
      </c>
      <c r="F428" s="5">
        <v>0.5</v>
      </c>
      <c r="H428" s="2" t="s">
        <v>303</v>
      </c>
      <c r="I428" s="502">
        <v>0.5</v>
      </c>
      <c r="J428" s="503">
        <f si="109" t="shared"/>
        <v>0.53125</v>
      </c>
    </row>
    <row r="429" spans="4:10" x14ac:dyDescent="0.2">
      <c r="D429" s="1">
        <v>18</v>
      </c>
      <c r="E429" s="4">
        <v>0.53125</v>
      </c>
      <c r="F429" s="5">
        <v>0.53125</v>
      </c>
      <c r="H429" s="2" t="s">
        <v>304</v>
      </c>
      <c r="I429" s="502">
        <f xml:space="preserve"> 17/32</f>
        <v>0.53125</v>
      </c>
      <c r="J429" s="503">
        <f si="109" t="shared"/>
        <v>0.5625</v>
      </c>
    </row>
    <row r="430" spans="4:10" x14ac:dyDescent="0.2">
      <c r="D430" s="1">
        <v>19</v>
      </c>
      <c r="E430" s="4">
        <v>0.5625</v>
      </c>
      <c r="F430" s="5">
        <v>0.5625</v>
      </c>
      <c r="H430" s="2" t="s">
        <v>304</v>
      </c>
      <c r="I430" s="502">
        <v>0.5625</v>
      </c>
      <c r="J430" s="503">
        <f si="109" t="shared"/>
        <v>0.59375</v>
      </c>
    </row>
    <row r="431" spans="4:10" x14ac:dyDescent="0.2">
      <c r="D431" s="1">
        <v>20</v>
      </c>
      <c r="E431" s="4">
        <v>0.59375</v>
      </c>
      <c r="F431" s="5">
        <v>0.59375</v>
      </c>
      <c r="H431" s="2" t="s">
        <v>305</v>
      </c>
      <c r="I431" s="502">
        <f xml:space="preserve"> 19/32</f>
        <v>0.59375</v>
      </c>
      <c r="J431" s="503">
        <f si="109" t="shared"/>
        <v>0.625</v>
      </c>
    </row>
    <row r="432" spans="4:10" x14ac:dyDescent="0.2">
      <c r="D432" s="1">
        <v>21</v>
      </c>
      <c r="E432" s="4">
        <v>0.625</v>
      </c>
      <c r="F432" s="5">
        <v>0.625</v>
      </c>
      <c r="H432" s="2" t="s">
        <v>305</v>
      </c>
      <c r="I432" s="502" t="s">
        <v>306</v>
      </c>
      <c r="J432" s="503">
        <f si="109" t="shared"/>
        <v>0.65625</v>
      </c>
    </row>
    <row r="433" spans="4:10" x14ac:dyDescent="0.2">
      <c r="D433" s="1">
        <v>22</v>
      </c>
      <c r="E433" s="4">
        <v>0.65625</v>
      </c>
      <c r="F433" s="5">
        <v>0.65625</v>
      </c>
      <c r="H433" s="2" t="s">
        <v>307</v>
      </c>
      <c r="I433" s="502">
        <f xml:space="preserve"> 21/32</f>
        <v>0.65625</v>
      </c>
      <c r="J433" s="503">
        <f si="109" t="shared"/>
        <v>0.6875</v>
      </c>
    </row>
    <row r="434" spans="4:10" x14ac:dyDescent="0.2">
      <c r="D434" s="1">
        <v>23</v>
      </c>
      <c r="E434" s="4">
        <v>0.6875</v>
      </c>
      <c r="F434" s="5">
        <v>0.6875</v>
      </c>
      <c r="H434" s="2" t="s">
        <v>307</v>
      </c>
      <c r="I434" s="502" t="s">
        <v>308</v>
      </c>
      <c r="J434" s="503">
        <f si="109" t="shared"/>
        <v>0.71875</v>
      </c>
    </row>
    <row r="435" spans="4:10" x14ac:dyDescent="0.2">
      <c r="D435" s="1">
        <v>24</v>
      </c>
      <c r="E435" s="4">
        <v>0.71875</v>
      </c>
      <c r="F435" s="5">
        <v>0.71875</v>
      </c>
      <c r="H435" s="2" t="s">
        <v>309</v>
      </c>
      <c r="I435" s="502">
        <f xml:space="preserve"> 23/32</f>
        <v>0.71875</v>
      </c>
      <c r="J435" s="503">
        <f si="109" t="shared"/>
        <v>0.75</v>
      </c>
    </row>
    <row r="436" spans="4:10" x14ac:dyDescent="0.2">
      <c r="D436" s="1">
        <v>25</v>
      </c>
      <c r="E436" s="4">
        <v>0.75</v>
      </c>
      <c r="F436" s="5">
        <v>0.75</v>
      </c>
      <c r="H436" s="2" t="s">
        <v>309</v>
      </c>
      <c r="I436" s="502" t="s">
        <v>310</v>
      </c>
      <c r="J436" s="503">
        <f si="109" t="shared"/>
        <v>0.78125</v>
      </c>
    </row>
    <row r="437" spans="4:10" x14ac:dyDescent="0.2">
      <c r="D437" s="1">
        <v>26</v>
      </c>
      <c r="E437" s="4">
        <v>0.78125</v>
      </c>
      <c r="F437" s="5">
        <v>0.78125</v>
      </c>
      <c r="H437" s="2" t="s">
        <v>311</v>
      </c>
      <c r="I437" s="502">
        <f xml:space="preserve"> 25/32</f>
        <v>0.78125</v>
      </c>
      <c r="J437" s="503">
        <f si="109" t="shared"/>
        <v>0.8125</v>
      </c>
    </row>
    <row r="438" spans="4:10" x14ac:dyDescent="0.2">
      <c r="D438" s="1">
        <v>27</v>
      </c>
      <c r="E438" s="4">
        <v>0.8125</v>
      </c>
      <c r="F438" s="5">
        <v>0.8125</v>
      </c>
      <c r="H438" s="2" t="s">
        <v>311</v>
      </c>
      <c r="I438" s="502" t="s">
        <v>312</v>
      </c>
      <c r="J438" s="503">
        <f si="109" t="shared"/>
        <v>0.84375</v>
      </c>
    </row>
    <row r="439" spans="4:10" x14ac:dyDescent="0.2">
      <c r="D439" s="1">
        <v>28</v>
      </c>
      <c r="E439" s="4">
        <v>0.84375</v>
      </c>
      <c r="F439" s="5">
        <v>0.84375</v>
      </c>
      <c r="H439" s="2" t="s">
        <v>309</v>
      </c>
      <c r="I439" s="502">
        <f xml:space="preserve"> 27/32</f>
        <v>0.84375</v>
      </c>
      <c r="J439" s="503">
        <f si="109" t="shared"/>
        <v>0.875</v>
      </c>
    </row>
    <row r="440" spans="4:10" x14ac:dyDescent="0.2">
      <c r="D440" s="1">
        <v>29</v>
      </c>
      <c r="E440" s="4">
        <v>0.875</v>
      </c>
      <c r="F440" s="5">
        <v>0.875</v>
      </c>
      <c r="H440" s="2" t="s">
        <v>309</v>
      </c>
      <c r="I440" s="502" t="s">
        <v>310</v>
      </c>
      <c r="J440" s="503">
        <f si="109" t="shared"/>
        <v>0.90625</v>
      </c>
    </row>
    <row r="441" spans="4:10" x14ac:dyDescent="0.2">
      <c r="D441" s="1">
        <v>30</v>
      </c>
      <c r="E441" s="4">
        <v>0.90625</v>
      </c>
      <c r="F441" s="5">
        <v>0.90625</v>
      </c>
      <c r="H441" s="2" t="s">
        <v>313</v>
      </c>
      <c r="I441" s="502">
        <f xml:space="preserve"> 29/32</f>
        <v>0.90625</v>
      </c>
      <c r="J441" s="503">
        <f si="109" t="shared"/>
        <v>0.9375</v>
      </c>
    </row>
    <row r="442" spans="4:10" x14ac:dyDescent="0.2">
      <c r="D442" s="1">
        <v>31</v>
      </c>
      <c r="E442" s="4">
        <v>0.9375</v>
      </c>
      <c r="F442" s="5">
        <v>0.9375</v>
      </c>
      <c r="H442" s="2" t="s">
        <v>313</v>
      </c>
      <c r="I442" s="502" t="s">
        <v>314</v>
      </c>
      <c r="J442" s="503">
        <f si="109" t="shared"/>
        <v>0.96875</v>
      </c>
    </row>
    <row r="443" spans="4:10" x14ac:dyDescent="0.2">
      <c r="D443" s="1">
        <v>32</v>
      </c>
      <c r="E443" s="4">
        <v>0.96875</v>
      </c>
      <c r="F443" s="5">
        <v>0.96875</v>
      </c>
      <c r="G443" s="5" t="s">
        <v>315</v>
      </c>
      <c r="I443" s="502">
        <f xml:space="preserve"> 31/32</f>
        <v>0.96875</v>
      </c>
      <c r="J443" s="503">
        <f si="109" t="shared"/>
        <v>1</v>
      </c>
    </row>
    <row r="444" spans="4:10" x14ac:dyDescent="0.2">
      <c r="D444" s="1">
        <v>33</v>
      </c>
      <c r="E444" s="4">
        <v>1</v>
      </c>
      <c r="F444" s="5">
        <v>1</v>
      </c>
      <c r="G444" s="5" t="s">
        <v>315</v>
      </c>
      <c r="I444" s="502" t="s">
        <v>316</v>
      </c>
      <c r="J444" s="503">
        <f si="109" t="shared"/>
        <v>1.03125</v>
      </c>
    </row>
    <row r="445" spans="4:10" x14ac:dyDescent="0.2">
      <c r="D445" s="1">
        <v>34</v>
      </c>
      <c r="E445" s="4">
        <v>1.03125</v>
      </c>
      <c r="F445" s="5">
        <v>1.03125</v>
      </c>
      <c r="G445" s="5" t="s">
        <v>315</v>
      </c>
      <c r="H445" s="2" t="s">
        <v>296</v>
      </c>
      <c r="I445" s="502">
        <f xml:space="preserve"> 1.03125</f>
        <v>1.03125</v>
      </c>
      <c r="J445" s="503">
        <f si="109" t="shared"/>
        <v>1.0625</v>
      </c>
    </row>
    <row r="446" spans="4:10" x14ac:dyDescent="0.2">
      <c r="D446" s="1">
        <v>35</v>
      </c>
      <c r="E446" s="4">
        <v>1.0625</v>
      </c>
      <c r="F446" s="5">
        <v>1.0625</v>
      </c>
      <c r="G446" s="5" t="s">
        <v>315</v>
      </c>
      <c r="H446" s="2" t="s">
        <v>296</v>
      </c>
      <c r="I446" s="502" t="s">
        <v>317</v>
      </c>
      <c r="J446" s="503">
        <f si="109" t="shared"/>
        <v>1.09375</v>
      </c>
    </row>
    <row r="447" spans="4:10" x14ac:dyDescent="0.2">
      <c r="D447" s="1">
        <v>36</v>
      </c>
      <c r="E447" s="4">
        <v>1.09375</v>
      </c>
      <c r="F447" s="5">
        <v>1.09375</v>
      </c>
      <c r="G447" s="5" t="s">
        <v>315</v>
      </c>
      <c r="H447" s="2" t="s">
        <v>297</v>
      </c>
      <c r="I447" s="502">
        <f xml:space="preserve"> 1.09375</f>
        <v>1.09375</v>
      </c>
      <c r="J447" s="503">
        <f si="109" t="shared"/>
        <v>1.125</v>
      </c>
    </row>
    <row r="448" spans="4:10" x14ac:dyDescent="0.2">
      <c r="D448" s="1">
        <v>37</v>
      </c>
      <c r="E448" s="4">
        <v>1.125</v>
      </c>
      <c r="F448" s="5">
        <v>1.125</v>
      </c>
      <c r="G448" s="5" t="s">
        <v>315</v>
      </c>
      <c r="H448" s="2" t="s">
        <v>297</v>
      </c>
      <c r="I448" s="502" t="s">
        <v>318</v>
      </c>
      <c r="J448" s="503">
        <f si="109" t="shared"/>
        <v>1.15625</v>
      </c>
    </row>
    <row r="449" spans="4:10" x14ac:dyDescent="0.2">
      <c r="D449" s="1">
        <v>38</v>
      </c>
      <c r="E449" s="4">
        <v>1.15625</v>
      </c>
      <c r="F449" s="5">
        <v>1.15625</v>
      </c>
      <c r="G449" s="5" t="s">
        <v>315</v>
      </c>
      <c r="H449" s="2" t="s">
        <v>298</v>
      </c>
      <c r="I449" s="502">
        <f xml:space="preserve"> 1.15625</f>
        <v>1.15625</v>
      </c>
      <c r="J449" s="503">
        <f si="109" t="shared"/>
        <v>1.1875</v>
      </c>
    </row>
    <row r="450" spans="4:10" x14ac:dyDescent="0.2">
      <c r="D450" s="1">
        <v>39</v>
      </c>
      <c r="E450" s="4">
        <v>1.1875</v>
      </c>
      <c r="F450" s="5">
        <v>1.1875</v>
      </c>
      <c r="G450" s="5" t="s">
        <v>315</v>
      </c>
      <c r="H450" s="2" t="s">
        <v>298</v>
      </c>
      <c r="I450" s="502" t="s">
        <v>319</v>
      </c>
      <c r="J450" s="503">
        <f si="109" t="shared"/>
        <v>1.21875</v>
      </c>
    </row>
    <row r="451" spans="4:10" x14ac:dyDescent="0.2">
      <c r="D451" s="1">
        <v>40</v>
      </c>
      <c r="E451" s="4">
        <v>1.21875</v>
      </c>
      <c r="F451" s="5">
        <v>1.21875</v>
      </c>
      <c r="G451" s="5" t="s">
        <v>315</v>
      </c>
      <c r="H451" s="2" t="s">
        <v>299</v>
      </c>
      <c r="I451" s="502">
        <f xml:space="preserve"> 1.21875</f>
        <v>1.21875</v>
      </c>
      <c r="J451" s="503">
        <f si="109" t="shared"/>
        <v>1.25</v>
      </c>
    </row>
    <row r="452" spans="4:10" x14ac:dyDescent="0.2">
      <c r="D452" s="1">
        <v>41</v>
      </c>
      <c r="E452" s="4">
        <v>1.25</v>
      </c>
      <c r="F452" s="5">
        <v>1.25</v>
      </c>
      <c r="G452" s="5" t="s">
        <v>315</v>
      </c>
      <c r="H452" s="2" t="s">
        <v>299</v>
      </c>
      <c r="I452" s="502" t="s">
        <v>320</v>
      </c>
      <c r="J452" s="503">
        <f si="109" t="shared"/>
        <v>1.28125</v>
      </c>
    </row>
    <row r="453" spans="4:10" x14ac:dyDescent="0.2">
      <c r="D453" s="1">
        <v>42</v>
      </c>
      <c r="E453" s="4">
        <v>1.28125</v>
      </c>
      <c r="F453" s="5">
        <v>1.28125</v>
      </c>
      <c r="G453" s="5" t="s">
        <v>315</v>
      </c>
      <c r="H453" s="2" t="s">
        <v>300</v>
      </c>
      <c r="I453" s="502">
        <f xml:space="preserve"> 1.28125</f>
        <v>1.28125</v>
      </c>
      <c r="J453" s="503">
        <f si="109" t="shared"/>
        <v>1.3125</v>
      </c>
    </row>
    <row r="454" spans="4:10" x14ac:dyDescent="0.2">
      <c r="D454" s="1">
        <v>43</v>
      </c>
      <c r="E454" s="4">
        <v>1.3125</v>
      </c>
      <c r="F454" s="5">
        <v>1.3125</v>
      </c>
      <c r="G454" s="5" t="s">
        <v>315</v>
      </c>
      <c r="H454" s="2" t="s">
        <v>300</v>
      </c>
      <c r="I454" s="502" t="s">
        <v>321</v>
      </c>
      <c r="J454" s="503">
        <f si="109" t="shared"/>
        <v>1.34375</v>
      </c>
    </row>
    <row r="455" spans="4:10" x14ac:dyDescent="0.2">
      <c r="D455" s="1">
        <v>44</v>
      </c>
      <c r="E455" s="4">
        <v>1.34375</v>
      </c>
      <c r="F455" s="5">
        <v>1.34375</v>
      </c>
      <c r="G455" s="5" t="s">
        <v>315</v>
      </c>
      <c r="H455" s="2" t="s">
        <v>301</v>
      </c>
      <c r="I455" s="502">
        <f xml:space="preserve"> 1.34375</f>
        <v>1.34375</v>
      </c>
      <c r="J455" s="503">
        <f si="109" t="shared"/>
        <v>1.375</v>
      </c>
    </row>
    <row r="456" spans="4:10" x14ac:dyDescent="0.2">
      <c r="D456" s="1">
        <v>45</v>
      </c>
      <c r="E456" s="4">
        <v>1.375</v>
      </c>
      <c r="F456" s="5">
        <v>1.375</v>
      </c>
      <c r="G456" s="5" t="s">
        <v>315</v>
      </c>
      <c r="H456" s="2" t="s">
        <v>301</v>
      </c>
      <c r="I456" s="502" t="s">
        <v>322</v>
      </c>
      <c r="J456" s="503">
        <f si="109" t="shared"/>
        <v>1.40625</v>
      </c>
    </row>
    <row r="457" spans="4:10" x14ac:dyDescent="0.2">
      <c r="D457" s="1">
        <v>46</v>
      </c>
      <c r="E457" s="4">
        <v>1.40625</v>
      </c>
      <c r="F457" s="5">
        <v>1.40625</v>
      </c>
      <c r="G457" s="5" t="s">
        <v>315</v>
      </c>
      <c r="H457" s="2" t="s">
        <v>302</v>
      </c>
      <c r="I457" s="502">
        <f xml:space="preserve"> 1.40625</f>
        <v>1.40625</v>
      </c>
      <c r="J457" s="503">
        <f si="109" t="shared"/>
        <v>1.4375</v>
      </c>
    </row>
    <row r="458" spans="4:10" x14ac:dyDescent="0.2">
      <c r="D458" s="1">
        <v>47</v>
      </c>
      <c r="E458" s="4">
        <v>1.4375</v>
      </c>
      <c r="F458" s="5">
        <v>1.4375</v>
      </c>
      <c r="G458" s="5" t="s">
        <v>315</v>
      </c>
      <c r="H458" s="2" t="s">
        <v>302</v>
      </c>
      <c r="I458" s="502" t="s">
        <v>323</v>
      </c>
      <c r="J458" s="503">
        <f si="109" t="shared"/>
        <v>1.46875</v>
      </c>
    </row>
    <row r="459" spans="4:10" x14ac:dyDescent="0.2">
      <c r="D459" s="1">
        <v>48</v>
      </c>
      <c r="E459" s="4">
        <v>1.46875</v>
      </c>
      <c r="F459" s="5">
        <v>1.46875</v>
      </c>
      <c r="G459" s="5" t="s">
        <v>315</v>
      </c>
      <c r="H459" s="2" t="s">
        <v>303</v>
      </c>
      <c r="I459" s="502">
        <f xml:space="preserve"> 1.46875</f>
        <v>1.46875</v>
      </c>
      <c r="J459" s="503">
        <f si="109" t="shared"/>
        <v>1.5</v>
      </c>
    </row>
    <row r="460" spans="4:10" x14ac:dyDescent="0.2">
      <c r="D460" s="1">
        <v>49</v>
      </c>
      <c r="E460" s="4">
        <v>1.5</v>
      </c>
      <c r="F460" s="5">
        <v>1.5</v>
      </c>
      <c r="G460" s="5" t="s">
        <v>315</v>
      </c>
      <c r="H460" s="2" t="s">
        <v>303</v>
      </c>
      <c r="I460" s="502" t="s">
        <v>324</v>
      </c>
      <c r="J460" s="503">
        <f si="109" t="shared"/>
        <v>1.53125</v>
      </c>
    </row>
    <row r="461" spans="4:10" x14ac:dyDescent="0.2">
      <c r="D461" s="1">
        <v>50</v>
      </c>
      <c r="E461" s="4">
        <v>1.53125</v>
      </c>
      <c r="F461" s="5">
        <v>1.53125</v>
      </c>
      <c r="G461" s="5" t="s">
        <v>315</v>
      </c>
      <c r="H461" s="2" t="s">
        <v>304</v>
      </c>
      <c r="I461" s="502">
        <f xml:space="preserve"> 1.53125</f>
        <v>1.53125</v>
      </c>
      <c r="J461" s="503">
        <f si="109" t="shared"/>
        <v>1.5625</v>
      </c>
    </row>
    <row r="462" spans="4:10" x14ac:dyDescent="0.2">
      <c r="D462" s="1">
        <v>51</v>
      </c>
      <c r="E462" s="4">
        <v>1.5625</v>
      </c>
      <c r="F462" s="5">
        <v>1.5625</v>
      </c>
      <c r="G462" s="5" t="s">
        <v>315</v>
      </c>
      <c r="H462" s="2" t="s">
        <v>304</v>
      </c>
      <c r="I462" s="502" t="s">
        <v>325</v>
      </c>
      <c r="J462" s="503">
        <f si="109" t="shared"/>
        <v>1.59375</v>
      </c>
    </row>
    <row r="463" spans="4:10" x14ac:dyDescent="0.2">
      <c r="D463" s="1">
        <v>52</v>
      </c>
      <c r="E463" s="4">
        <v>1.59375</v>
      </c>
      <c r="F463" s="5">
        <v>1.59375</v>
      </c>
      <c r="G463" s="5" t="s">
        <v>315</v>
      </c>
      <c r="H463" s="2" t="s">
        <v>305</v>
      </c>
      <c r="I463" s="502">
        <f xml:space="preserve"> 1.59375</f>
        <v>1.59375</v>
      </c>
      <c r="J463" s="503">
        <f si="109" t="shared"/>
        <v>1.625</v>
      </c>
    </row>
    <row r="464" spans="4:10" x14ac:dyDescent="0.2">
      <c r="D464" s="1">
        <v>53</v>
      </c>
      <c r="E464" s="4">
        <v>1.625</v>
      </c>
      <c r="F464" s="5">
        <v>1.625</v>
      </c>
      <c r="G464" s="5" t="s">
        <v>315</v>
      </c>
      <c r="H464" s="2" t="s">
        <v>305</v>
      </c>
      <c r="I464" s="502" t="s">
        <v>326</v>
      </c>
      <c r="J464" s="503">
        <f si="109" t="shared"/>
        <v>1.65625</v>
      </c>
    </row>
    <row r="465" spans="4:10" x14ac:dyDescent="0.2">
      <c r="D465" s="1">
        <v>54</v>
      </c>
      <c r="E465" s="4">
        <v>1.65625</v>
      </c>
      <c r="F465" s="5">
        <v>1.65625</v>
      </c>
      <c r="G465" s="5" t="s">
        <v>315</v>
      </c>
      <c r="H465" s="2" t="s">
        <v>307</v>
      </c>
      <c r="I465" s="502">
        <f xml:space="preserve"> 1.65625</f>
        <v>1.65625</v>
      </c>
      <c r="J465" s="503">
        <f si="109" t="shared"/>
        <v>1.6875</v>
      </c>
    </row>
    <row r="466" spans="4:10" x14ac:dyDescent="0.2">
      <c r="D466" s="1">
        <v>55</v>
      </c>
      <c r="E466" s="4">
        <v>1.6875</v>
      </c>
      <c r="F466" s="5">
        <v>1.6875</v>
      </c>
      <c r="G466" s="5" t="s">
        <v>315</v>
      </c>
      <c r="H466" s="2" t="s">
        <v>307</v>
      </c>
      <c r="I466" s="502" t="s">
        <v>327</v>
      </c>
      <c r="J466" s="503">
        <f si="109" t="shared"/>
        <v>1.71875</v>
      </c>
    </row>
    <row r="467" spans="4:10" x14ac:dyDescent="0.2">
      <c r="D467" s="1">
        <v>56</v>
      </c>
      <c r="E467" s="4">
        <v>1.71875</v>
      </c>
      <c r="F467" s="5">
        <v>1.71875</v>
      </c>
      <c r="G467" s="5" t="s">
        <v>315</v>
      </c>
      <c r="H467" s="2" t="s">
        <v>309</v>
      </c>
      <c r="I467" s="502">
        <f xml:space="preserve"> 1.71875</f>
        <v>1.71875</v>
      </c>
      <c r="J467" s="503">
        <f si="109" t="shared"/>
        <v>1.75</v>
      </c>
    </row>
    <row r="468" spans="4:10" x14ac:dyDescent="0.2">
      <c r="D468" s="1">
        <v>57</v>
      </c>
      <c r="E468" s="4">
        <v>1.75</v>
      </c>
      <c r="F468" s="5">
        <v>1.75</v>
      </c>
      <c r="G468" s="5" t="s">
        <v>315</v>
      </c>
      <c r="H468" s="2" t="s">
        <v>309</v>
      </c>
      <c r="I468" s="502" t="s">
        <v>328</v>
      </c>
      <c r="J468" s="503">
        <f si="109" t="shared"/>
        <v>1.78125</v>
      </c>
    </row>
    <row r="469" spans="4:10" x14ac:dyDescent="0.2">
      <c r="D469" s="1">
        <v>58</v>
      </c>
      <c r="E469" s="4">
        <v>1.78125</v>
      </c>
      <c r="F469" s="5">
        <v>1.78125</v>
      </c>
      <c r="G469" s="5" t="s">
        <v>315</v>
      </c>
      <c r="H469" s="2" t="s">
        <v>311</v>
      </c>
      <c r="I469" s="502">
        <f xml:space="preserve"> 1.78125</f>
        <v>1.78125</v>
      </c>
      <c r="J469" s="503">
        <f si="109" t="shared"/>
        <v>1.8125</v>
      </c>
    </row>
    <row r="470" spans="4:10" x14ac:dyDescent="0.2">
      <c r="D470" s="1">
        <v>59</v>
      </c>
      <c r="E470" s="4">
        <v>1.8125</v>
      </c>
      <c r="F470" s="5">
        <v>1.8125</v>
      </c>
      <c r="G470" s="5" t="s">
        <v>315</v>
      </c>
      <c r="H470" s="2" t="s">
        <v>311</v>
      </c>
      <c r="I470" s="502" t="s">
        <v>329</v>
      </c>
      <c r="J470" s="503">
        <f si="109" t="shared"/>
        <v>1.84375</v>
      </c>
    </row>
    <row r="471" spans="4:10" x14ac:dyDescent="0.2">
      <c r="D471" s="1">
        <v>60</v>
      </c>
      <c r="E471" s="4">
        <v>1.84375</v>
      </c>
      <c r="F471" s="5">
        <v>1.84375</v>
      </c>
      <c r="G471" s="5" t="s">
        <v>315</v>
      </c>
      <c r="H471" s="2" t="s">
        <v>309</v>
      </c>
      <c r="I471" s="502">
        <f xml:space="preserve"> 1.84375</f>
        <v>1.84375</v>
      </c>
      <c r="J471" s="503">
        <f si="109" t="shared"/>
        <v>1.875</v>
      </c>
    </row>
    <row r="472" spans="4:10" x14ac:dyDescent="0.2">
      <c r="D472" s="1">
        <v>61</v>
      </c>
      <c r="E472" s="4">
        <v>1.875</v>
      </c>
      <c r="F472" s="5">
        <v>1.875</v>
      </c>
      <c r="G472" s="5" t="s">
        <v>315</v>
      </c>
      <c r="H472" s="2" t="s">
        <v>309</v>
      </c>
      <c r="I472" s="502" t="s">
        <v>328</v>
      </c>
      <c r="J472" s="503">
        <f si="109" t="shared"/>
        <v>1.90625</v>
      </c>
    </row>
    <row r="473" spans="4:10" x14ac:dyDescent="0.2">
      <c r="D473" s="1">
        <v>62</v>
      </c>
      <c r="E473" s="4">
        <v>1.90625</v>
      </c>
      <c r="F473" s="5">
        <v>1.90625</v>
      </c>
      <c r="G473" s="5" t="s">
        <v>315</v>
      </c>
      <c r="H473" s="2" t="s">
        <v>313</v>
      </c>
      <c r="I473" s="502">
        <f xml:space="preserve"> 1.90625</f>
        <v>1.90625</v>
      </c>
      <c r="J473" s="503">
        <f si="109" t="shared"/>
        <v>1.9375</v>
      </c>
    </row>
    <row r="474" spans="4:10" x14ac:dyDescent="0.2">
      <c r="D474" s="1">
        <v>63</v>
      </c>
      <c r="E474" s="4">
        <v>1.9375</v>
      </c>
      <c r="F474" s="5">
        <v>1.9375</v>
      </c>
      <c r="G474" s="5" t="s">
        <v>315</v>
      </c>
      <c r="H474" s="2" t="s">
        <v>313</v>
      </c>
      <c r="I474" s="502" t="s">
        <v>330</v>
      </c>
      <c r="J474" s="503">
        <f si="109" t="shared"/>
        <v>1.96875</v>
      </c>
    </row>
    <row r="475" spans="4:10" x14ac:dyDescent="0.2">
      <c r="D475" s="1">
        <v>64</v>
      </c>
      <c r="E475" s="4">
        <v>1.96875</v>
      </c>
      <c r="F475" s="5">
        <v>1.96875</v>
      </c>
      <c r="G475" s="5" t="s">
        <v>331</v>
      </c>
      <c r="I475" s="502">
        <f xml:space="preserve"> 1.96875</f>
        <v>1.96875</v>
      </c>
      <c r="J475" s="503">
        <f si="109" t="shared"/>
        <v>2</v>
      </c>
    </row>
    <row r="476" spans="4:10" x14ac:dyDescent="0.2">
      <c r="D476" s="1">
        <v>65</v>
      </c>
      <c r="E476" s="4">
        <v>2</v>
      </c>
      <c r="F476" s="5">
        <v>2</v>
      </c>
      <c r="G476" s="5" t="s">
        <v>331</v>
      </c>
      <c r="I476" s="502" t="s">
        <v>332</v>
      </c>
      <c r="J476" s="503">
        <f si="109" t="shared"/>
        <v>2.03125</v>
      </c>
    </row>
    <row r="477" spans="4:10" x14ac:dyDescent="0.2">
      <c r="D477" s="1">
        <v>66</v>
      </c>
      <c r="E477" s="4">
        <v>2.03125</v>
      </c>
      <c r="F477" s="5">
        <v>2.03125</v>
      </c>
      <c r="G477" s="5" t="s">
        <v>331</v>
      </c>
      <c r="H477" s="2" t="s">
        <v>296</v>
      </c>
      <c r="I477" s="502">
        <f xml:space="preserve"> 2.03125</f>
        <v>2.03125</v>
      </c>
      <c r="J477" s="503">
        <f si="109" t="shared"/>
        <v>2.0625</v>
      </c>
    </row>
    <row r="478" spans="4:10" x14ac:dyDescent="0.2">
      <c r="D478" s="1">
        <v>67</v>
      </c>
      <c r="E478" s="4">
        <v>2.0625</v>
      </c>
      <c r="F478" s="5">
        <v>2.0625</v>
      </c>
      <c r="G478" s="5" t="s">
        <v>331</v>
      </c>
      <c r="H478" s="2" t="s">
        <v>296</v>
      </c>
      <c r="I478" s="502" t="s">
        <v>333</v>
      </c>
      <c r="J478" s="503">
        <f si="109" t="shared"/>
        <v>2.09375</v>
      </c>
    </row>
    <row r="479" spans="4:10" x14ac:dyDescent="0.2">
      <c r="D479" s="1">
        <v>68</v>
      </c>
      <c r="E479" s="4">
        <v>2.09375</v>
      </c>
      <c r="F479" s="5">
        <v>2.09375</v>
      </c>
      <c r="G479" s="5" t="s">
        <v>331</v>
      </c>
      <c r="H479" s="2" t="s">
        <v>297</v>
      </c>
      <c r="I479" s="502">
        <f xml:space="preserve"> 2.0625</f>
        <v>2.0625</v>
      </c>
      <c r="J479" s="503">
        <f ref="J479:J487" si="110" t="shared">1/32*D479</f>
        <v>2.125</v>
      </c>
    </row>
    <row r="480" spans="4:10" x14ac:dyDescent="0.2">
      <c r="D480" s="1">
        <v>69</v>
      </c>
      <c r="E480" s="4">
        <v>2.125</v>
      </c>
      <c r="F480" s="5">
        <v>2.125</v>
      </c>
      <c r="G480" s="5" t="s">
        <v>331</v>
      </c>
      <c r="H480" s="2" t="s">
        <v>297</v>
      </c>
      <c r="I480" s="502" t="s">
        <v>334</v>
      </c>
      <c r="J480" s="503">
        <f si="110" t="shared"/>
        <v>2.15625</v>
      </c>
    </row>
    <row r="481" spans="4:10" x14ac:dyDescent="0.2">
      <c r="D481" s="1">
        <v>70</v>
      </c>
      <c r="E481" s="4">
        <v>2.15625</v>
      </c>
      <c r="F481" s="5">
        <v>2.15625</v>
      </c>
      <c r="G481" s="5" t="s">
        <v>331</v>
      </c>
      <c r="H481" s="2" t="s">
        <v>298</v>
      </c>
      <c r="I481" s="502">
        <f xml:space="preserve"> 2.15625</f>
        <v>2.15625</v>
      </c>
      <c r="J481" s="503">
        <f si="110" t="shared"/>
        <v>2.1875</v>
      </c>
    </row>
    <row r="482" spans="4:10" x14ac:dyDescent="0.2">
      <c r="D482" s="1">
        <v>71</v>
      </c>
      <c r="E482" s="4">
        <v>2.1875</v>
      </c>
      <c r="F482" s="5">
        <v>2.1875</v>
      </c>
      <c r="G482" s="5" t="s">
        <v>331</v>
      </c>
      <c r="H482" s="2" t="s">
        <v>298</v>
      </c>
      <c r="I482" s="502" t="s">
        <v>335</v>
      </c>
      <c r="J482" s="503">
        <f si="110" t="shared"/>
        <v>2.21875</v>
      </c>
    </row>
    <row r="483" spans="4:10" x14ac:dyDescent="0.2">
      <c r="D483" s="1">
        <v>72</v>
      </c>
      <c r="E483" s="4">
        <v>2.21875</v>
      </c>
      <c r="F483" s="5">
        <v>2.21875</v>
      </c>
      <c r="G483" s="5" t="s">
        <v>331</v>
      </c>
      <c r="H483" s="2" t="s">
        <v>299</v>
      </c>
      <c r="I483" s="502">
        <f xml:space="preserve"> 2.21875</f>
        <v>2.21875</v>
      </c>
      <c r="J483" s="503">
        <f si="110" t="shared"/>
        <v>2.25</v>
      </c>
    </row>
    <row r="484" spans="4:10" x14ac:dyDescent="0.2">
      <c r="D484" s="1">
        <v>73</v>
      </c>
      <c r="E484" s="4">
        <v>2.25</v>
      </c>
      <c r="F484" s="5">
        <v>2.25</v>
      </c>
      <c r="G484" s="5" t="s">
        <v>331</v>
      </c>
      <c r="H484" s="2" t="s">
        <v>299</v>
      </c>
      <c r="I484" s="502" t="s">
        <v>336</v>
      </c>
      <c r="J484" s="503">
        <f si="110" t="shared"/>
        <v>2.28125</v>
      </c>
    </row>
    <row r="485" spans="4:10" x14ac:dyDescent="0.2">
      <c r="D485" s="1">
        <v>74</v>
      </c>
      <c r="E485" s="4">
        <v>2.28125</v>
      </c>
      <c r="F485" s="5">
        <v>2.28125</v>
      </c>
      <c r="G485" s="5" t="s">
        <v>331</v>
      </c>
      <c r="H485" s="2" t="s">
        <v>300</v>
      </c>
      <c r="I485" s="502">
        <f xml:space="preserve"> 2.28125</f>
        <v>2.28125</v>
      </c>
      <c r="J485" s="503">
        <f si="110" t="shared"/>
        <v>2.3125</v>
      </c>
    </row>
    <row r="486" spans="4:10" x14ac:dyDescent="0.2">
      <c r="D486" s="1">
        <v>75</v>
      </c>
      <c r="E486" s="4">
        <v>2.3125</v>
      </c>
      <c r="F486" s="5">
        <v>2.3125</v>
      </c>
      <c r="G486" s="5" t="s">
        <v>331</v>
      </c>
      <c r="H486" s="2" t="s">
        <v>300</v>
      </c>
      <c r="I486" s="502" t="s">
        <v>337</v>
      </c>
      <c r="J486" s="503">
        <f si="110" t="shared"/>
        <v>2.34375</v>
      </c>
    </row>
    <row r="487" spans="4:10" x14ac:dyDescent="0.2">
      <c r="D487" s="1">
        <v>76</v>
      </c>
      <c r="E487" s="4">
        <v>2.34375</v>
      </c>
      <c r="F487" s="5">
        <v>2.34375</v>
      </c>
      <c r="G487" s="5" t="s">
        <v>331</v>
      </c>
      <c r="H487" s="2" t="s">
        <v>301</v>
      </c>
      <c r="I487" s="502">
        <f xml:space="preserve"> 2.34375</f>
        <v>2.34375</v>
      </c>
      <c r="J487" s="503">
        <f si="110" t="shared"/>
        <v>2.375</v>
      </c>
    </row>
    <row r="489" spans="4:10" x14ac:dyDescent="0.2">
      <c r="D489" s="1" t="s">
        <v>338</v>
      </c>
    </row>
    <row r="491" spans="4:10" x14ac:dyDescent="0.2">
      <c r="D491" s="1">
        <v>1900</v>
      </c>
      <c r="F491" s="5" t="s">
        <v>339</v>
      </c>
      <c r="G491" s="2">
        <v>0.35</v>
      </c>
    </row>
    <row r="492" spans="4:10" x14ac:dyDescent="0.2">
      <c r="D492" s="1">
        <v>1901</v>
      </c>
      <c r="F492" s="5" t="s">
        <v>339</v>
      </c>
      <c r="G492" s="2">
        <f>G491</f>
        <v>0.35</v>
      </c>
    </row>
    <row r="493" spans="4:10" x14ac:dyDescent="0.2">
      <c r="D493" s="1">
        <v>1902</v>
      </c>
      <c r="F493" s="5" t="s">
        <v>339</v>
      </c>
      <c r="G493" s="2">
        <f ref="G493:G548" si="111" t="shared">G492</f>
        <v>0.35</v>
      </c>
    </row>
    <row r="494" spans="4:10" x14ac:dyDescent="0.2">
      <c r="D494" s="1">
        <v>1903</v>
      </c>
      <c r="F494" s="5" t="s">
        <v>339</v>
      </c>
      <c r="G494" s="2">
        <f si="111" t="shared"/>
        <v>0.35</v>
      </c>
    </row>
    <row r="495" spans="4:10" x14ac:dyDescent="0.2">
      <c r="D495" s="1">
        <v>1904</v>
      </c>
      <c r="F495" s="5" t="s">
        <v>339</v>
      </c>
      <c r="G495" s="2">
        <f si="111" t="shared"/>
        <v>0.35</v>
      </c>
    </row>
    <row r="496" spans="4:10" x14ac:dyDescent="0.2">
      <c r="D496" s="1">
        <v>1905</v>
      </c>
      <c r="F496" s="5" t="s">
        <v>339</v>
      </c>
      <c r="G496" s="2">
        <f si="111" t="shared"/>
        <v>0.35</v>
      </c>
    </row>
    <row r="497" spans="4:7" x14ac:dyDescent="0.2">
      <c r="D497" s="1">
        <v>1906</v>
      </c>
      <c r="F497" s="5" t="s">
        <v>339</v>
      </c>
      <c r="G497" s="2">
        <f si="111" t="shared"/>
        <v>0.35</v>
      </c>
    </row>
    <row r="498" spans="4:7" x14ac:dyDescent="0.2">
      <c r="D498" s="1">
        <v>1907</v>
      </c>
      <c r="F498" s="5" t="s">
        <v>339</v>
      </c>
      <c r="G498" s="2">
        <f si="111" t="shared"/>
        <v>0.35</v>
      </c>
    </row>
    <row r="499" spans="4:7" x14ac:dyDescent="0.2">
      <c r="D499" s="1">
        <v>1908</v>
      </c>
      <c r="F499" s="5" t="s">
        <v>339</v>
      </c>
      <c r="G499" s="2">
        <f si="111" t="shared"/>
        <v>0.35</v>
      </c>
    </row>
    <row r="500" spans="4:7" x14ac:dyDescent="0.2">
      <c r="D500" s="1">
        <v>1909</v>
      </c>
      <c r="F500" s="5" t="s">
        <v>339</v>
      </c>
      <c r="G500" s="2">
        <f si="111" t="shared"/>
        <v>0.35</v>
      </c>
    </row>
    <row r="501" spans="4:7" x14ac:dyDescent="0.2">
      <c r="D501" s="1">
        <v>1910</v>
      </c>
      <c r="F501" s="5" t="s">
        <v>339</v>
      </c>
      <c r="G501" s="2">
        <f si="111" t="shared"/>
        <v>0.35</v>
      </c>
    </row>
    <row r="502" spans="4:7" x14ac:dyDescent="0.2">
      <c r="D502" s="1">
        <v>1911</v>
      </c>
      <c r="F502" s="5" t="s">
        <v>339</v>
      </c>
      <c r="G502" s="2">
        <f si="111" t="shared"/>
        <v>0.35</v>
      </c>
    </row>
    <row r="503" spans="4:7" x14ac:dyDescent="0.2">
      <c r="D503" s="1">
        <v>1912</v>
      </c>
      <c r="F503" s="5" t="s">
        <v>339</v>
      </c>
      <c r="G503" s="2">
        <f si="111" t="shared"/>
        <v>0.35</v>
      </c>
    </row>
    <row r="504" spans="4:7" x14ac:dyDescent="0.2">
      <c r="D504" s="1">
        <v>1913</v>
      </c>
      <c r="F504" s="5" t="s">
        <v>339</v>
      </c>
      <c r="G504" s="2">
        <f si="111" t="shared"/>
        <v>0.35</v>
      </c>
    </row>
    <row r="505" spans="4:7" x14ac:dyDescent="0.2">
      <c r="D505" s="1">
        <v>1914</v>
      </c>
      <c r="F505" s="5" t="s">
        <v>339</v>
      </c>
      <c r="G505" s="2">
        <f si="111" t="shared"/>
        <v>0.35</v>
      </c>
    </row>
    <row r="506" spans="4:7" x14ac:dyDescent="0.2">
      <c r="D506" s="1">
        <v>1915</v>
      </c>
      <c r="F506" s="5" t="s">
        <v>339</v>
      </c>
      <c r="G506" s="2">
        <f si="111" t="shared"/>
        <v>0.35</v>
      </c>
    </row>
    <row r="507" spans="4:7" x14ac:dyDescent="0.2">
      <c r="D507" s="1">
        <v>1916</v>
      </c>
      <c r="F507" s="5" t="s">
        <v>339</v>
      </c>
      <c r="G507" s="2">
        <f si="111" t="shared"/>
        <v>0.35</v>
      </c>
    </row>
    <row r="508" spans="4:7" x14ac:dyDescent="0.2">
      <c r="D508" s="1">
        <v>1917</v>
      </c>
      <c r="F508" s="5" t="s">
        <v>339</v>
      </c>
      <c r="G508" s="2">
        <f si="111" t="shared"/>
        <v>0.35</v>
      </c>
    </row>
    <row r="509" spans="4:7" x14ac:dyDescent="0.2">
      <c r="D509" s="1">
        <v>1918</v>
      </c>
      <c r="F509" s="5" t="s">
        <v>339</v>
      </c>
      <c r="G509" s="2">
        <f si="111" t="shared"/>
        <v>0.35</v>
      </c>
    </row>
    <row r="510" spans="4:7" x14ac:dyDescent="0.2">
      <c r="D510" s="1">
        <v>1919</v>
      </c>
      <c r="F510" s="5" t="s">
        <v>339</v>
      </c>
      <c r="G510" s="2">
        <f si="111" t="shared"/>
        <v>0.35</v>
      </c>
    </row>
    <row r="511" spans="4:7" x14ac:dyDescent="0.2">
      <c r="D511" s="1">
        <v>1920</v>
      </c>
      <c r="F511" s="5" t="s">
        <v>339</v>
      </c>
      <c r="G511" s="2">
        <f si="111" t="shared"/>
        <v>0.35</v>
      </c>
    </row>
    <row r="512" spans="4:7" x14ac:dyDescent="0.2">
      <c r="D512" s="1">
        <v>1921</v>
      </c>
      <c r="F512" s="5" t="s">
        <v>339</v>
      </c>
      <c r="G512" s="2">
        <f si="111" t="shared"/>
        <v>0.35</v>
      </c>
    </row>
    <row r="513" spans="4:7" x14ac:dyDescent="0.2">
      <c r="D513" s="1">
        <v>1922</v>
      </c>
      <c r="F513" s="5" t="s">
        <v>339</v>
      </c>
      <c r="G513" s="2">
        <f si="111" t="shared"/>
        <v>0.35</v>
      </c>
    </row>
    <row r="514" spans="4:7" x14ac:dyDescent="0.2">
      <c r="D514" s="1">
        <v>1923</v>
      </c>
      <c r="F514" s="5" t="s">
        <v>339</v>
      </c>
      <c r="G514" s="2">
        <f si="111" t="shared"/>
        <v>0.35</v>
      </c>
    </row>
    <row r="515" spans="4:7" x14ac:dyDescent="0.2">
      <c r="D515" s="1">
        <v>1924</v>
      </c>
      <c r="F515" s="5" t="s">
        <v>339</v>
      </c>
      <c r="G515" s="2">
        <f si="111" t="shared"/>
        <v>0.35</v>
      </c>
    </row>
    <row r="516" spans="4:7" x14ac:dyDescent="0.2">
      <c r="D516" s="1">
        <v>1925</v>
      </c>
      <c r="F516" s="5" t="s">
        <v>339</v>
      </c>
      <c r="G516" s="2">
        <f si="111" t="shared"/>
        <v>0.35</v>
      </c>
    </row>
    <row r="517" spans="4:7" x14ac:dyDescent="0.2">
      <c r="D517" s="1">
        <v>1926</v>
      </c>
      <c r="F517" s="5" t="s">
        <v>339</v>
      </c>
      <c r="G517" s="2">
        <f si="111" t="shared"/>
        <v>0.35</v>
      </c>
    </row>
    <row r="518" spans="4:7" x14ac:dyDescent="0.2">
      <c r="D518" s="1">
        <v>1927</v>
      </c>
      <c r="F518" s="5" t="s">
        <v>339</v>
      </c>
      <c r="G518" s="2">
        <f si="111" t="shared"/>
        <v>0.35</v>
      </c>
    </row>
    <row r="519" spans="4:7" x14ac:dyDescent="0.2">
      <c r="D519" s="1">
        <v>1928</v>
      </c>
      <c r="F519" s="5" t="s">
        <v>339</v>
      </c>
      <c r="G519" s="2">
        <f si="111" t="shared"/>
        <v>0.35</v>
      </c>
    </row>
    <row r="520" spans="4:7" x14ac:dyDescent="0.2">
      <c r="D520" s="1">
        <v>1929</v>
      </c>
      <c r="F520" s="5" t="s">
        <v>339</v>
      </c>
      <c r="G520" s="2">
        <f si="111" t="shared"/>
        <v>0.35</v>
      </c>
    </row>
    <row r="521" spans="4:7" x14ac:dyDescent="0.2">
      <c r="D521" s="1">
        <v>1930</v>
      </c>
      <c r="F521" s="5" t="s">
        <v>339</v>
      </c>
      <c r="G521" s="2">
        <f si="111" t="shared"/>
        <v>0.35</v>
      </c>
    </row>
    <row r="522" spans="4:7" x14ac:dyDescent="0.2">
      <c r="D522" s="1">
        <v>1931</v>
      </c>
      <c r="F522" s="5" t="s">
        <v>339</v>
      </c>
      <c r="G522" s="2">
        <f si="111" t="shared"/>
        <v>0.35</v>
      </c>
    </row>
    <row r="523" spans="4:7" x14ac:dyDescent="0.2">
      <c r="D523" s="1">
        <v>1932</v>
      </c>
      <c r="F523" s="5" t="s">
        <v>339</v>
      </c>
      <c r="G523" s="2">
        <f si="111" t="shared"/>
        <v>0.35</v>
      </c>
    </row>
    <row r="524" spans="4:7" x14ac:dyDescent="0.2">
      <c r="D524" s="1">
        <v>1933</v>
      </c>
      <c r="F524" s="5" t="s">
        <v>339</v>
      </c>
      <c r="G524" s="2">
        <f si="111" t="shared"/>
        <v>0.35</v>
      </c>
    </row>
    <row r="525" spans="4:7" x14ac:dyDescent="0.2">
      <c r="D525" s="1">
        <v>1934</v>
      </c>
      <c r="F525" s="5" t="s">
        <v>339</v>
      </c>
      <c r="G525" s="2">
        <f si="111" t="shared"/>
        <v>0.35</v>
      </c>
    </row>
    <row r="526" spans="4:7" x14ac:dyDescent="0.2">
      <c r="D526" s="1">
        <v>1935</v>
      </c>
      <c r="F526" s="5" t="s">
        <v>339</v>
      </c>
      <c r="G526" s="2">
        <f si="111" t="shared"/>
        <v>0.35</v>
      </c>
    </row>
    <row r="527" spans="4:7" x14ac:dyDescent="0.2">
      <c r="D527" s="1">
        <v>1936</v>
      </c>
      <c r="F527" s="5" t="s">
        <v>339</v>
      </c>
      <c r="G527" s="2">
        <f si="111" t="shared"/>
        <v>0.35</v>
      </c>
    </row>
    <row r="528" spans="4:7" x14ac:dyDescent="0.2">
      <c r="D528" s="1">
        <v>1937</v>
      </c>
      <c r="F528" s="5" t="s">
        <v>339</v>
      </c>
      <c r="G528" s="2">
        <f si="111" t="shared"/>
        <v>0.35</v>
      </c>
    </row>
    <row r="529" spans="4:7" x14ac:dyDescent="0.2">
      <c r="D529" s="1">
        <v>1938</v>
      </c>
      <c r="F529" s="5" t="s">
        <v>339</v>
      </c>
      <c r="G529" s="2">
        <f si="111" t="shared"/>
        <v>0.35</v>
      </c>
    </row>
    <row r="530" spans="4:7" x14ac:dyDescent="0.2">
      <c r="D530" s="1">
        <v>1939</v>
      </c>
      <c r="F530" s="5" t="s">
        <v>340</v>
      </c>
      <c r="G530" s="2">
        <v>0.7</v>
      </c>
    </row>
    <row r="531" spans="4:7" x14ac:dyDescent="0.2">
      <c r="D531" s="1">
        <v>1940</v>
      </c>
      <c r="F531" s="5" t="s">
        <v>340</v>
      </c>
      <c r="G531" s="2">
        <f si="111" t="shared"/>
        <v>0.7</v>
      </c>
    </row>
    <row r="532" spans="4:7" x14ac:dyDescent="0.2">
      <c r="D532" s="1">
        <v>1941</v>
      </c>
      <c r="F532" s="5" t="s">
        <v>340</v>
      </c>
      <c r="G532" s="2">
        <f si="111" t="shared"/>
        <v>0.7</v>
      </c>
    </row>
    <row r="533" spans="4:7" x14ac:dyDescent="0.2">
      <c r="D533" s="1">
        <v>1942</v>
      </c>
      <c r="F533" s="5" t="s">
        <v>341</v>
      </c>
      <c r="G533" s="2">
        <f si="111" t="shared"/>
        <v>0.7</v>
      </c>
    </row>
    <row r="534" spans="4:7" x14ac:dyDescent="0.2">
      <c r="D534" s="1">
        <v>1943</v>
      </c>
      <c r="F534" s="5" t="s">
        <v>341</v>
      </c>
      <c r="G534" s="2">
        <f si="111" t="shared"/>
        <v>0.7</v>
      </c>
    </row>
    <row r="535" spans="4:7" x14ac:dyDescent="0.2">
      <c r="D535" s="1">
        <v>1944</v>
      </c>
      <c r="F535" s="5" t="s">
        <v>341</v>
      </c>
      <c r="G535" s="2">
        <f si="111" t="shared"/>
        <v>0.7</v>
      </c>
    </row>
    <row r="536" spans="4:7" x14ac:dyDescent="0.2">
      <c r="D536" s="1">
        <v>1945</v>
      </c>
      <c r="F536" s="5" t="s">
        <v>342</v>
      </c>
      <c r="G536" s="2">
        <f si="111" t="shared"/>
        <v>0.7</v>
      </c>
    </row>
    <row r="537" spans="4:7" x14ac:dyDescent="0.2">
      <c r="D537" s="1">
        <v>1946</v>
      </c>
      <c r="F537" s="5" t="s">
        <v>342</v>
      </c>
      <c r="G537" s="2">
        <f si="111" t="shared"/>
        <v>0.7</v>
      </c>
    </row>
    <row r="538" spans="4:7" x14ac:dyDescent="0.2">
      <c r="D538" s="1">
        <v>1947</v>
      </c>
      <c r="F538" s="5" t="s">
        <v>343</v>
      </c>
      <c r="G538" s="2">
        <f si="111" t="shared"/>
        <v>0.7</v>
      </c>
    </row>
    <row r="539" spans="4:7" x14ac:dyDescent="0.2">
      <c r="D539" s="1">
        <v>1948</v>
      </c>
      <c r="F539" s="5" t="s">
        <v>344</v>
      </c>
      <c r="G539" s="2">
        <f si="111" t="shared"/>
        <v>0.7</v>
      </c>
    </row>
    <row r="540" spans="4:7" x14ac:dyDescent="0.2">
      <c r="D540" s="1">
        <v>1949</v>
      </c>
      <c r="F540" s="5" t="s">
        <v>345</v>
      </c>
      <c r="G540" s="2">
        <f si="111" t="shared"/>
        <v>0.7</v>
      </c>
    </row>
    <row r="541" spans="4:7" x14ac:dyDescent="0.2">
      <c r="D541" s="1">
        <v>1950</v>
      </c>
      <c r="F541" s="5" t="s">
        <v>346</v>
      </c>
      <c r="G541" s="2">
        <f si="111" t="shared"/>
        <v>0.7</v>
      </c>
    </row>
    <row r="542" spans="4:7" x14ac:dyDescent="0.2">
      <c r="D542" s="1">
        <v>1951</v>
      </c>
      <c r="F542" s="5" t="s">
        <v>347</v>
      </c>
      <c r="G542" s="2">
        <f si="111" t="shared"/>
        <v>0.7</v>
      </c>
    </row>
    <row r="543" spans="4:7" x14ac:dyDescent="0.2">
      <c r="D543" s="1">
        <v>1952</v>
      </c>
      <c r="F543" s="5" t="s">
        <v>348</v>
      </c>
      <c r="G543" s="2">
        <f si="111" t="shared"/>
        <v>0.7</v>
      </c>
    </row>
    <row r="544" spans="4:7" x14ac:dyDescent="0.2">
      <c r="D544" s="1">
        <v>1953</v>
      </c>
      <c r="F544" s="5" t="s">
        <v>349</v>
      </c>
      <c r="G544" s="2">
        <f si="111" t="shared"/>
        <v>0.7</v>
      </c>
    </row>
    <row r="545" spans="4:7" x14ac:dyDescent="0.2">
      <c r="D545" s="1">
        <v>1954</v>
      </c>
      <c r="F545" s="5" t="s">
        <v>350</v>
      </c>
      <c r="G545" s="2">
        <f si="111" t="shared"/>
        <v>0.7</v>
      </c>
    </row>
    <row r="546" spans="4:7" x14ac:dyDescent="0.2">
      <c r="D546" s="1">
        <v>1955</v>
      </c>
      <c r="F546" s="5" t="s">
        <v>351</v>
      </c>
      <c r="G546" s="2">
        <f si="111" t="shared"/>
        <v>0.7</v>
      </c>
    </row>
    <row r="547" spans="4:7" x14ac:dyDescent="0.2">
      <c r="D547" s="1">
        <v>1956</v>
      </c>
      <c r="F547" s="5" t="s">
        <v>352</v>
      </c>
      <c r="G547" s="2">
        <f si="111" t="shared"/>
        <v>0.7</v>
      </c>
    </row>
    <row r="548" spans="4:7" x14ac:dyDescent="0.2">
      <c r="D548" s="1">
        <v>1957</v>
      </c>
      <c r="F548" s="5" t="s">
        <v>353</v>
      </c>
      <c r="G548" s="2">
        <f si="111" t="shared"/>
        <v>0.7</v>
      </c>
    </row>
    <row r="549" spans="4:7" x14ac:dyDescent="0.2">
      <c r="D549" s="1">
        <v>1958</v>
      </c>
      <c r="F549" s="5" t="s">
        <v>354</v>
      </c>
      <c r="G549" s="2">
        <v>0.85</v>
      </c>
    </row>
    <row r="550" spans="4:7" x14ac:dyDescent="0.2">
      <c r="D550" s="1">
        <v>1959</v>
      </c>
      <c r="F550" s="5" t="s">
        <v>354</v>
      </c>
      <c r="G550" s="2">
        <f>G549</f>
        <v>0.85</v>
      </c>
    </row>
    <row r="551" spans="4:7" x14ac:dyDescent="0.2">
      <c r="D551" s="1">
        <v>1960</v>
      </c>
      <c r="F551" s="5" t="s">
        <v>354</v>
      </c>
      <c r="G551" s="2">
        <f ref="G551:G611" si="112" t="shared">G550</f>
        <v>0.85</v>
      </c>
    </row>
    <row r="552" spans="4:7" x14ac:dyDescent="0.2">
      <c r="D552" s="1">
        <v>1961</v>
      </c>
      <c r="F552" s="5" t="s">
        <v>355</v>
      </c>
      <c r="G552" s="2">
        <f si="112" t="shared"/>
        <v>0.85</v>
      </c>
    </row>
    <row r="553" spans="4:7" x14ac:dyDescent="0.2">
      <c r="D553" s="1">
        <v>1962</v>
      </c>
      <c r="F553" s="5" t="s">
        <v>355</v>
      </c>
      <c r="G553" s="2">
        <f si="112" t="shared"/>
        <v>0.85</v>
      </c>
    </row>
    <row r="554" spans="4:7" x14ac:dyDescent="0.2">
      <c r="D554" s="1">
        <v>1963</v>
      </c>
      <c r="F554" s="5" t="s">
        <v>356</v>
      </c>
      <c r="G554" s="2">
        <f si="112" t="shared"/>
        <v>0.85</v>
      </c>
    </row>
    <row r="555" spans="4:7" x14ac:dyDescent="0.2">
      <c r="D555" s="1">
        <v>1964</v>
      </c>
      <c r="F555" s="5" t="s">
        <v>356</v>
      </c>
      <c r="G555" s="2">
        <f si="112" t="shared"/>
        <v>0.85</v>
      </c>
    </row>
    <row r="556" spans="4:7" x14ac:dyDescent="0.2">
      <c r="D556" s="1">
        <v>1965</v>
      </c>
      <c r="F556" s="5" t="s">
        <v>356</v>
      </c>
      <c r="G556" s="2">
        <f si="112" t="shared"/>
        <v>0.85</v>
      </c>
    </row>
    <row r="557" spans="4:7" x14ac:dyDescent="0.2">
      <c r="D557" s="1">
        <v>1966</v>
      </c>
      <c r="F557" s="5" t="s">
        <v>357</v>
      </c>
      <c r="G557" s="2">
        <f si="112" t="shared"/>
        <v>0.85</v>
      </c>
    </row>
    <row r="558" spans="4:7" x14ac:dyDescent="0.2">
      <c r="D558" s="1">
        <v>1967</v>
      </c>
      <c r="F558" s="5" t="s">
        <v>357</v>
      </c>
      <c r="G558" s="2">
        <f si="112" t="shared"/>
        <v>0.85</v>
      </c>
    </row>
    <row r="559" spans="4:7" x14ac:dyDescent="0.2">
      <c r="D559" s="1">
        <v>1968</v>
      </c>
      <c r="F559" s="5" t="s">
        <v>357</v>
      </c>
      <c r="G559" s="2">
        <f si="112" t="shared"/>
        <v>0.85</v>
      </c>
    </row>
    <row r="560" spans="4:7" x14ac:dyDescent="0.2">
      <c r="D560" s="1">
        <v>1969</v>
      </c>
      <c r="F560" s="5" t="s">
        <v>358</v>
      </c>
      <c r="G560" s="2">
        <f si="112" t="shared"/>
        <v>0.85</v>
      </c>
    </row>
    <row r="561" spans="4:7" x14ac:dyDescent="0.2">
      <c r="D561" s="1">
        <v>1970</v>
      </c>
      <c r="F561" s="5" t="s">
        <v>358</v>
      </c>
      <c r="G561" s="2">
        <f si="112" t="shared"/>
        <v>0.85</v>
      </c>
    </row>
    <row r="562" spans="4:7" x14ac:dyDescent="0.2">
      <c r="D562" s="1">
        <v>1971</v>
      </c>
      <c r="F562" s="5" t="s">
        <v>358</v>
      </c>
      <c r="G562" s="2">
        <f si="112" t="shared"/>
        <v>0.85</v>
      </c>
    </row>
    <row r="563" spans="4:7" x14ac:dyDescent="0.2">
      <c r="D563" s="1">
        <v>1972</v>
      </c>
      <c r="F563" s="5" t="s">
        <v>359</v>
      </c>
      <c r="G563" s="2">
        <f si="112" t="shared"/>
        <v>0.85</v>
      </c>
    </row>
    <row r="564" spans="4:7" x14ac:dyDescent="0.2">
      <c r="D564" s="1">
        <v>1973</v>
      </c>
      <c r="F564" s="5" t="s">
        <v>359</v>
      </c>
      <c r="G564" s="2">
        <f si="112" t="shared"/>
        <v>0.85</v>
      </c>
    </row>
    <row r="565" spans="4:7" x14ac:dyDescent="0.2">
      <c r="D565" s="1">
        <v>1974</v>
      </c>
      <c r="F565" s="5" t="s">
        <v>360</v>
      </c>
      <c r="G565" s="2">
        <f si="112" t="shared"/>
        <v>0.85</v>
      </c>
    </row>
    <row r="566" spans="4:7" x14ac:dyDescent="0.2">
      <c r="D566" s="1">
        <v>1975</v>
      </c>
      <c r="F566" s="5" t="s">
        <v>360</v>
      </c>
      <c r="G566" s="2">
        <f si="112" t="shared"/>
        <v>0.85</v>
      </c>
    </row>
    <row r="567" spans="4:7" x14ac:dyDescent="0.2">
      <c r="D567" s="1">
        <v>1976</v>
      </c>
      <c r="F567" s="5" t="s">
        <v>360</v>
      </c>
      <c r="G567" s="2">
        <f si="112" t="shared"/>
        <v>0.85</v>
      </c>
    </row>
    <row r="568" spans="4:7" x14ac:dyDescent="0.2">
      <c r="D568" s="1">
        <v>1977</v>
      </c>
      <c r="F568" s="5" t="s">
        <v>360</v>
      </c>
      <c r="G568" s="2">
        <f si="112" t="shared"/>
        <v>0.85</v>
      </c>
    </row>
    <row r="569" spans="4:7" x14ac:dyDescent="0.2">
      <c r="D569" s="1">
        <v>1978</v>
      </c>
      <c r="F569" s="5" t="s">
        <v>360</v>
      </c>
      <c r="G569" s="2">
        <f si="112" t="shared"/>
        <v>0.85</v>
      </c>
    </row>
    <row r="570" spans="4:7" x14ac:dyDescent="0.2">
      <c r="D570" s="1">
        <v>1979</v>
      </c>
      <c r="F570" s="5" t="s">
        <v>361</v>
      </c>
      <c r="G570" s="2">
        <f si="112" t="shared"/>
        <v>0.85</v>
      </c>
    </row>
    <row r="571" spans="4:7" x14ac:dyDescent="0.2">
      <c r="D571" s="1">
        <v>1980</v>
      </c>
      <c r="F571" s="5" t="s">
        <v>361</v>
      </c>
      <c r="G571" s="2">
        <v>1</v>
      </c>
    </row>
    <row r="572" spans="4:7" x14ac:dyDescent="0.2">
      <c r="D572" s="1">
        <v>1981</v>
      </c>
      <c r="F572" s="5" t="s">
        <v>361</v>
      </c>
      <c r="G572" s="2">
        <f si="112" t="shared"/>
        <v>1</v>
      </c>
    </row>
    <row r="573" spans="4:7" x14ac:dyDescent="0.2">
      <c r="D573" s="1">
        <v>1982</v>
      </c>
      <c r="F573" s="5" t="s">
        <v>361</v>
      </c>
      <c r="G573" s="2">
        <f si="112" t="shared"/>
        <v>1</v>
      </c>
    </row>
    <row r="574" spans="4:7" x14ac:dyDescent="0.2">
      <c r="D574" s="1">
        <v>1983</v>
      </c>
      <c r="F574" s="5" t="s">
        <v>361</v>
      </c>
      <c r="G574" s="2">
        <f si="112" t="shared"/>
        <v>1</v>
      </c>
    </row>
    <row r="575" spans="4:7" x14ac:dyDescent="0.2">
      <c r="D575" s="1">
        <v>1984</v>
      </c>
      <c r="F575" s="5" t="s">
        <v>362</v>
      </c>
      <c r="G575" s="2">
        <f si="112" t="shared"/>
        <v>1</v>
      </c>
    </row>
    <row r="576" spans="4:7" x14ac:dyDescent="0.2">
      <c r="D576" s="1">
        <v>1985</v>
      </c>
      <c r="F576" s="5" t="s">
        <v>362</v>
      </c>
      <c r="G576" s="2">
        <f si="112" t="shared"/>
        <v>1</v>
      </c>
    </row>
    <row r="577" spans="4:7" x14ac:dyDescent="0.2">
      <c r="D577" s="1">
        <v>1986</v>
      </c>
      <c r="F577" s="5" t="s">
        <v>362</v>
      </c>
      <c r="G577" s="2">
        <f si="112" t="shared"/>
        <v>1</v>
      </c>
    </row>
    <row r="578" spans="4:7" x14ac:dyDescent="0.2">
      <c r="D578" s="1">
        <v>1987</v>
      </c>
      <c r="F578" s="5" t="s">
        <v>362</v>
      </c>
      <c r="G578" s="2">
        <f si="112" t="shared"/>
        <v>1</v>
      </c>
    </row>
    <row r="579" spans="4:7" x14ac:dyDescent="0.2">
      <c r="D579" s="1">
        <v>1988</v>
      </c>
      <c r="F579" s="5" t="s">
        <v>362</v>
      </c>
      <c r="G579" s="2">
        <f si="112" t="shared"/>
        <v>1</v>
      </c>
    </row>
    <row r="580" spans="4:7" x14ac:dyDescent="0.2">
      <c r="D580" s="1">
        <v>1989</v>
      </c>
      <c r="F580" s="5" t="s">
        <v>362</v>
      </c>
      <c r="G580" s="2">
        <f si="112" t="shared"/>
        <v>1</v>
      </c>
    </row>
    <row r="581" spans="4:7" x14ac:dyDescent="0.2">
      <c r="D581" s="1">
        <v>1990</v>
      </c>
      <c r="F581" s="5" t="s">
        <v>362</v>
      </c>
      <c r="G581" s="2">
        <f si="112" t="shared"/>
        <v>1</v>
      </c>
    </row>
    <row r="582" spans="4:7" x14ac:dyDescent="0.2">
      <c r="D582" s="1">
        <v>1991</v>
      </c>
      <c r="F582" s="5" t="s">
        <v>363</v>
      </c>
      <c r="G582" s="2">
        <f si="112" t="shared"/>
        <v>1</v>
      </c>
    </row>
    <row r="583" spans="4:7" x14ac:dyDescent="0.2">
      <c r="D583" s="1">
        <v>1992</v>
      </c>
      <c r="F583" s="5" t="s">
        <v>363</v>
      </c>
      <c r="G583" s="2">
        <f si="112" t="shared"/>
        <v>1</v>
      </c>
    </row>
    <row r="584" spans="4:7" x14ac:dyDescent="0.2">
      <c r="D584" s="1">
        <v>1993</v>
      </c>
      <c r="F584" s="5" t="s">
        <v>363</v>
      </c>
      <c r="G584" s="2">
        <f si="112" t="shared"/>
        <v>1</v>
      </c>
    </row>
    <row r="585" spans="4:7" x14ac:dyDescent="0.2">
      <c r="D585" s="1">
        <v>1994</v>
      </c>
      <c r="F585" s="5" t="s">
        <v>363</v>
      </c>
      <c r="G585" s="2">
        <f si="112" t="shared"/>
        <v>1</v>
      </c>
    </row>
    <row r="586" spans="4:7" x14ac:dyDescent="0.2">
      <c r="D586" s="1">
        <v>1995</v>
      </c>
      <c r="F586" s="5" t="s">
        <v>363</v>
      </c>
      <c r="G586" s="2">
        <f si="112" t="shared"/>
        <v>1</v>
      </c>
    </row>
    <row r="587" spans="4:7" x14ac:dyDescent="0.2">
      <c r="D587" s="1">
        <v>1996</v>
      </c>
      <c r="F587" s="5" t="s">
        <v>363</v>
      </c>
      <c r="G587" s="2">
        <f si="112" t="shared"/>
        <v>1</v>
      </c>
    </row>
    <row r="588" spans="4:7" x14ac:dyDescent="0.2">
      <c r="D588" s="1">
        <v>1997</v>
      </c>
      <c r="F588" s="5" t="s">
        <v>363</v>
      </c>
      <c r="G588" s="2">
        <f si="112" t="shared"/>
        <v>1</v>
      </c>
    </row>
    <row r="589" spans="4:7" x14ac:dyDescent="0.2">
      <c r="D589" s="1">
        <v>1998</v>
      </c>
      <c r="F589" s="5" t="s">
        <v>363</v>
      </c>
      <c r="G589" s="2">
        <f si="112" t="shared"/>
        <v>1</v>
      </c>
    </row>
    <row r="590" spans="4:7" x14ac:dyDescent="0.2">
      <c r="D590" s="1">
        <v>1999</v>
      </c>
      <c r="F590" s="5" t="s">
        <v>364</v>
      </c>
      <c r="G590" s="2">
        <f si="112" t="shared"/>
        <v>1</v>
      </c>
    </row>
    <row r="591" spans="4:7" x14ac:dyDescent="0.2">
      <c r="D591" s="1">
        <v>2000</v>
      </c>
      <c r="F591" s="5" t="s">
        <v>364</v>
      </c>
      <c r="G591" s="2">
        <f si="112" t="shared"/>
        <v>1</v>
      </c>
    </row>
    <row r="592" spans="4:7" x14ac:dyDescent="0.2">
      <c r="D592" s="1">
        <v>2001</v>
      </c>
      <c r="F592" s="5" t="s">
        <v>364</v>
      </c>
      <c r="G592" s="2">
        <f si="112" t="shared"/>
        <v>1</v>
      </c>
    </row>
    <row r="593" spans="4:7" x14ac:dyDescent="0.2">
      <c r="D593" s="1">
        <v>2002</v>
      </c>
      <c r="F593" s="5" t="s">
        <v>364</v>
      </c>
      <c r="G593" s="2">
        <f si="112" t="shared"/>
        <v>1</v>
      </c>
    </row>
    <row r="594" spans="4:7" x14ac:dyDescent="0.2">
      <c r="D594" s="1">
        <v>2003</v>
      </c>
      <c r="F594" s="5" t="s">
        <v>364</v>
      </c>
      <c r="G594" s="2">
        <f si="112" t="shared"/>
        <v>1</v>
      </c>
    </row>
    <row r="595" spans="4:7" x14ac:dyDescent="0.2">
      <c r="D595" s="1">
        <v>2004</v>
      </c>
      <c r="F595" s="5" t="s">
        <v>364</v>
      </c>
      <c r="G595" s="2">
        <f si="112" t="shared"/>
        <v>1</v>
      </c>
    </row>
    <row r="596" spans="4:7" x14ac:dyDescent="0.2">
      <c r="D596" s="1">
        <v>2005</v>
      </c>
      <c r="F596" s="5" t="s">
        <v>364</v>
      </c>
      <c r="G596" s="2">
        <f si="112" t="shared"/>
        <v>1</v>
      </c>
    </row>
    <row r="597" spans="4:7" x14ac:dyDescent="0.2">
      <c r="D597" s="1">
        <v>2006</v>
      </c>
      <c r="F597" s="5" t="s">
        <v>364</v>
      </c>
      <c r="G597" s="2">
        <f si="112" t="shared"/>
        <v>1</v>
      </c>
    </row>
    <row r="598" spans="4:7" x14ac:dyDescent="0.2">
      <c r="D598" s="1">
        <v>2007</v>
      </c>
      <c r="F598" s="5" t="s">
        <v>365</v>
      </c>
      <c r="G598" s="2">
        <f si="112" t="shared"/>
        <v>1</v>
      </c>
    </row>
    <row r="599" spans="4:7" x14ac:dyDescent="0.2">
      <c r="D599" s="1">
        <v>2008</v>
      </c>
      <c r="F599" s="5" t="s">
        <v>365</v>
      </c>
      <c r="G599" s="2">
        <f si="112" t="shared"/>
        <v>1</v>
      </c>
    </row>
    <row r="600" spans="4:7" x14ac:dyDescent="0.2">
      <c r="D600" s="1">
        <v>2009</v>
      </c>
      <c r="F600" s="5" t="s">
        <v>365</v>
      </c>
      <c r="G600" s="2">
        <f si="112" t="shared"/>
        <v>1</v>
      </c>
    </row>
    <row r="601" spans="4:7" x14ac:dyDescent="0.2">
      <c r="D601" s="1">
        <v>2010</v>
      </c>
      <c r="F601" s="5" t="s">
        <v>365</v>
      </c>
      <c r="G601" s="2">
        <f si="112" t="shared"/>
        <v>1</v>
      </c>
    </row>
    <row r="602" spans="4:7" x14ac:dyDescent="0.2">
      <c r="D602" s="1">
        <v>2011</v>
      </c>
      <c r="F602" s="5" t="s">
        <v>365</v>
      </c>
      <c r="G602" s="2">
        <f si="112" t="shared"/>
        <v>1</v>
      </c>
    </row>
    <row r="603" spans="4:7" x14ac:dyDescent="0.2">
      <c r="D603" s="1">
        <v>2012</v>
      </c>
      <c r="F603" s="5" t="s">
        <v>365</v>
      </c>
      <c r="G603" s="2">
        <f si="112" t="shared"/>
        <v>1</v>
      </c>
    </row>
    <row r="604" spans="4:7" x14ac:dyDescent="0.2">
      <c r="D604" s="1">
        <v>2013</v>
      </c>
      <c r="F604" s="5" t="s">
        <v>365</v>
      </c>
      <c r="G604" s="2">
        <f si="112" t="shared"/>
        <v>1</v>
      </c>
    </row>
    <row r="605" spans="4:7" x14ac:dyDescent="0.2">
      <c r="D605" s="1">
        <v>2014</v>
      </c>
      <c r="F605" s="5" t="s">
        <v>365</v>
      </c>
      <c r="G605" s="2">
        <f si="112" t="shared"/>
        <v>1</v>
      </c>
    </row>
    <row r="606" spans="4:7" x14ac:dyDescent="0.2">
      <c r="D606" s="1">
        <v>2015</v>
      </c>
      <c r="F606" s="5" t="s">
        <v>365</v>
      </c>
      <c r="G606" s="2">
        <f si="112" t="shared"/>
        <v>1</v>
      </c>
    </row>
    <row r="607" spans="4:7" x14ac:dyDescent="0.2">
      <c r="D607" s="1">
        <v>2016</v>
      </c>
      <c r="F607" s="5" t="s">
        <v>365</v>
      </c>
      <c r="G607" s="2">
        <f si="112" t="shared"/>
        <v>1</v>
      </c>
    </row>
    <row r="608" spans="4:7" x14ac:dyDescent="0.2">
      <c r="D608" s="1">
        <v>2017</v>
      </c>
      <c r="F608" s="5" t="s">
        <v>365</v>
      </c>
      <c r="G608" s="2">
        <f si="112" t="shared"/>
        <v>1</v>
      </c>
    </row>
    <row r="609" spans="3:7" x14ac:dyDescent="0.2">
      <c r="D609" s="1">
        <v>2018</v>
      </c>
      <c r="F609" s="5" t="s">
        <v>365</v>
      </c>
      <c r="G609" s="2">
        <f si="112" t="shared"/>
        <v>1</v>
      </c>
    </row>
    <row r="610" spans="3:7" x14ac:dyDescent="0.2">
      <c r="D610" s="1">
        <v>2019</v>
      </c>
      <c r="F610" s="5" t="s">
        <v>365</v>
      </c>
      <c r="G610" s="2">
        <f si="112" t="shared"/>
        <v>1</v>
      </c>
    </row>
    <row ht="13.5" r="611" spans="3:7" thickBot="1" x14ac:dyDescent="0.25">
      <c r="D611" s="1">
        <v>2020</v>
      </c>
      <c r="F611" s="5" t="s">
        <v>365</v>
      </c>
      <c r="G611" s="2">
        <f si="112" t="shared"/>
        <v>1</v>
      </c>
    </row>
    <row customHeight="1" ht="81.75" r="612" spans="3:7" thickBot="1" x14ac:dyDescent="0.25">
      <c r="D612" s="505" t="s">
        <v>145</v>
      </c>
      <c r="E612" s="506" t="s">
        <v>12</v>
      </c>
      <c r="F612" s="507" t="s">
        <v>366</v>
      </c>
      <c r="G612" s="508" t="s">
        <v>367</v>
      </c>
    </row>
    <row r="613" spans="3:7" x14ac:dyDescent="0.2">
      <c r="D613" s="348" t="s">
        <v>368</v>
      </c>
      <c r="E613" s="348">
        <v>1.08</v>
      </c>
      <c r="F613" s="509">
        <v>1</v>
      </c>
      <c r="G613" s="510">
        <v>200</v>
      </c>
    </row>
    <row r="614" spans="3:7" x14ac:dyDescent="0.2">
      <c r="D614" s="439" t="s">
        <v>369</v>
      </c>
      <c r="E614" s="439">
        <v>1.08</v>
      </c>
      <c r="F614" s="511">
        <v>0</v>
      </c>
      <c r="G614" s="510">
        <v>200</v>
      </c>
    </row>
    <row r="615" spans="3:7" x14ac:dyDescent="0.2">
      <c r="D615" s="439" t="s">
        <v>370</v>
      </c>
      <c r="E615" s="439">
        <v>0.7</v>
      </c>
      <c r="F615" s="511">
        <v>150</v>
      </c>
      <c r="G615" s="510">
        <v>-20</v>
      </c>
    </row>
    <row r="616" spans="3:7" x14ac:dyDescent="0.2">
      <c r="D616" s="439" t="s">
        <v>371</v>
      </c>
      <c r="E616" s="439">
        <v>0.87</v>
      </c>
      <c r="F616" s="511">
        <v>0.4</v>
      </c>
      <c r="G616" s="510">
        <v>100</v>
      </c>
    </row>
    <row r="617" spans="3:7" x14ac:dyDescent="0.2">
      <c r="D617" s="439" t="s">
        <v>372</v>
      </c>
      <c r="E617" s="439">
        <v>1.5</v>
      </c>
      <c r="F617" s="511">
        <v>0</v>
      </c>
      <c r="G617" s="510">
        <v>200</v>
      </c>
    </row>
    <row r="618" spans="3:7" x14ac:dyDescent="0.2">
      <c r="D618" s="439" t="s">
        <v>373</v>
      </c>
      <c r="E618" s="439">
        <v>0.92</v>
      </c>
      <c r="F618" s="511">
        <v>1</v>
      </c>
      <c r="G618" s="510">
        <v>150</v>
      </c>
    </row>
    <row r="619" spans="3:7" x14ac:dyDescent="0.2">
      <c r="D619" s="439" t="s">
        <v>374</v>
      </c>
      <c r="E619" s="439">
        <v>0.82</v>
      </c>
      <c r="F619" s="511">
        <v>0.4</v>
      </c>
      <c r="G619" s="510">
        <v>150</v>
      </c>
    </row>
    <row r="620" spans="3:7" x14ac:dyDescent="0.2">
      <c r="D620" s="213" t="s">
        <v>375</v>
      </c>
      <c r="E620" s="439">
        <v>0.86</v>
      </c>
      <c r="F620" s="511">
        <v>0</v>
      </c>
      <c r="G620" s="510">
        <v>150</v>
      </c>
    </row>
    <row r="621" spans="3:7" x14ac:dyDescent="0.2">
      <c r="D621" s="213" t="s">
        <v>376</v>
      </c>
      <c r="E621" s="439">
        <v>0.86</v>
      </c>
      <c r="F621" s="511">
        <v>0</v>
      </c>
      <c r="G621" s="510">
        <v>140</v>
      </c>
    </row>
    <row r="622" spans="3:7" x14ac:dyDescent="0.2">
      <c r="D622" s="439" t="s">
        <v>377</v>
      </c>
      <c r="E622" s="439">
        <v>0.79</v>
      </c>
      <c r="F622" s="511">
        <v>130</v>
      </c>
      <c r="G622" s="510">
        <v>-20</v>
      </c>
    </row>
    <row r="623" spans="3:7" x14ac:dyDescent="0.2">
      <c r="C623" s="115"/>
      <c r="D623" s="213" t="s">
        <v>378</v>
      </c>
      <c r="E623" s="439">
        <v>0.78</v>
      </c>
      <c r="F623" s="511">
        <v>12</v>
      </c>
      <c r="G623" s="510">
        <v>-20</v>
      </c>
    </row>
    <row r="624" spans="3:7" x14ac:dyDescent="0.2">
      <c r="D624" s="439" t="s">
        <v>379</v>
      </c>
      <c r="E624" s="439">
        <v>0.84179999999999999</v>
      </c>
      <c r="F624" s="511">
        <v>3</v>
      </c>
      <c r="G624" s="510">
        <v>140</v>
      </c>
    </row>
    <row r="625" spans="4:9" x14ac:dyDescent="0.2">
      <c r="D625" s="439" t="s">
        <v>380</v>
      </c>
      <c r="E625" s="439">
        <v>1.5</v>
      </c>
      <c r="F625" s="511">
        <v>0</v>
      </c>
      <c r="G625" s="510">
        <v>200</v>
      </c>
    </row>
    <row r="626" spans="4:9" x14ac:dyDescent="0.2">
      <c r="D626" s="439" t="s">
        <v>381</v>
      </c>
      <c r="E626" s="439">
        <v>1.33</v>
      </c>
      <c r="F626" s="511">
        <v>0</v>
      </c>
      <c r="G626" s="510">
        <v>200</v>
      </c>
    </row>
    <row r="627" spans="4:9" x14ac:dyDescent="0.2">
      <c r="D627" s="439" t="s">
        <v>382</v>
      </c>
      <c r="E627" s="439">
        <v>0.97</v>
      </c>
      <c r="F627" s="511">
        <v>1</v>
      </c>
      <c r="G627" s="510">
        <v>200</v>
      </c>
    </row>
    <row r="628" spans="4:9" x14ac:dyDescent="0.2">
      <c r="D628" s="439" t="s">
        <v>383</v>
      </c>
      <c r="E628" s="439">
        <v>0.82</v>
      </c>
      <c r="F628" s="511">
        <v>130</v>
      </c>
      <c r="G628" s="510">
        <v>-20</v>
      </c>
    </row>
    <row r="629" spans="4:9" x14ac:dyDescent="0.2">
      <c r="D629" s="439" t="s">
        <v>384</v>
      </c>
      <c r="E629" s="439">
        <v>0.72</v>
      </c>
      <c r="F629" s="511">
        <v>130</v>
      </c>
      <c r="G629" s="510">
        <v>-20</v>
      </c>
    </row>
    <row r="630" spans="4:9" x14ac:dyDescent="0.2">
      <c r="D630" s="439" t="s">
        <v>385</v>
      </c>
      <c r="E630" s="439">
        <v>0.82</v>
      </c>
      <c r="F630" s="511">
        <v>3</v>
      </c>
      <c r="G630" s="510">
        <v>140</v>
      </c>
    </row>
    <row r="631" spans="4:9" x14ac:dyDescent="0.2">
      <c r="D631" s="213" t="s">
        <v>386</v>
      </c>
      <c r="E631" s="439">
        <v>0.79</v>
      </c>
      <c r="F631" s="511">
        <v>3</v>
      </c>
      <c r="G631" s="510">
        <v>-20</v>
      </c>
    </row>
    <row r="632" spans="4:9" x14ac:dyDescent="0.2">
      <c r="D632" s="213" t="s">
        <v>387</v>
      </c>
      <c r="E632" s="439">
        <v>0.84499999999999997</v>
      </c>
      <c r="F632" s="511">
        <v>3</v>
      </c>
      <c r="G632" s="510">
        <v>140</v>
      </c>
    </row>
    <row r="633" spans="4:9" x14ac:dyDescent="0.2">
      <c r="D633" s="213" t="s">
        <v>388</v>
      </c>
      <c r="E633" s="439">
        <v>0.84</v>
      </c>
      <c r="F633" s="511">
        <v>3</v>
      </c>
      <c r="G633" s="510">
        <v>100</v>
      </c>
    </row>
    <row r="634" spans="4:9" x14ac:dyDescent="0.2">
      <c r="D634" s="439" t="s">
        <v>389</v>
      </c>
      <c r="E634" s="439">
        <v>0.82</v>
      </c>
      <c r="F634" s="511">
        <v>0.5</v>
      </c>
      <c r="G634" s="510">
        <v>100</v>
      </c>
    </row>
    <row r="635" spans="4:9" x14ac:dyDescent="0.2">
      <c r="D635" s="439" t="s">
        <v>390</v>
      </c>
      <c r="E635" s="439">
        <v>1.25</v>
      </c>
      <c r="F635" s="511">
        <v>0</v>
      </c>
      <c r="G635" s="510">
        <v>200</v>
      </c>
    </row>
    <row r="636" spans="4:9" x14ac:dyDescent="0.2">
      <c r="D636" s="439" t="s">
        <v>391</v>
      </c>
      <c r="E636" s="439">
        <v>0.70099999999999996</v>
      </c>
      <c r="F636" s="511">
        <v>0.5</v>
      </c>
      <c r="G636" s="510">
        <v>100</v>
      </c>
    </row>
    <row r="637" spans="4:9" x14ac:dyDescent="0.2">
      <c r="D637" s="512" t="s">
        <v>392</v>
      </c>
      <c r="E637" s="439">
        <v>0.69899999999999995</v>
      </c>
      <c r="F637" s="511">
        <v>0</v>
      </c>
      <c r="G637" s="510">
        <v>200</v>
      </c>
      <c r="H637" s="4"/>
      <c r="I637" s="4"/>
    </row>
    <row r="638" spans="4:9" x14ac:dyDescent="0.2">
      <c r="D638" s="439" t="s">
        <v>393</v>
      </c>
      <c r="E638" s="439">
        <v>1.85</v>
      </c>
      <c r="F638" s="511">
        <v>0</v>
      </c>
      <c r="G638" s="510">
        <v>200</v>
      </c>
    </row>
    <row r="639" spans="4:9" x14ac:dyDescent="0.2">
      <c r="D639" s="439" t="s">
        <v>394</v>
      </c>
      <c r="E639" s="439">
        <v>1</v>
      </c>
      <c r="F639" s="511">
        <v>0</v>
      </c>
      <c r="G639" s="510">
        <v>200</v>
      </c>
    </row>
    <row r="640" spans="4:9" x14ac:dyDescent="0.2">
      <c r="D640" s="439" t="s">
        <v>395</v>
      </c>
      <c r="E640" s="439">
        <v>1</v>
      </c>
      <c r="F640" s="511">
        <v>0</v>
      </c>
      <c r="G640" s="510">
        <v>200</v>
      </c>
    </row>
    <row r="641" spans="4:12" x14ac:dyDescent="0.2">
      <c r="D641" s="439" t="s">
        <v>396</v>
      </c>
      <c r="E641" s="439">
        <v>1.05</v>
      </c>
      <c r="F641" s="511">
        <v>0</v>
      </c>
      <c r="G641" s="510">
        <v>200</v>
      </c>
    </row>
    <row r="642" spans="4:12" x14ac:dyDescent="0.2">
      <c r="D642" s="439"/>
      <c r="E642" s="439">
        <v>1</v>
      </c>
      <c r="F642" s="511">
        <v>0</v>
      </c>
      <c r="G642" s="510">
        <v>200</v>
      </c>
      <c r="H642" s="4"/>
    </row>
    <row r="643" spans="4:12" x14ac:dyDescent="0.2">
      <c r="D643" s="513" t="s">
        <v>397</v>
      </c>
    </row>
    <row r="644" spans="4:12" x14ac:dyDescent="0.2">
      <c r="E644" s="2">
        <v>27</v>
      </c>
      <c r="F644" s="2">
        <v>30</v>
      </c>
      <c r="G644" s="2">
        <v>32</v>
      </c>
      <c r="H644" s="2">
        <v>36</v>
      </c>
    </row>
    <row r="645" spans="4:12" x14ac:dyDescent="0.2">
      <c r="D645" s="1">
        <v>0</v>
      </c>
      <c r="E645" s="3">
        <f>E646</f>
        <v>0.23599999999999999</v>
      </c>
      <c r="F645" s="3">
        <f>F646</f>
        <v>0.23599999999999999</v>
      </c>
      <c r="G645" s="3">
        <f>G646</f>
        <v>0.28125</v>
      </c>
      <c r="H645" s="3">
        <f>H646</f>
        <v>0.34375</v>
      </c>
    </row>
    <row r="646" spans="4:12" x14ac:dyDescent="0.2">
      <c r="D646" s="459">
        <v>0.75</v>
      </c>
      <c r="E646" s="3">
        <v>0.23599999999999999</v>
      </c>
      <c r="F646" s="3">
        <v>0.23599999999999999</v>
      </c>
      <c r="G646" s="3">
        <f>9/32</f>
        <v>0.28125</v>
      </c>
      <c r="H646" s="3">
        <f>11/32</f>
        <v>0.34375</v>
      </c>
    </row>
    <row r="647" spans="4:12" x14ac:dyDescent="0.2">
      <c r="D647" s="459">
        <v>1</v>
      </c>
      <c r="E647" s="3">
        <v>0.23599999999999999</v>
      </c>
      <c r="F647" s="3">
        <f>9/32</f>
        <v>0.28125</v>
      </c>
      <c r="G647" s="3">
        <f>3/8</f>
        <v>0.375</v>
      </c>
      <c r="H647" s="3">
        <f>7/16</f>
        <v>0.4375</v>
      </c>
    </row>
    <row r="648" spans="4:12" x14ac:dyDescent="0.2">
      <c r="D648" s="459">
        <v>1.25</v>
      </c>
      <c r="E648" s="3">
        <v>0.23599999999999999</v>
      </c>
      <c r="F648" s="3">
        <f>11/32</f>
        <v>0.34375</v>
      </c>
      <c r="G648" s="3">
        <f>15/32</f>
        <v>0.46875</v>
      </c>
      <c r="H648" s="3">
        <f>9/16</f>
        <v>0.5625</v>
      </c>
      <c r="J648" s="2" t="str">
        <f>Q269</f>
        <v>Dsn</v>
      </c>
      <c r="K648" s="2" t="str">
        <f>U269</f>
        <v>Width</v>
      </c>
      <c r="L648" s="2" t="str">
        <f>V269</f>
        <v>Thickness</v>
      </c>
    </row>
    <row r="649" spans="4:12" x14ac:dyDescent="0.2">
      <c r="D649" s="459">
        <v>1.5</v>
      </c>
      <c r="E649" s="3">
        <f>5/16</f>
        <v>0.3125</v>
      </c>
      <c r="F649" s="3">
        <f>7/16</f>
        <v>0.4375</v>
      </c>
      <c r="G649" s="3">
        <f>9/16</f>
        <v>0.5625</v>
      </c>
      <c r="H649" s="3">
        <f>11/16</f>
        <v>0.6875</v>
      </c>
      <c r="J649" s="2" t="e">
        <f>Q270</f>
        <v>#REF!</v>
      </c>
      <c r="K649" s="2" t="e">
        <f>390*L649/((Fill_Height*g)^0.5)</f>
        <v>#REF!</v>
      </c>
      <c r="L649" s="3" t="e">
        <f>VLOOKUP(#REF!,D652:E656,2)</f>
        <v>#REF!</v>
      </c>
    </row>
    <row r="650" spans="4:12" x14ac:dyDescent="0.2">
      <c r="D650" s="459">
        <v>1.75</v>
      </c>
      <c r="E650" s="3">
        <f>11/32</f>
        <v>0.34375</v>
      </c>
      <c r="F650" s="3">
        <f>1/2</f>
        <v>0.5</v>
      </c>
      <c r="G650" s="3">
        <f>5/8</f>
        <v>0.625</v>
      </c>
      <c r="H650" s="3">
        <f>3/4</f>
        <v>0.75</v>
      </c>
    </row>
    <row r="652" spans="4:12" x14ac:dyDescent="0.2">
      <c r="D652" s="459">
        <v>0</v>
      </c>
      <c r="E652" s="4">
        <v>0.24</v>
      </c>
    </row>
    <row r="653" spans="4:12" x14ac:dyDescent="0.2">
      <c r="D653" s="2">
        <f>E644</f>
        <v>27</v>
      </c>
      <c r="E653" s="2" t="e">
        <f>VLOOKUP(#REF!,D644:H650,2)</f>
        <v>#REF!</v>
      </c>
    </row>
    <row r="654" spans="4:12" x14ac:dyDescent="0.2">
      <c r="D654" s="2">
        <f>F644</f>
        <v>30</v>
      </c>
      <c r="E654" s="2" t="e">
        <f>VLOOKUP(#REF!,D644:H650,3)</f>
        <v>#REF!</v>
      </c>
    </row>
    <row r="655" spans="4:12" x14ac:dyDescent="0.2">
      <c r="D655" s="2">
        <f>G644</f>
        <v>32</v>
      </c>
      <c r="E655" s="2" t="e">
        <f>VLOOKUP(#REF!,D644:H650,4)</f>
        <v>#REF!</v>
      </c>
    </row>
    <row r="656" spans="4:12" x14ac:dyDescent="0.2">
      <c r="D656" s="2">
        <f>H644</f>
        <v>36</v>
      </c>
      <c r="E656" s="2" t="e">
        <f>VLOOKUP(#REF!,D644:H650,5)</f>
        <v>#REF!</v>
      </c>
    </row>
  </sheetData>
  <mergeCells count="202">
    <mergeCell ref="Q267:U267"/>
    <mergeCell ref="Q268:S268"/>
    <mergeCell ref="Q278:U278"/>
    <mergeCell ref="I279:J279"/>
    <mergeCell ref="K279:L279"/>
    <mergeCell ref="G377:H377"/>
    <mergeCell ref="I377:J377"/>
    <mergeCell ref="P377:Q377"/>
    <mergeCell ref="P248:Q248"/>
    <mergeCell ref="AG248:AH248"/>
    <mergeCell ref="P249:Q249"/>
    <mergeCell ref="I266:J266"/>
    <mergeCell ref="K266:L266"/>
    <mergeCell ref="M266:N266"/>
    <mergeCell ref="D246:E246"/>
    <mergeCell ref="G246:H246"/>
    <mergeCell ref="K246:L246"/>
    <mergeCell ref="E248:F248"/>
    <mergeCell ref="G248:H249"/>
    <mergeCell ref="M248:O248"/>
    <mergeCell ref="D243:E243"/>
    <mergeCell ref="M243:N243"/>
    <mergeCell ref="D244:E244"/>
    <mergeCell ref="H244:I244"/>
    <mergeCell ref="M244:N244"/>
    <mergeCell ref="D245:E245"/>
    <mergeCell ref="G245:H245"/>
    <mergeCell ref="M240:N240"/>
    <mergeCell ref="S240:W240"/>
    <mergeCell ref="D241:E241"/>
    <mergeCell ref="M241:N241"/>
    <mergeCell ref="D242:E242"/>
    <mergeCell ref="M242:O242"/>
    <mergeCell ref="C234:Q234"/>
    <mergeCell ref="C235:Q235"/>
    <mergeCell ref="C236:Q236"/>
    <mergeCell ref="D238:E238"/>
    <mergeCell ref="F238:I238"/>
    <mergeCell ref="K238:K242"/>
    <mergeCell ref="D239:E239"/>
    <mergeCell ref="F239:H239"/>
    <mergeCell ref="D240:E240"/>
    <mergeCell ref="F240:H240"/>
    <mergeCell ref="C166:C170"/>
    <mergeCell ref="D166:F166"/>
    <mergeCell ref="K166:K169"/>
    <mergeCell ref="L166:L169"/>
    <mergeCell ref="D167:D169"/>
    <mergeCell ref="E167:F167"/>
    <mergeCell ref="G167:J167"/>
    <mergeCell ref="H168:I168"/>
    <mergeCell ref="C107:F107"/>
    <mergeCell ref="M107:P107"/>
    <mergeCell ref="C108:D108"/>
    <mergeCell ref="M108:N108"/>
    <mergeCell ref="C109:D109"/>
    <mergeCell ref="C110:D110"/>
    <mergeCell ref="C98:D98"/>
    <mergeCell ref="M98:N98"/>
    <mergeCell ref="C99:D99"/>
    <mergeCell ref="C105:F105"/>
    <mergeCell ref="M105:P105"/>
    <mergeCell ref="C106:F106"/>
    <mergeCell ref="M106:P106"/>
    <mergeCell ref="C96:D96"/>
    <mergeCell ref="M96:N96"/>
    <mergeCell ref="Q96:R96"/>
    <mergeCell ref="C97:D97"/>
    <mergeCell ref="M97:N97"/>
    <mergeCell ref="Q97:R97"/>
    <mergeCell ref="Q93:R93"/>
    <mergeCell ref="C94:D94"/>
    <mergeCell ref="M94:N94"/>
    <mergeCell ref="Q94:R94"/>
    <mergeCell ref="C95:D95"/>
    <mergeCell ref="M95:N95"/>
    <mergeCell ref="Q95:R95"/>
    <mergeCell ref="N47:N50"/>
    <mergeCell ref="O47:O50"/>
    <mergeCell ref="P47:P50"/>
    <mergeCell ref="C78:E79"/>
    <mergeCell ref="L88:S88"/>
    <mergeCell ref="C89:F90"/>
    <mergeCell ref="M89:P90"/>
    <mergeCell ref="H47:H50"/>
    <mergeCell ref="I47:I50"/>
    <mergeCell ref="J47:J50"/>
    <mergeCell ref="K47:K50"/>
    <mergeCell ref="L47:L50"/>
    <mergeCell ref="M47:M50"/>
    <mergeCell ref="B45:C45"/>
    <mergeCell ref="C47:C51"/>
    <mergeCell ref="D47:D50"/>
    <mergeCell ref="E47:E50"/>
    <mergeCell ref="F47:F50"/>
    <mergeCell ref="G47:G50"/>
    <mergeCell ref="I42:I44"/>
    <mergeCell ref="J42:J44"/>
    <mergeCell ref="K42:K44"/>
    <mergeCell ref="L42:L44"/>
    <mergeCell ref="M42:M44"/>
    <mergeCell ref="N42:N44"/>
    <mergeCell ref="C42:C44"/>
    <mergeCell ref="D42:D44"/>
    <mergeCell ref="E42:E44"/>
    <mergeCell ref="F42:F44"/>
    <mergeCell ref="G42:G44"/>
    <mergeCell ref="H42:H44"/>
    <mergeCell ref="I39:I41"/>
    <mergeCell ref="J39:J41"/>
    <mergeCell ref="K39:K41"/>
    <mergeCell ref="L39:L41"/>
    <mergeCell ref="M39:M41"/>
    <mergeCell ref="N39:N41"/>
    <mergeCell ref="C39:C41"/>
    <mergeCell ref="D39:D41"/>
    <mergeCell ref="E39:E41"/>
    <mergeCell ref="F39:F41"/>
    <mergeCell ref="G39:G41"/>
    <mergeCell ref="H39:H41"/>
    <mergeCell ref="I36:I38"/>
    <mergeCell ref="J36:J38"/>
    <mergeCell ref="K36:K38"/>
    <mergeCell ref="L36:L38"/>
    <mergeCell ref="M36:M38"/>
    <mergeCell ref="N36:N38"/>
    <mergeCell ref="C36:C38"/>
    <mergeCell ref="D36:D38"/>
    <mergeCell ref="E36:E38"/>
    <mergeCell ref="F36:F38"/>
    <mergeCell ref="G36:G38"/>
    <mergeCell ref="H36:H38"/>
    <mergeCell ref="I33:I35"/>
    <mergeCell ref="J33:J35"/>
    <mergeCell ref="K33:K35"/>
    <mergeCell ref="L33:L35"/>
    <mergeCell ref="M33:M35"/>
    <mergeCell ref="N33:N35"/>
    <mergeCell ref="C33:C35"/>
    <mergeCell ref="D33:D35"/>
    <mergeCell ref="E33:E35"/>
    <mergeCell ref="F33:F35"/>
    <mergeCell ref="G33:G35"/>
    <mergeCell ref="H33:H35"/>
    <mergeCell ref="I30:I32"/>
    <mergeCell ref="J30:J32"/>
    <mergeCell ref="K30:K32"/>
    <mergeCell ref="L30:L32"/>
    <mergeCell ref="M30:M32"/>
    <mergeCell ref="N30:N32"/>
    <mergeCell ref="C30:C32"/>
    <mergeCell ref="D30:D32"/>
    <mergeCell ref="E30:E32"/>
    <mergeCell ref="F30:F32"/>
    <mergeCell ref="G30:G32"/>
    <mergeCell ref="H30:H32"/>
    <mergeCell ref="Q24:Q44"/>
    <mergeCell ref="R24:R44"/>
    <mergeCell ref="C27:C29"/>
    <mergeCell ref="D27:D29"/>
    <mergeCell ref="E27:E29"/>
    <mergeCell ref="F27:F29"/>
    <mergeCell ref="G27:G29"/>
    <mergeCell ref="H27:H29"/>
    <mergeCell ref="I27:I29"/>
    <mergeCell ref="J27:J29"/>
    <mergeCell ref="K24:K26"/>
    <mergeCell ref="L24:L26"/>
    <mergeCell ref="M24:M26"/>
    <mergeCell ref="N24:N26"/>
    <mergeCell ref="O24:O44"/>
    <mergeCell ref="P24:P44"/>
    <mergeCell ref="K27:K29"/>
    <mergeCell ref="L27:L29"/>
    <mergeCell ref="M27:M29"/>
    <mergeCell ref="N27:N29"/>
    <mergeCell ref="L19:L22"/>
    <mergeCell ref="M19:M22"/>
    <mergeCell ref="C24:C26"/>
    <mergeCell ref="D24:D26"/>
    <mergeCell ref="E24:E26"/>
    <mergeCell ref="F24:F26"/>
    <mergeCell ref="G24:G26"/>
    <mergeCell ref="H24:H26"/>
    <mergeCell ref="I24:I26"/>
    <mergeCell ref="J24:J26"/>
    <mergeCell ref="F19:F22"/>
    <mergeCell ref="G19:G22"/>
    <mergeCell ref="H19:H22"/>
    <mergeCell ref="I19:I22"/>
    <mergeCell ref="J19:J22"/>
    <mergeCell ref="K19:K22"/>
    <mergeCell ref="C15:D15"/>
    <mergeCell ref="C17:M17"/>
    <mergeCell ref="N17:Q17"/>
    <mergeCell ref="R17:R23"/>
    <mergeCell ref="D18:E22"/>
    <mergeCell ref="N18:N23"/>
    <mergeCell ref="O18:O23"/>
    <mergeCell ref="P18:P23"/>
    <mergeCell ref="Q18:Q23"/>
    <mergeCell ref="C19:C23"/>
  </mergeCells>
  <conditionalFormatting sqref="K171:L180">
    <cfRule dxfId="10" operator="lessThan" priority="11" type="cellIs">
      <formula>5</formula>
    </cfRule>
  </conditionalFormatting>
  <conditionalFormatting sqref="L171:L180">
    <cfRule dxfId="9" operator="lessThan" priority="9" type="cellIs">
      <formula>15</formula>
    </cfRule>
    <cfRule dxfId="8" operator="lessThan" priority="10" type="cellIs">
      <formula>8.94</formula>
    </cfRule>
  </conditionalFormatting>
  <conditionalFormatting sqref="N24:N44">
    <cfRule dxfId="7" operator="containsText" priority="8" text="Not Ok" type="containsText">
      <formula>NOT(ISERROR(SEARCH("Not Ok",N24)))</formula>
    </cfRule>
  </conditionalFormatting>
  <conditionalFormatting sqref="N24:N44">
    <cfRule dxfId="6" operator="containsText" priority="7" text="Not Ok" type="containsText">
      <formula>NOT(ISERROR(SEARCH("Not Ok",N24)))</formula>
    </cfRule>
  </conditionalFormatting>
  <conditionalFormatting sqref="O24">
    <cfRule dxfId="5" operator="containsText" priority="6" text="Not Ok" type="containsText">
      <formula>NOT(ISERROR(SEARCH("Not Ok",O24)))</formula>
    </cfRule>
  </conditionalFormatting>
  <conditionalFormatting sqref="P24">
    <cfRule dxfId="4" operator="containsText" priority="5" text="Not Ok" type="containsText">
      <formula>NOT(ISERROR(SEARCH("Not Ok",P24)))</formula>
    </cfRule>
  </conditionalFormatting>
  <conditionalFormatting sqref="Q24">
    <cfRule dxfId="3" operator="containsText" priority="4" text="Not Ok" type="containsText">
      <formula>NOT(ISERROR(SEARCH("Not Ok",Q24)))</formula>
    </cfRule>
  </conditionalFormatting>
  <conditionalFormatting sqref="R24">
    <cfRule dxfId="2" operator="containsText" priority="3" text="Not Ok" type="containsText">
      <formula>NOT(ISERROR(SEARCH("Not Ok",R24)))</formula>
    </cfRule>
  </conditionalFormatting>
  <conditionalFormatting sqref="M24:M44">
    <cfRule dxfId="1" operator="containsText" priority="2" text="Not Ok" type="containsText">
      <formula>NOT(ISERROR(SEARCH("Not Ok",M24)))</formula>
    </cfRule>
  </conditionalFormatting>
  <conditionalFormatting sqref="M24:M44">
    <cfRule dxfId="0" operator="containsText" priority="1" text="Not Ok" type="containsText">
      <formula>NOT(ISERROR(SEARCH("Not Ok",M24)))</formula>
    </cfRule>
  </conditionalFormatting>
  <dataValidations count="2">
    <dataValidation allowBlank="1" showErrorMessage="1" showInputMessage="1" sqref="G262" type="list" xr:uid="{AEA71C60-F935-43C8-A3D9-B4E714CB7DE2}">
      <formula1>$D$359:$D$373</formula1>
    </dataValidation>
    <dataValidation allowBlank="1" showErrorMessage="1" showInputMessage="1" sqref="I262" type="list" xr:uid="{BCF6CDA2-375A-479F-BF64-23FC310D44A2}">
      <formula1>$D$379:$D$408</formula1>
    </dataValidation>
  </dataValidations>
  <printOptions gridLinesSet="0" horizontalCentered="1"/>
  <pageMargins bottom="0.75" footer="0.3" header="0.3" left="0.7" right="0.7" top="0.75"/>
  <pageSetup fitToWidth="0" orientation="landscape" r:id="rId1" scale="41"/>
  <headerFooter>
    <oddHeader>&amp;LPOWERS ENGINEERING &amp; INSPECTION INC.&amp;R&amp;A</oddHeader>
    <oddFooter>&amp;L&amp;D&amp;T&amp;R&amp;F</oddFooter>
  </headerFooter>
  <drawing r:id="rId2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ID35"/>
  <sheetViews>
    <sheetView workbookViewId="0"/>
  </sheetViews>
  <sheetFormatPr defaultRowHeight="15.0"/>
  <cols>
    <col min="3" max="3" width="21.78515625" customWidth="true" bestFit="true"/>
    <col min="4" max="4" width="15.1875" customWidth="true" bestFit="true"/>
    <col min="5" max="5" width="15.1875" customWidth="true" bestFit="true"/>
    <col min="6" max="6" width="15.1875" customWidth="true" bestFit="true"/>
    <col min="7" max="7" width="15.91796875" customWidth="true" bestFit="true"/>
    <col min="8" max="8" width="15.91796875" customWidth="true" bestFit="true"/>
    <col min="9" max="9" width="15.91796875" customWidth="true" bestFit="true"/>
    <col min="10" max="10" width="15.91796875" customWidth="true" bestFit="true"/>
    <col min="11" max="11" width="15.91796875" customWidth="true" bestFit="true"/>
    <col min="12" max="12" width="15.91796875" customWidth="true" bestFit="true"/>
    <col min="13" max="13" width="15.91796875" customWidth="true" bestFit="true"/>
    <col min="14" max="14" width="15.91796875" customWidth="true" bestFit="true"/>
    <col min="15" max="15" width="15.91796875" customWidth="true" bestFit="true"/>
    <col min="16" max="16" width="15.91796875" customWidth="true" bestFit="true"/>
    <col min="17" max="17" width="15.91796875" customWidth="true" bestFit="true"/>
    <col min="18" max="18" width="15.91796875" customWidth="true" bestFit="true"/>
    <col min="19" max="19" width="15.91796875" customWidth="true" bestFit="true"/>
    <col min="20" max="20" width="15.91796875" customWidth="true" bestFit="true"/>
    <col min="21" max="21" width="15.91796875" customWidth="true" bestFit="true"/>
    <col min="22" max="22" width="15.91796875" customWidth="true" bestFit="true"/>
    <col min="23" max="23" width="15.91796875" customWidth="true" bestFit="true"/>
    <col min="24" max="24" width="15.91796875" customWidth="true" bestFit="true"/>
    <col min="25" max="25" width="15.91796875" customWidth="true" bestFit="true"/>
    <col min="26" max="26" width="15.91796875" customWidth="true" bestFit="true"/>
    <col min="27" max="27" width="15.91796875" customWidth="true" bestFit="true"/>
    <col min="28" max="28" width="15.91796875" customWidth="true" bestFit="true"/>
    <col min="29" max="29" width="15.91796875" customWidth="true" bestFit="true"/>
    <col min="30" max="30" width="15.91796875" customWidth="true" bestFit="true"/>
    <col min="31" max="31" width="15.91796875" customWidth="true" bestFit="true"/>
    <col min="32" max="32" width="15.91796875" customWidth="true" bestFit="true"/>
    <col min="33" max="33" width="15.91796875" customWidth="true" bestFit="true"/>
    <col min="34" max="34" width="15.91796875" customWidth="true" bestFit="true"/>
    <col min="35" max="35" width="15.91796875" customWidth="true" bestFit="true"/>
    <col min="36" max="36" width="15.91796875" customWidth="true" bestFit="true"/>
    <col min="37" max="37" width="15.91796875" customWidth="true" bestFit="true"/>
    <col min="38" max="38" width="15.91796875" customWidth="true" bestFit="true"/>
    <col min="39" max="39" width="15.91796875" customWidth="true" bestFit="true"/>
    <col min="40" max="40" width="15.91796875" customWidth="true" bestFit="true"/>
    <col min="41" max="41" width="15.91796875" customWidth="true" bestFit="true"/>
    <col min="42" max="42" width="15.91796875" customWidth="true" bestFit="true"/>
    <col min="43" max="43" width="15.91796875" customWidth="true" bestFit="true"/>
    <col min="44" max="44" width="15.91796875" customWidth="true" bestFit="true"/>
    <col min="45" max="45" width="15.91796875" customWidth="true" bestFit="true"/>
    <col min="46" max="46" width="15.91796875" customWidth="true" bestFit="true"/>
    <col min="47" max="47" width="15.91796875" customWidth="true" bestFit="true"/>
    <col min="48" max="48" width="15.91796875" customWidth="true" bestFit="true"/>
    <col min="49" max="49" width="15.91796875" customWidth="true" bestFit="true"/>
    <col min="50" max="50" width="15.91796875" customWidth="true" bestFit="true"/>
    <col min="51" max="51" width="15.91796875" customWidth="true" bestFit="true"/>
    <col min="52" max="52" width="15.91796875" customWidth="true" bestFit="true"/>
    <col min="53" max="53" width="15.91796875" customWidth="true" bestFit="true"/>
    <col min="54" max="54" width="15.91796875" customWidth="true" bestFit="true"/>
    <col min="55" max="55" width="15.91796875" customWidth="true" bestFit="true"/>
    <col min="56" max="56" width="15.91796875" customWidth="true" bestFit="true"/>
    <col min="57" max="57" width="15.1875" customWidth="true" bestFit="true"/>
    <col min="58" max="58" width="15.1875" customWidth="true" bestFit="true"/>
    <col min="59" max="59" width="15.1875" customWidth="true" bestFit="true"/>
    <col min="60" max="60" width="15.1875" customWidth="true" bestFit="true"/>
    <col min="61" max="61" width="15.1875" customWidth="true" bestFit="true"/>
    <col min="62" max="62" width="15.1875" customWidth="true" bestFit="true"/>
    <col min="63" max="63" width="15.1875" customWidth="true" bestFit="true"/>
    <col min="64" max="64" width="15.1875" customWidth="true" bestFit="true"/>
    <col min="65" max="65" width="15.1875" customWidth="true" bestFit="true"/>
    <col min="66" max="66" width="15.1875" customWidth="true" bestFit="true"/>
    <col min="67" max="67" width="15.1875" customWidth="true" bestFit="true"/>
    <col min="68" max="68" width="15.1875" customWidth="true" bestFit="true"/>
    <col min="69" max="69" width="15.91796875" customWidth="true" bestFit="true"/>
    <col min="70" max="70" width="15.1875" customWidth="true" bestFit="true"/>
    <col min="71" max="71" width="15.1875" customWidth="true" bestFit="true"/>
    <col min="72" max="72" width="15.1875" customWidth="true" bestFit="true"/>
    <col min="73" max="73" width="15.1875" customWidth="true" bestFit="true"/>
    <col min="74" max="74" width="15.1875" customWidth="true" bestFit="true"/>
    <col min="75" max="75" width="15.91796875" customWidth="true" bestFit="true"/>
    <col min="76" max="76" width="15.91796875" customWidth="true" bestFit="true"/>
    <col min="77" max="77" width="15.91796875" customWidth="true" bestFit="true"/>
    <col min="78" max="78" width="15.91796875" customWidth="true" bestFit="true"/>
    <col min="79" max="79" width="15.91796875" customWidth="true" bestFit="true"/>
    <col min="80" max="80" width="15.91796875" customWidth="true" bestFit="true"/>
    <col min="81" max="81" width="15.91796875" customWidth="true" bestFit="true"/>
    <col min="82" max="82" width="15.91796875" customWidth="true" bestFit="true"/>
    <col min="83" max="83" width="15.91796875" customWidth="true" bestFit="true"/>
    <col min="84" max="84" width="15.91796875" customWidth="true" bestFit="true"/>
    <col min="85" max="85" width="15.91796875" customWidth="true" bestFit="true"/>
    <col min="86" max="86" width="15.91796875" customWidth="true" bestFit="true"/>
    <col min="87" max="87" width="15.91796875" customWidth="true" bestFit="true"/>
    <col min="88" max="88" width="15.91796875" customWidth="true" bestFit="true"/>
    <col min="89" max="89" width="15.91796875" customWidth="true" bestFit="true"/>
    <col min="90" max="90" width="15.91796875" customWidth="true" bestFit="true"/>
    <col min="91" max="91" width="15.91796875" customWidth="true" bestFit="true"/>
    <col min="92" max="92" width="15.91796875" customWidth="true" bestFit="true"/>
    <col min="93" max="93" width="15.91796875" customWidth="true" bestFit="true"/>
    <col min="94" max="94" width="15.91796875" customWidth="true" bestFit="true"/>
    <col min="95" max="95" width="15.1875" customWidth="true" bestFit="true"/>
    <col min="96" max="96" width="15.1875" customWidth="true" bestFit="true"/>
    <col min="97" max="97" width="15.91796875" customWidth="true" bestFit="true"/>
    <col min="98" max="98" width="15.91796875" customWidth="true" bestFit="true"/>
    <col min="99" max="99" width="15.91796875" customWidth="true" bestFit="true"/>
    <col min="100" max="100" width="15.91796875" customWidth="true" bestFit="true"/>
    <col min="101" max="101" width="15.91796875" customWidth="true" bestFit="true"/>
    <col min="102" max="102" width="15.1875" customWidth="true" bestFit="true"/>
    <col min="103" max="103" width="15.91796875" customWidth="true" bestFit="true"/>
    <col min="104" max="104" width="15.91796875" customWidth="true" bestFit="true"/>
    <col min="105" max="105" width="15.91796875" customWidth="true" bestFit="true"/>
    <col min="106" max="106" width="15.91796875" customWidth="true" bestFit="true"/>
    <col min="107" max="107" width="15.1875" customWidth="true" bestFit="true"/>
    <col min="108" max="108" width="15.1875" customWidth="true" bestFit="true"/>
    <col min="109" max="109" width="15.91796875" customWidth="true" bestFit="true"/>
    <col min="110" max="110" width="15.1875" customWidth="true" bestFit="true"/>
    <col min="111" max="111" width="15.1875" customWidth="true" bestFit="true"/>
    <col min="112" max="112" width="15.91796875" customWidth="true" bestFit="true"/>
    <col min="113" max="113" width="15.91796875" customWidth="true" bestFit="true"/>
    <col min="114" max="114" width="15.91796875" customWidth="true" bestFit="true"/>
    <col min="115" max="115" width="15.91796875" customWidth="true" bestFit="true"/>
    <col min="116" max="116" width="15.91796875" customWidth="true" bestFit="true"/>
    <col min="117" max="117" width="15.91796875" customWidth="true" bestFit="true"/>
    <col min="118" max="118" width="15.91796875" customWidth="true" bestFit="true"/>
    <col min="119" max="119" width="15.91796875" customWidth="true" bestFit="true"/>
    <col min="120" max="120" width="15.91796875" customWidth="true" bestFit="true"/>
    <col min="121" max="121" width="15.91796875" customWidth="true" bestFit="true"/>
    <col min="122" max="122" width="15.91796875" customWidth="true" bestFit="true"/>
    <col min="123" max="123" width="15.91796875" customWidth="true" bestFit="true"/>
    <col min="124" max="124" width="15.91796875" customWidth="true" bestFit="true"/>
    <col min="125" max="125" width="15.91796875" customWidth="true" bestFit="true"/>
    <col min="126" max="126" width="15.91796875" customWidth="true" bestFit="true"/>
    <col min="127" max="127" width="15.91796875" customWidth="true" bestFit="true"/>
    <col min="128" max="128" width="15.91796875" customWidth="true" bestFit="true"/>
    <col min="129" max="129" width="15.91796875" customWidth="true" bestFit="true"/>
    <col min="130" max="130" width="15.91796875" customWidth="true" bestFit="true"/>
    <col min="131" max="131" width="15.91796875" customWidth="true" bestFit="true"/>
    <col min="132" max="132" width="15.91796875" customWidth="true" bestFit="true"/>
    <col min="133" max="133" width="15.91796875" customWidth="true" bestFit="true"/>
    <col min="134" max="134" width="15.91796875" customWidth="true" bestFit="true"/>
    <col min="135" max="135" width="15.91796875" customWidth="true" bestFit="true"/>
    <col min="136" max="136" width="15.91796875" customWidth="true" bestFit="true"/>
    <col min="137" max="137" width="15.91796875" customWidth="true" bestFit="true"/>
    <col min="138" max="138" width="15.91796875" customWidth="true" bestFit="true"/>
    <col min="139" max="139" width="15.91796875" customWidth="true" bestFit="true"/>
    <col min="140" max="140" width="15.91796875" customWidth="true" bestFit="true"/>
    <col min="141" max="141" width="15.91796875" customWidth="true" bestFit="true"/>
    <col min="142" max="142" width="15.91796875" customWidth="true" bestFit="true"/>
    <col min="143" max="143" width="15.91796875" customWidth="true" bestFit="true"/>
    <col min="144" max="144" width="15.91796875" customWidth="true" bestFit="true"/>
    <col min="145" max="145" width="15.91796875" customWidth="true" bestFit="true"/>
    <col min="146" max="146" width="15.91796875" customWidth="true" bestFit="true"/>
    <col min="147" max="147" width="15.91796875" customWidth="true" bestFit="true"/>
    <col min="148" max="148" width="15.91796875" customWidth="true" bestFit="true"/>
    <col min="149" max="149" width="15.91796875" customWidth="true" bestFit="true"/>
    <col min="150" max="150" width="15.91796875" customWidth="true" bestFit="true"/>
    <col min="151" max="151" width="15.91796875" customWidth="true" bestFit="true"/>
    <col min="152" max="152" width="15.91796875" customWidth="true" bestFit="true"/>
    <col min="153" max="153" width="15.91796875" customWidth="true" bestFit="true"/>
    <col min="154" max="154" width="15.91796875" customWidth="true" bestFit="true"/>
    <col min="155" max="155" width="15.91796875" customWidth="true" bestFit="true"/>
    <col min="156" max="156" width="15.91796875" customWidth="true" bestFit="true"/>
    <col min="157" max="157" width="15.91796875" customWidth="true" bestFit="true"/>
    <col min="158" max="158" width="15.91796875" customWidth="true" bestFit="true"/>
    <col min="159" max="159" width="15.91796875" customWidth="true" bestFit="true"/>
    <col min="160" max="160" width="15.91796875" customWidth="true" bestFit="true"/>
    <col min="161" max="161" width="15.1875" customWidth="true" bestFit="true"/>
    <col min="162" max="162" width="15.1875" customWidth="true" bestFit="true"/>
    <col min="163" max="163" width="15.1875" customWidth="true" bestFit="true"/>
    <col min="164" max="164" width="14.6953125" customWidth="true" bestFit="true"/>
    <col min="165" max="165" width="13.96484375" customWidth="true" bestFit="true"/>
    <col min="166" max="166" width="15.91796875" customWidth="true" bestFit="true"/>
    <col min="167" max="167" width="15.1875" customWidth="true" bestFit="true"/>
    <col min="168" max="168" width="15.1875" customWidth="true" bestFit="true"/>
    <col min="169" max="169" width="15.1875" customWidth="true" bestFit="true"/>
    <col min="170" max="170" width="15.91796875" customWidth="true" bestFit="true"/>
    <col min="171" max="171" width="14.6953125" customWidth="true" bestFit="true"/>
    <col min="172" max="172" width="14.6953125" customWidth="true" bestFit="true"/>
    <col min="173" max="173" width="15.91796875" customWidth="true" bestFit="true"/>
    <col min="174" max="174" width="15.91796875" customWidth="true" bestFit="true"/>
    <col min="175" max="175" width="15.91796875" customWidth="true" bestFit="true"/>
    <col min="176" max="176" width="15.91796875" customWidth="true" bestFit="true"/>
    <col min="177" max="177" width="15.91796875" customWidth="true" bestFit="true"/>
    <col min="178" max="178" width="15.91796875" customWidth="true" bestFit="true"/>
    <col min="179" max="179" width="15.91796875" customWidth="true" bestFit="true"/>
    <col min="180" max="180" width="15.91796875" customWidth="true" bestFit="true"/>
    <col min="181" max="181" width="15.91796875" customWidth="true" bestFit="true"/>
    <col min="182" max="182" width="15.91796875" customWidth="true" bestFit="true"/>
    <col min="183" max="183" width="15.91796875" customWidth="true" bestFit="true"/>
    <col min="184" max="184" width="15.91796875" customWidth="true" bestFit="true"/>
    <col min="185" max="185" width="15.91796875" customWidth="true" bestFit="true"/>
    <col min="186" max="186" width="15.91796875" customWidth="true" bestFit="true"/>
    <col min="187" max="187" width="15.91796875" customWidth="true" bestFit="true"/>
    <col min="188" max="188" width="15.91796875" customWidth="true" bestFit="true"/>
    <col min="189" max="189" width="15.91796875" customWidth="true" bestFit="true"/>
    <col min="190" max="190" width="15.91796875" customWidth="true" bestFit="true"/>
    <col min="191" max="191" width="15.91796875" customWidth="true" bestFit="true"/>
    <col min="192" max="192" width="15.91796875" customWidth="true" bestFit="true"/>
    <col min="193" max="193" width="15.91796875" customWidth="true" bestFit="true"/>
    <col min="194" max="194" width="15.91796875" customWidth="true" bestFit="true"/>
    <col min="195" max="195" width="15.91796875" customWidth="true" bestFit="true"/>
    <col min="196" max="196" width="15.91796875" customWidth="true" bestFit="true"/>
    <col min="197" max="197" width="15.91796875" customWidth="true" bestFit="true"/>
    <col min="198" max="198" width="15.91796875" customWidth="true" bestFit="true"/>
    <col min="199" max="199" width="15.91796875" customWidth="true" bestFit="true"/>
    <col min="200" max="200" width="15.91796875" customWidth="true" bestFit="true"/>
    <col min="201" max="201" width="15.91796875" customWidth="true" bestFit="true"/>
    <col min="202" max="202" width="15.91796875" customWidth="true" bestFit="true"/>
    <col min="203" max="203" width="15.91796875" customWidth="true" bestFit="true"/>
    <col min="204" max="204" width="15.91796875" customWidth="true" bestFit="true"/>
    <col min="205" max="205" width="15.91796875" customWidth="true" bestFit="true"/>
    <col min="206" max="206" width="15.91796875" customWidth="true" bestFit="true"/>
    <col min="207" max="207" width="15.91796875" customWidth="true" bestFit="true"/>
    <col min="208" max="208" width="15.91796875" customWidth="true" bestFit="true"/>
    <col min="209" max="209" width="15.91796875" customWidth="true" bestFit="true"/>
    <col min="210" max="210" width="15.91796875" customWidth="true" bestFit="true"/>
    <col min="211" max="211" width="15.91796875" customWidth="true" bestFit="true"/>
    <col min="212" max="212" width="15.91796875" customWidth="true" bestFit="true"/>
    <col min="213" max="213" width="15.91796875" customWidth="true" bestFit="true"/>
    <col min="214" max="214" width="15.91796875" customWidth="true" bestFit="true"/>
    <col min="215" max="215" width="15.91796875" customWidth="true" bestFit="true"/>
    <col min="216" max="216" width="15.91796875" customWidth="true" bestFit="true"/>
    <col min="217" max="217" width="15.91796875" customWidth="true" bestFit="true"/>
    <col min="218" max="218" width="15.91796875" customWidth="true" bestFit="true"/>
    <col min="219" max="219" width="15.91796875" customWidth="true" bestFit="true"/>
    <col min="220" max="220" width="15.91796875" customWidth="true" bestFit="true"/>
    <col min="221" max="221" width="15.91796875" customWidth="true" bestFit="true"/>
    <col min="222" max="222" width="15.91796875" customWidth="true" bestFit="true"/>
    <col min="223" max="223" width="15.91796875" customWidth="true" bestFit="true"/>
    <col min="224" max="224" width="15.91796875" customWidth="true" bestFit="true"/>
    <col min="225" max="225" width="15.91796875" customWidth="true" bestFit="true"/>
    <col min="226" max="226" width="15.91796875" customWidth="true" bestFit="true"/>
    <col min="227" max="227" width="15.91796875" customWidth="true" bestFit="true"/>
    <col min="228" max="228" width="15.91796875" customWidth="true" bestFit="true"/>
    <col min="229" max="229" width="15.91796875" customWidth="true" bestFit="true"/>
    <col min="230" max="230" width="15.91796875" customWidth="true" bestFit="true"/>
    <col min="231" max="231" width="15.91796875" customWidth="true" bestFit="true"/>
    <col min="232" max="232" width="15.91796875" customWidth="true" bestFit="true"/>
    <col min="233" max="233" width="15.91796875" customWidth="true" bestFit="true"/>
    <col min="234" max="234" width="15.91796875" customWidth="true" bestFit="true"/>
    <col min="235" max="235" width="15.91796875" customWidth="true" bestFit="true"/>
    <col min="1" max="1" width="20.06640625" customWidth="true" bestFit="true"/>
    <col min="2" max="2" width="24.22265625" customWidth="true" bestFit="true"/>
  </cols>
  <sheetData>
    <row r="1">
      <c r="A1" s="514"/>
      <c r="B1" s="514"/>
      <c r="C1" t="s" s="514">
        <v>398</v>
      </c>
      <c r="D1" t="s" s="514">
        <v>399</v>
      </c>
      <c r="E1" t="s" s="514">
        <v>400</v>
      </c>
      <c r="F1" t="s" s="514">
        <v>401</v>
      </c>
      <c r="G1" t="s" s="514">
        <v>402</v>
      </c>
      <c r="H1" t="s" s="514">
        <v>403</v>
      </c>
      <c r="I1" t="s" s="514">
        <v>404</v>
      </c>
      <c r="J1" t="s" s="514">
        <v>405</v>
      </c>
      <c r="K1" t="s" s="514">
        <v>406</v>
      </c>
      <c r="L1" t="s" s="514">
        <v>407</v>
      </c>
      <c r="M1" t="s" s="514">
        <v>408</v>
      </c>
      <c r="N1" t="s" s="514">
        <v>409</v>
      </c>
      <c r="O1" t="s" s="514">
        <v>410</v>
      </c>
      <c r="P1" t="s" s="514">
        <v>411</v>
      </c>
      <c r="Q1" t="s" s="514">
        <v>412</v>
      </c>
      <c r="R1" t="s" s="514">
        <v>413</v>
      </c>
      <c r="S1" t="s" s="514">
        <v>414</v>
      </c>
      <c r="T1" t="s" s="514">
        <v>415</v>
      </c>
      <c r="U1" t="s" s="514">
        <v>416</v>
      </c>
      <c r="V1" t="s" s="514">
        <v>417</v>
      </c>
      <c r="W1" t="s" s="514">
        <v>418</v>
      </c>
      <c r="X1" t="s" s="514">
        <v>419</v>
      </c>
      <c r="Y1" t="s" s="514">
        <v>420</v>
      </c>
      <c r="Z1" t="s" s="514">
        <v>421</v>
      </c>
      <c r="AA1" t="s" s="514">
        <v>422</v>
      </c>
      <c r="AB1" t="s" s="514">
        <v>423</v>
      </c>
      <c r="AC1" t="s" s="514">
        <v>424</v>
      </c>
      <c r="AD1" t="s" s="514">
        <v>425</v>
      </c>
      <c r="AE1" t="s" s="514">
        <v>426</v>
      </c>
      <c r="AF1" t="s" s="514">
        <v>427</v>
      </c>
      <c r="AG1" t="s" s="514">
        <v>428</v>
      </c>
      <c r="AH1" t="s" s="514">
        <v>429</v>
      </c>
      <c r="AI1" t="s" s="514">
        <v>430</v>
      </c>
      <c r="AJ1" t="s" s="514">
        <v>431</v>
      </c>
      <c r="AK1" t="s" s="514">
        <v>432</v>
      </c>
      <c r="AL1" t="s" s="514">
        <v>433</v>
      </c>
      <c r="AM1" t="s" s="514">
        <v>434</v>
      </c>
      <c r="AN1" t="s" s="514">
        <v>435</v>
      </c>
      <c r="AO1" t="s" s="514">
        <v>436</v>
      </c>
      <c r="AP1" t="s" s="514">
        <v>437</v>
      </c>
      <c r="AQ1" t="s" s="514">
        <v>438</v>
      </c>
      <c r="AR1" t="s" s="514">
        <v>439</v>
      </c>
      <c r="AS1" t="s" s="514">
        <v>440</v>
      </c>
      <c r="AT1" t="s" s="514">
        <v>441</v>
      </c>
      <c r="AU1" t="s" s="514">
        <v>442</v>
      </c>
      <c r="AV1" t="s" s="514">
        <v>443</v>
      </c>
      <c r="AW1" t="s" s="514">
        <v>444</v>
      </c>
      <c r="AX1" t="s" s="514">
        <v>445</v>
      </c>
      <c r="AY1" t="s" s="514">
        <v>446</v>
      </c>
      <c r="AZ1" t="s" s="514">
        <v>447</v>
      </c>
      <c r="BA1" t="s" s="514">
        <v>448</v>
      </c>
      <c r="BB1" t="s" s="514">
        <v>449</v>
      </c>
      <c r="BC1" t="s" s="514">
        <v>450</v>
      </c>
      <c r="BD1" t="s" s="514">
        <v>451</v>
      </c>
      <c r="BE1" t="s" s="514">
        <v>452</v>
      </c>
      <c r="BF1" t="s" s="514">
        <v>453</v>
      </c>
      <c r="BG1" t="s" s="514">
        <v>454</v>
      </c>
      <c r="BH1" t="s" s="514">
        <v>455</v>
      </c>
      <c r="BI1" t="s" s="514">
        <v>456</v>
      </c>
      <c r="BJ1" t="s" s="514">
        <v>457</v>
      </c>
      <c r="BK1" t="s" s="514">
        <v>458</v>
      </c>
      <c r="BL1" t="s" s="514">
        <v>459</v>
      </c>
      <c r="BM1" t="s" s="514">
        <v>460</v>
      </c>
      <c r="BN1" t="s" s="514">
        <v>461</v>
      </c>
      <c r="BO1" t="s" s="514">
        <v>462</v>
      </c>
      <c r="BP1" t="s" s="514">
        <v>463</v>
      </c>
      <c r="BQ1" t="s" s="514">
        <v>464</v>
      </c>
      <c r="BR1" t="s" s="514">
        <v>465</v>
      </c>
      <c r="BS1" t="s" s="514">
        <v>466</v>
      </c>
      <c r="BT1" t="s" s="514">
        <v>467</v>
      </c>
      <c r="BU1" t="s" s="514">
        <v>468</v>
      </c>
      <c r="BV1" t="s" s="514">
        <v>469</v>
      </c>
      <c r="BW1" t="s" s="514">
        <v>470</v>
      </c>
      <c r="BX1" t="s" s="514">
        <v>471</v>
      </c>
      <c r="BY1" t="s" s="514">
        <v>472</v>
      </c>
      <c r="BZ1" t="s" s="514">
        <v>473</v>
      </c>
      <c r="CA1" t="s" s="514">
        <v>474</v>
      </c>
      <c r="CB1" t="s" s="514">
        <v>475</v>
      </c>
      <c r="CC1" t="s" s="514">
        <v>476</v>
      </c>
      <c r="CD1" t="s" s="514">
        <v>477</v>
      </c>
      <c r="CE1" t="s" s="514">
        <v>478</v>
      </c>
      <c r="CF1" t="s" s="514">
        <v>479</v>
      </c>
      <c r="CG1" t="s" s="514">
        <v>480</v>
      </c>
      <c r="CH1" t="s" s="514">
        <v>481</v>
      </c>
      <c r="CI1" t="s" s="514">
        <v>482</v>
      </c>
      <c r="CJ1" t="s" s="514">
        <v>483</v>
      </c>
      <c r="CK1" t="s" s="514">
        <v>484</v>
      </c>
      <c r="CL1" t="s" s="514">
        <v>485</v>
      </c>
      <c r="CM1" t="s" s="514">
        <v>486</v>
      </c>
      <c r="CN1" t="s" s="514">
        <v>487</v>
      </c>
      <c r="CO1" t="s" s="514">
        <v>488</v>
      </c>
      <c r="CP1" t="s" s="514">
        <v>489</v>
      </c>
      <c r="CQ1" t="s" s="514">
        <v>490</v>
      </c>
      <c r="CR1" t="s" s="514">
        <v>491</v>
      </c>
      <c r="CS1" t="s" s="514">
        <v>492</v>
      </c>
      <c r="CT1" t="s" s="514">
        <v>493</v>
      </c>
      <c r="CU1" t="s" s="514">
        <v>494</v>
      </c>
      <c r="CV1" t="s" s="514">
        <v>495</v>
      </c>
      <c r="CW1" t="s" s="514">
        <v>496</v>
      </c>
      <c r="CX1" t="s" s="514">
        <v>497</v>
      </c>
      <c r="CY1" t="s" s="514">
        <v>498</v>
      </c>
      <c r="CZ1" t="s" s="514">
        <v>499</v>
      </c>
      <c r="DA1" t="s" s="514">
        <v>500</v>
      </c>
      <c r="DB1" t="s" s="514">
        <v>501</v>
      </c>
      <c r="DC1" t="s" s="514">
        <v>502</v>
      </c>
      <c r="DD1" t="s" s="514">
        <v>503</v>
      </c>
      <c r="DE1" t="s" s="514">
        <v>504</v>
      </c>
      <c r="DF1" t="s" s="514">
        <v>505</v>
      </c>
      <c r="DG1" t="s" s="514">
        <v>506</v>
      </c>
      <c r="DH1" t="s" s="514">
        <v>507</v>
      </c>
      <c r="DI1" t="s" s="514">
        <v>508</v>
      </c>
      <c r="DJ1" t="s" s="514">
        <v>509</v>
      </c>
      <c r="DK1" t="s" s="514">
        <v>510</v>
      </c>
      <c r="DL1" t="s" s="514">
        <v>511</v>
      </c>
      <c r="DM1" t="s" s="514">
        <v>512</v>
      </c>
      <c r="DN1" t="s" s="514">
        <v>513</v>
      </c>
      <c r="DO1" t="s" s="514">
        <v>514</v>
      </c>
      <c r="DP1" t="s" s="514">
        <v>515</v>
      </c>
      <c r="DQ1" t="s" s="514">
        <v>516</v>
      </c>
      <c r="DR1" t="s" s="514">
        <v>517</v>
      </c>
      <c r="DS1" t="s" s="514">
        <v>518</v>
      </c>
      <c r="DT1" t="s" s="514">
        <v>519</v>
      </c>
      <c r="DU1" t="s" s="514">
        <v>520</v>
      </c>
      <c r="DV1" t="s" s="514">
        <v>521</v>
      </c>
      <c r="DW1" t="s" s="514">
        <v>522</v>
      </c>
      <c r="DX1" t="s" s="514">
        <v>523</v>
      </c>
      <c r="DY1" t="s" s="514">
        <v>524</v>
      </c>
      <c r="DZ1" t="s" s="514">
        <v>525</v>
      </c>
      <c r="EA1" t="s" s="514">
        <v>526</v>
      </c>
      <c r="EB1" t="s" s="514">
        <v>527</v>
      </c>
      <c r="EC1" t="s" s="514">
        <v>528</v>
      </c>
      <c r="ED1" t="s" s="514">
        <v>529</v>
      </c>
      <c r="EE1" t="s" s="514">
        <v>530</v>
      </c>
      <c r="EF1" t="s" s="514">
        <v>531</v>
      </c>
      <c r="EG1" t="s" s="514">
        <v>532</v>
      </c>
      <c r="EH1" t="s" s="514">
        <v>533</v>
      </c>
      <c r="EI1" t="s" s="514">
        <v>534</v>
      </c>
      <c r="EJ1" t="s" s="514">
        <v>535</v>
      </c>
      <c r="EK1" t="s" s="514">
        <v>536</v>
      </c>
      <c r="EL1" t="s" s="514">
        <v>537</v>
      </c>
      <c r="EM1" t="s" s="514">
        <v>538</v>
      </c>
      <c r="EN1" t="s" s="514">
        <v>539</v>
      </c>
      <c r="EO1" t="s" s="514">
        <v>540</v>
      </c>
      <c r="EP1" t="s" s="514">
        <v>541</v>
      </c>
      <c r="EQ1" t="s" s="514">
        <v>542</v>
      </c>
      <c r="ER1" t="s" s="514">
        <v>543</v>
      </c>
      <c r="ES1" t="s" s="514">
        <v>544</v>
      </c>
      <c r="ET1" t="s" s="514">
        <v>545</v>
      </c>
      <c r="EU1" t="s" s="514">
        <v>546</v>
      </c>
      <c r="EV1" t="s" s="514">
        <v>547</v>
      </c>
      <c r="EW1" t="s" s="514">
        <v>548</v>
      </c>
      <c r="EX1" t="s" s="514">
        <v>549</v>
      </c>
      <c r="EY1" t="s" s="514">
        <v>550</v>
      </c>
      <c r="EZ1" t="s" s="514">
        <v>551</v>
      </c>
      <c r="FA1" t="s" s="514">
        <v>552</v>
      </c>
      <c r="FB1" t="s" s="514">
        <v>553</v>
      </c>
      <c r="FC1" t="s" s="514">
        <v>554</v>
      </c>
      <c r="FD1" t="s" s="514">
        <v>555</v>
      </c>
      <c r="FE1" t="s" s="514">
        <v>556</v>
      </c>
      <c r="FF1" t="s" s="514">
        <v>557</v>
      </c>
      <c r="FG1" t="s" s="514">
        <v>558</v>
      </c>
      <c r="FH1" t="s" s="514">
        <v>559</v>
      </c>
      <c r="FI1" t="s" s="514">
        <v>560</v>
      </c>
      <c r="FJ1" t="s" s="514">
        <v>561</v>
      </c>
      <c r="FK1" t="s" s="514">
        <v>562</v>
      </c>
      <c r="FL1" t="s" s="514">
        <v>563</v>
      </c>
      <c r="FM1" t="s" s="514">
        <v>564</v>
      </c>
      <c r="FN1" t="s" s="514">
        <v>565</v>
      </c>
      <c r="FO1" t="s" s="514">
        <v>566</v>
      </c>
      <c r="FP1" t="s" s="514">
        <v>567</v>
      </c>
      <c r="FQ1" t="s" s="514">
        <v>568</v>
      </c>
      <c r="FR1" t="s" s="514">
        <v>569</v>
      </c>
      <c r="FS1" t="s" s="514">
        <v>570</v>
      </c>
      <c r="FT1" t="s" s="514">
        <v>571</v>
      </c>
      <c r="FU1" t="s" s="514">
        <v>572</v>
      </c>
      <c r="FV1" t="s" s="514">
        <v>573</v>
      </c>
      <c r="FW1" t="s" s="514">
        <v>574</v>
      </c>
      <c r="FX1" t="s" s="514">
        <v>575</v>
      </c>
      <c r="FY1" t="s" s="514">
        <v>576</v>
      </c>
      <c r="FZ1" t="s" s="514">
        <v>577</v>
      </c>
      <c r="GA1" t="s" s="514">
        <v>578</v>
      </c>
      <c r="GB1" t="s" s="514">
        <v>579</v>
      </c>
      <c r="GC1" t="s" s="514">
        <v>580</v>
      </c>
      <c r="GD1" t="s" s="514">
        <v>581</v>
      </c>
      <c r="GE1" t="s" s="514">
        <v>582</v>
      </c>
      <c r="GF1" t="s" s="514">
        <v>583</v>
      </c>
      <c r="GG1" t="s" s="514">
        <v>584</v>
      </c>
      <c r="GH1" t="s" s="514">
        <v>585</v>
      </c>
      <c r="GI1" t="s" s="514">
        <v>586</v>
      </c>
      <c r="GJ1" t="s" s="514">
        <v>587</v>
      </c>
      <c r="GK1" t="s" s="514">
        <v>588</v>
      </c>
      <c r="GL1" t="s" s="514">
        <v>589</v>
      </c>
      <c r="GM1" t="s" s="514">
        <v>590</v>
      </c>
      <c r="GN1" t="s" s="514">
        <v>591</v>
      </c>
      <c r="GO1" t="s" s="514">
        <v>592</v>
      </c>
      <c r="GP1" t="s" s="514">
        <v>593</v>
      </c>
      <c r="GQ1" t="s" s="514">
        <v>594</v>
      </c>
      <c r="GR1" t="s" s="514">
        <v>595</v>
      </c>
      <c r="GS1" t="s" s="514">
        <v>596</v>
      </c>
      <c r="GT1" t="s" s="514">
        <v>597</v>
      </c>
      <c r="GU1" t="s" s="514">
        <v>598</v>
      </c>
      <c r="GV1" t="s" s="514">
        <v>599</v>
      </c>
      <c r="GW1" t="s" s="514">
        <v>600</v>
      </c>
      <c r="GX1" t="s" s="514">
        <v>601</v>
      </c>
      <c r="GY1" t="s" s="514">
        <v>602</v>
      </c>
      <c r="GZ1" t="s" s="514">
        <v>603</v>
      </c>
      <c r="HA1" t="s" s="514">
        <v>604</v>
      </c>
      <c r="HB1" t="s" s="514">
        <v>605</v>
      </c>
      <c r="HC1" t="s" s="514">
        <v>606</v>
      </c>
      <c r="HD1" t="s" s="514">
        <v>607</v>
      </c>
      <c r="HE1" t="s" s="514">
        <v>608</v>
      </c>
      <c r="HF1" t="s" s="514">
        <v>609</v>
      </c>
      <c r="HG1" t="s" s="514">
        <v>610</v>
      </c>
      <c r="HH1" t="s" s="514">
        <v>611</v>
      </c>
      <c r="HI1" t="s" s="514">
        <v>612</v>
      </c>
      <c r="HJ1" t="s" s="514">
        <v>613</v>
      </c>
      <c r="HK1" t="s" s="514">
        <v>614</v>
      </c>
      <c r="HL1" t="s" s="514">
        <v>615</v>
      </c>
      <c r="HM1" t="s" s="514">
        <v>616</v>
      </c>
      <c r="HN1" t="s" s="514">
        <v>617</v>
      </c>
      <c r="HO1" t="s" s="514">
        <v>618</v>
      </c>
      <c r="HP1" t="s" s="514">
        <v>619</v>
      </c>
      <c r="HQ1" t="s" s="514">
        <v>620</v>
      </c>
      <c r="HR1" t="s" s="514">
        <v>621</v>
      </c>
      <c r="HS1" t="s" s="514">
        <v>622</v>
      </c>
      <c r="HT1" t="s" s="514">
        <v>623</v>
      </c>
      <c r="HU1" t="s" s="514">
        <v>624</v>
      </c>
      <c r="HV1" t="s" s="514">
        <v>625</v>
      </c>
      <c r="HW1" t="s" s="514">
        <v>626</v>
      </c>
      <c r="HX1" t="s" s="514">
        <v>627</v>
      </c>
      <c r="HY1" t="s" s="514">
        <v>628</v>
      </c>
      <c r="HZ1" t="s" s="514">
        <v>629</v>
      </c>
      <c r="IA1" t="s" s="514">
        <v>630</v>
      </c>
      <c r="IB1" t="s" s="514">
        <v>631</v>
      </c>
      <c r="IC1" t="s" s="514">
        <v>632</v>
      </c>
    </row>
    <row r="2">
      <c r="A2" s="514"/>
      <c r="B2" s="514"/>
      <c r="C2" t="s" s="514">
        <v>633</v>
      </c>
      <c r="D2" t="n" s="514">
        <v>12.0</v>
      </c>
      <c r="E2" t="n" s="514">
        <v>36.0</v>
      </c>
      <c r="F2" t="n" s="514">
        <v>60.0</v>
      </c>
      <c r="G2" t="n" s="514">
        <v>84.0</v>
      </c>
      <c r="H2" t="n" s="514">
        <v>108.0</v>
      </c>
      <c r="I2" t="n" s="514">
        <v>132.0</v>
      </c>
      <c r="J2" t="n" s="514">
        <v>156.0</v>
      </c>
      <c r="K2" t="n" s="514">
        <v>180.0</v>
      </c>
      <c r="L2" t="n" s="514">
        <v>204.0</v>
      </c>
      <c r="M2" t="n" s="514">
        <v>228.0</v>
      </c>
      <c r="N2" t="n" s="514">
        <v>252.0</v>
      </c>
      <c r="O2" t="n" s="514">
        <v>276.0</v>
      </c>
      <c r="P2" t="n" s="514">
        <v>300.0</v>
      </c>
      <c r="Q2" t="n" s="514">
        <v>324.0</v>
      </c>
      <c r="R2" t="n" s="514">
        <v>348.0</v>
      </c>
      <c r="S2" t="n" s="514">
        <v>372.0</v>
      </c>
      <c r="T2" t="n" s="514">
        <v>396.0</v>
      </c>
      <c r="U2" t="n" s="514">
        <v>420.0</v>
      </c>
      <c r="V2" t="n" s="514">
        <v>444.0</v>
      </c>
      <c r="W2" t="n" s="514">
        <v>468.0</v>
      </c>
      <c r="X2" t="n" s="514">
        <v>492.0</v>
      </c>
      <c r="Y2" t="n" s="514">
        <v>516.0</v>
      </c>
      <c r="Z2" t="n" s="514">
        <v>540.0</v>
      </c>
      <c r="AA2" t="n" s="514">
        <v>564.0</v>
      </c>
      <c r="AB2" t="n" s="514">
        <v>588.0</v>
      </c>
      <c r="AC2" t="n" s="514">
        <v>612.0</v>
      </c>
      <c r="AD2" t="n" s="514">
        <v>636.0</v>
      </c>
      <c r="AE2" t="n" s="514">
        <v>660.0</v>
      </c>
      <c r="AF2" t="n" s="514">
        <v>684.0</v>
      </c>
      <c r="AG2" t="n" s="514">
        <v>708.0</v>
      </c>
      <c r="AH2" t="n" s="514">
        <v>732.0</v>
      </c>
      <c r="AI2" t="n" s="514">
        <v>756.0</v>
      </c>
      <c r="AJ2" t="n" s="514">
        <v>780.0</v>
      </c>
      <c r="AK2" t="n" s="514">
        <v>804.0</v>
      </c>
      <c r="AL2" t="n" s="514">
        <v>828.0</v>
      </c>
      <c r="AM2" t="n" s="514">
        <v>852.0</v>
      </c>
      <c r="AN2" t="n" s="514">
        <v>876.0</v>
      </c>
      <c r="AO2" t="n" s="514">
        <v>900.0</v>
      </c>
      <c r="AP2" t="n" s="514">
        <v>924.0</v>
      </c>
      <c r="AQ2" t="n" s="514">
        <v>948.0</v>
      </c>
      <c r="AR2" t="n" s="514">
        <v>972.0</v>
      </c>
      <c r="AS2" t="n" s="514">
        <v>996.0</v>
      </c>
      <c r="AT2" t="n" s="514">
        <v>1020.0</v>
      </c>
      <c r="AU2" t="n" s="514">
        <v>1044.0</v>
      </c>
      <c r="AV2" t="n" s="514">
        <v>1068.0</v>
      </c>
      <c r="AW2" t="n" s="514">
        <v>1092.0</v>
      </c>
      <c r="AX2" t="n" s="514">
        <v>1116.0</v>
      </c>
      <c r="AY2" t="n" s="514">
        <v>1140.0</v>
      </c>
      <c r="AZ2" t="n" s="514">
        <v>1164.0</v>
      </c>
      <c r="BA2" t="n" s="514">
        <v>1188.0</v>
      </c>
      <c r="BB2" t="n" s="514">
        <v>1212.0</v>
      </c>
      <c r="BC2" t="n" s="514">
        <v>1236.0</v>
      </c>
      <c r="BD2" t="n" s="514">
        <v>1260.0</v>
      </c>
      <c r="BE2" t="n" s="514">
        <v>1284.0</v>
      </c>
      <c r="BF2" t="n" s="514">
        <v>1308.0</v>
      </c>
      <c r="BG2" t="n" s="514">
        <v>1332.0</v>
      </c>
      <c r="BH2" t="n" s="514">
        <v>1356.0</v>
      </c>
      <c r="BI2" t="n" s="514">
        <v>1380.0</v>
      </c>
      <c r="BJ2" t="n" s="514">
        <v>1404.0</v>
      </c>
      <c r="BK2" t="n" s="514">
        <v>1428.0</v>
      </c>
      <c r="BL2" t="n" s="514">
        <v>1452.0</v>
      </c>
      <c r="BM2" t="n" s="514">
        <v>1476.0</v>
      </c>
      <c r="BN2" t="n" s="514">
        <v>1500.0</v>
      </c>
      <c r="BO2" t="n" s="514">
        <v>1524.0</v>
      </c>
      <c r="BP2" t="n" s="514">
        <v>1548.0</v>
      </c>
      <c r="BQ2" t="n" s="514">
        <v>1572.0</v>
      </c>
      <c r="BR2" t="n" s="514">
        <v>1596.0</v>
      </c>
      <c r="BS2" t="n" s="514">
        <v>1620.0</v>
      </c>
      <c r="BT2" t="n" s="514">
        <v>1644.0</v>
      </c>
      <c r="BU2" t="n" s="514">
        <v>1668.0</v>
      </c>
      <c r="BV2" t="n" s="514">
        <v>1692.0</v>
      </c>
      <c r="BW2" t="n" s="514">
        <v>1716.0</v>
      </c>
      <c r="BX2" t="n" s="514">
        <v>1740.0</v>
      </c>
      <c r="BY2" t="n" s="514">
        <v>1764.0</v>
      </c>
      <c r="BZ2" t="n" s="514">
        <v>1788.0</v>
      </c>
      <c r="CA2" t="n" s="514">
        <v>1812.0</v>
      </c>
      <c r="CB2" t="n" s="514">
        <v>1836.0</v>
      </c>
      <c r="CC2" t="n" s="514">
        <v>1860.0</v>
      </c>
      <c r="CD2" t="n" s="514">
        <v>1884.0</v>
      </c>
      <c r="CE2" t="n" s="514">
        <v>1908.0</v>
      </c>
      <c r="CF2" t="n" s="514">
        <v>1932.0</v>
      </c>
      <c r="CG2" t="n" s="514">
        <v>1956.0</v>
      </c>
      <c r="CH2" t="n" s="514">
        <v>1980.0</v>
      </c>
      <c r="CI2" t="n" s="514">
        <v>2004.0</v>
      </c>
      <c r="CJ2" t="n" s="514">
        <v>2028.0</v>
      </c>
      <c r="CK2" t="n" s="514">
        <v>2052.0</v>
      </c>
      <c r="CL2" t="n" s="514">
        <v>2076.0</v>
      </c>
      <c r="CM2" t="n" s="514">
        <v>2100.0</v>
      </c>
      <c r="CN2" t="n" s="514">
        <v>2124.0</v>
      </c>
      <c r="CO2" t="n" s="514">
        <v>2148.0</v>
      </c>
      <c r="CP2" t="n" s="514">
        <v>2172.0</v>
      </c>
      <c r="CQ2" t="n" s="514">
        <v>2196.0</v>
      </c>
      <c r="CR2" t="n" s="514">
        <v>2220.0</v>
      </c>
      <c r="CS2" t="n" s="514">
        <v>2244.0</v>
      </c>
      <c r="CT2" t="n" s="514">
        <v>2268.0</v>
      </c>
      <c r="CU2" t="n" s="514">
        <v>2292.0</v>
      </c>
      <c r="CV2" t="n" s="514">
        <v>2316.0</v>
      </c>
      <c r="CW2" t="n" s="514">
        <v>2340.0</v>
      </c>
      <c r="CX2" t="n" s="514">
        <v>2364.0</v>
      </c>
      <c r="CY2" t="n" s="514">
        <v>2388.0</v>
      </c>
      <c r="CZ2" t="n" s="514">
        <v>2412.0</v>
      </c>
      <c r="DA2" t="n" s="514">
        <v>2436.0</v>
      </c>
      <c r="DB2" t="n" s="514">
        <v>2460.0</v>
      </c>
      <c r="DC2" t="n" s="514">
        <v>2484.0</v>
      </c>
      <c r="DD2" t="n" s="514">
        <v>2508.0</v>
      </c>
      <c r="DE2" t="n" s="514">
        <v>2532.0</v>
      </c>
      <c r="DF2" t="n" s="514">
        <v>2556.0</v>
      </c>
      <c r="DG2" t="n" s="514">
        <v>2580.0</v>
      </c>
      <c r="DH2" t="n" s="514">
        <v>2604.0</v>
      </c>
      <c r="DI2" t="n" s="514">
        <v>2628.0</v>
      </c>
      <c r="DJ2" t="n" s="514">
        <v>2652.0</v>
      </c>
      <c r="DK2" t="n" s="514">
        <v>2676.0</v>
      </c>
      <c r="DL2" t="n" s="514">
        <v>2700.0</v>
      </c>
      <c r="DM2" t="n" s="514">
        <v>2724.0</v>
      </c>
      <c r="DN2" t="n" s="514">
        <v>2748.0</v>
      </c>
      <c r="DO2" t="n" s="514">
        <v>2772.0</v>
      </c>
      <c r="DP2" t="n" s="514">
        <v>2796.0</v>
      </c>
      <c r="DQ2" t="n" s="514">
        <v>2820.0</v>
      </c>
      <c r="DR2" t="n" s="514">
        <v>2844.0</v>
      </c>
      <c r="DS2" t="n" s="514">
        <v>2868.0</v>
      </c>
      <c r="DT2" t="n" s="514">
        <v>2892.0</v>
      </c>
      <c r="DU2" t="n" s="514">
        <v>2916.0</v>
      </c>
      <c r="DV2" t="n" s="514">
        <v>2940.0</v>
      </c>
      <c r="DW2" t="n" s="514">
        <v>2964.0</v>
      </c>
      <c r="DX2" t="n" s="514">
        <v>2988.0</v>
      </c>
      <c r="DY2" t="n" s="514">
        <v>3012.0</v>
      </c>
      <c r="DZ2" t="n" s="514">
        <v>3036.0</v>
      </c>
      <c r="EA2" t="n" s="514">
        <v>3060.0</v>
      </c>
      <c r="EB2" t="n" s="514">
        <v>3084.0</v>
      </c>
      <c r="EC2" t="n" s="514">
        <v>3108.0</v>
      </c>
      <c r="ED2" t="n" s="514">
        <v>3132.0</v>
      </c>
      <c r="EE2" t="n" s="514">
        <v>3156.0</v>
      </c>
      <c r="EF2" t="n" s="514">
        <v>3180.0</v>
      </c>
      <c r="EG2" t="n" s="514">
        <v>3204.0</v>
      </c>
      <c r="EH2" t="n" s="514">
        <v>3228.0</v>
      </c>
      <c r="EI2" t="n" s="514">
        <v>3252.0</v>
      </c>
      <c r="EJ2" t="n" s="514">
        <v>3276.0</v>
      </c>
      <c r="EK2" t="n" s="514">
        <v>3300.0</v>
      </c>
      <c r="EL2" t="n" s="514">
        <v>3324.0</v>
      </c>
      <c r="EM2" t="n" s="514">
        <v>3348.0</v>
      </c>
      <c r="EN2" t="n" s="514">
        <v>3372.0</v>
      </c>
      <c r="EO2" t="n" s="514">
        <v>3396.0</v>
      </c>
      <c r="EP2" t="n" s="514">
        <v>3420.0</v>
      </c>
      <c r="EQ2" t="n" s="514">
        <v>3444.0</v>
      </c>
      <c r="ER2" t="n" s="514">
        <v>3468.0</v>
      </c>
      <c r="ES2" t="n" s="514">
        <v>3492.0</v>
      </c>
      <c r="ET2" t="n" s="514">
        <v>3516.0</v>
      </c>
      <c r="EU2" t="n" s="514">
        <v>3540.0</v>
      </c>
      <c r="EV2" t="n" s="514">
        <v>3564.0</v>
      </c>
      <c r="EW2" t="n" s="514">
        <v>3588.0</v>
      </c>
      <c r="EX2" t="n" s="514">
        <v>3612.0</v>
      </c>
      <c r="EY2" t="n" s="514">
        <v>3636.0</v>
      </c>
      <c r="EZ2" t="n" s="514">
        <v>3660.0</v>
      </c>
      <c r="FA2" t="n" s="514">
        <v>3684.0</v>
      </c>
      <c r="FB2" t="n" s="514">
        <v>3708.0</v>
      </c>
      <c r="FC2" t="n" s="514">
        <v>3732.0</v>
      </c>
      <c r="FD2" t="n" s="514">
        <v>3756.0</v>
      </c>
      <c r="FE2" t="n" s="514">
        <v>3780.0</v>
      </c>
      <c r="FF2" t="n" s="514">
        <v>3804.0</v>
      </c>
      <c r="FG2" t="n" s="514">
        <v>3828.0</v>
      </c>
      <c r="FH2" t="n" s="514">
        <v>3852.0</v>
      </c>
      <c r="FI2" t="n" s="514">
        <v>3876.0</v>
      </c>
      <c r="FJ2" t="n" s="514">
        <v>3900.0</v>
      </c>
      <c r="FK2" t="n" s="514">
        <v>3924.0</v>
      </c>
      <c r="FL2" t="n" s="514">
        <v>3948.0</v>
      </c>
      <c r="FM2" t="n" s="514">
        <v>3972.0</v>
      </c>
      <c r="FN2" t="n" s="514">
        <v>3996.0</v>
      </c>
      <c r="FO2" t="n" s="514">
        <v>4020.0</v>
      </c>
      <c r="FP2" t="n" s="514">
        <v>4044.0</v>
      </c>
      <c r="FQ2" t="n" s="514">
        <v>4068.0</v>
      </c>
      <c r="FR2" t="n" s="514">
        <v>4092.0</v>
      </c>
      <c r="FS2" t="n" s="514">
        <v>4116.0</v>
      </c>
      <c r="FT2" t="n" s="514">
        <v>4140.0</v>
      </c>
      <c r="FU2" t="n" s="514">
        <v>4164.0</v>
      </c>
      <c r="FV2" t="n" s="514">
        <v>4188.0</v>
      </c>
      <c r="FW2" t="n" s="514">
        <v>4212.0</v>
      </c>
      <c r="FX2" t="n" s="514">
        <v>4236.0</v>
      </c>
      <c r="FY2" t="n" s="514">
        <v>4260.0</v>
      </c>
      <c r="FZ2" t="n" s="514">
        <v>4284.0</v>
      </c>
      <c r="GA2" t="n" s="514">
        <v>4308.0</v>
      </c>
      <c r="GB2" t="n" s="514">
        <v>4332.0</v>
      </c>
      <c r="GC2" t="n" s="514">
        <v>4356.0</v>
      </c>
      <c r="GD2" t="n" s="514">
        <v>4380.0</v>
      </c>
      <c r="GE2" t="n" s="514">
        <v>4404.0</v>
      </c>
      <c r="GF2" t="n" s="514">
        <v>4428.0</v>
      </c>
      <c r="GG2" t="n" s="514">
        <v>4452.0</v>
      </c>
      <c r="GH2" t="n" s="514">
        <v>4476.0</v>
      </c>
      <c r="GI2" t="n" s="514">
        <v>4500.0</v>
      </c>
      <c r="GJ2" t="n" s="514">
        <v>4524.0</v>
      </c>
      <c r="GK2" t="n" s="514">
        <v>4548.0</v>
      </c>
      <c r="GL2" t="n" s="514">
        <v>4572.0</v>
      </c>
      <c r="GM2" t="n" s="514">
        <v>4596.0</v>
      </c>
      <c r="GN2" t="n" s="514">
        <v>4620.0</v>
      </c>
      <c r="GO2" t="n" s="514">
        <v>4644.0</v>
      </c>
      <c r="GP2" t="n" s="514">
        <v>4668.0</v>
      </c>
      <c r="GQ2" t="n" s="514">
        <v>4692.0</v>
      </c>
      <c r="GR2" t="n" s="514">
        <v>4716.0</v>
      </c>
      <c r="GS2" t="n" s="514">
        <v>4740.0</v>
      </c>
      <c r="GT2" t="n" s="514">
        <v>4764.0</v>
      </c>
      <c r="GU2" t="n" s="514">
        <v>4788.0</v>
      </c>
      <c r="GV2" t="n" s="514">
        <v>4812.0</v>
      </c>
      <c r="GW2" t="n" s="514">
        <v>4836.0</v>
      </c>
      <c r="GX2" t="n" s="514">
        <v>4860.0</v>
      </c>
      <c r="GY2" t="n" s="514">
        <v>4884.0</v>
      </c>
      <c r="GZ2" t="n" s="514">
        <v>4908.0</v>
      </c>
      <c r="HA2" t="n" s="514">
        <v>4932.0</v>
      </c>
      <c r="HB2" t="n" s="514">
        <v>4956.0</v>
      </c>
      <c r="HC2" t="n" s="514">
        <v>4980.0</v>
      </c>
      <c r="HD2" t="n" s="514">
        <v>5004.0</v>
      </c>
      <c r="HE2" t="n" s="514">
        <v>5028.0</v>
      </c>
      <c r="HF2" t="n" s="514">
        <v>5052.0</v>
      </c>
      <c r="HG2" t="n" s="514">
        <v>5076.0</v>
      </c>
      <c r="HH2" t="n" s="514">
        <v>5100.0</v>
      </c>
      <c r="HI2" t="n" s="514">
        <v>5124.0</v>
      </c>
      <c r="HJ2" t="n" s="514">
        <v>5148.0</v>
      </c>
      <c r="HK2" t="n" s="514">
        <v>5172.0</v>
      </c>
      <c r="HL2" t="n" s="514">
        <v>5196.0</v>
      </c>
      <c r="HM2" t="n" s="514">
        <v>5220.0</v>
      </c>
      <c r="HN2" t="n" s="514">
        <v>5244.0</v>
      </c>
      <c r="HO2" t="n" s="514">
        <v>5268.0</v>
      </c>
      <c r="HP2" t="n" s="514">
        <v>5292.0</v>
      </c>
      <c r="HQ2" t="n" s="514">
        <v>5316.0</v>
      </c>
      <c r="HR2" t="n" s="514">
        <v>5340.0</v>
      </c>
      <c r="HS2" t="n" s="514">
        <v>5364.0</v>
      </c>
      <c r="HT2" t="n" s="514">
        <v>5388.0</v>
      </c>
      <c r="HU2" t="n" s="514">
        <v>5412.0</v>
      </c>
      <c r="HV2" t="n" s="514">
        <v>5436.0</v>
      </c>
      <c r="HW2" t="n" s="514">
        <v>5460.0</v>
      </c>
      <c r="HX2" t="n" s="514">
        <v>5484.0</v>
      </c>
      <c r="HY2" t="n" s="514">
        <v>5508.0</v>
      </c>
      <c r="HZ2" t="n" s="514">
        <v>5532.0</v>
      </c>
      <c r="IA2" t="n" s="514">
        <v>5556.0</v>
      </c>
      <c r="IB2" t="n" s="514">
        <v>5580.0</v>
      </c>
      <c r="IC2" t="n" s="514">
        <v>5604.0</v>
      </c>
    </row>
    <row r="3">
      <c r="A3" s="514" t="s">
        <v>635</v>
      </c>
      <c r="B3" s="514" t="s">
        <v>636</v>
      </c>
      <c r="C3" s="514" t="s">
        <v>638</v>
      </c>
      <c r="D3" s="514">
        <f>12.0/12</f>
      </c>
      <c r="E3" s="514">
        <f>36.0/12</f>
      </c>
      <c r="F3" s="514">
        <f>60.0/12</f>
      </c>
      <c r="G3" s="514">
        <f>84.0/12</f>
      </c>
      <c r="H3" s="514">
        <f>108.0/12</f>
      </c>
      <c r="I3" s="514">
        <f>132.0/12</f>
      </c>
      <c r="J3" s="514">
        <f>156.0/12</f>
      </c>
      <c r="K3" s="514">
        <f>180.0/12</f>
      </c>
      <c r="L3" s="514">
        <f>204.0/12</f>
      </c>
      <c r="M3" s="514">
        <f>228.0/12</f>
      </c>
      <c r="N3" s="514">
        <f>252.0/12</f>
      </c>
      <c r="O3" s="514">
        <f>276.0/12</f>
      </c>
      <c r="P3" s="514">
        <f>300.0/12</f>
      </c>
      <c r="Q3" s="514">
        <f>324.0/12</f>
      </c>
      <c r="R3" s="514">
        <f>348.0/12</f>
      </c>
      <c r="S3" s="514">
        <f>372.0/12</f>
      </c>
      <c r="T3" s="514">
        <f>396.0/12</f>
      </c>
      <c r="U3" s="514">
        <f>420.0/12</f>
      </c>
      <c r="V3" s="514">
        <f>444.0/12</f>
      </c>
      <c r="W3" s="514">
        <f>468.0/12</f>
      </c>
      <c r="X3" s="514">
        <f>492.0/12</f>
      </c>
      <c r="Y3" s="514">
        <f>516.0/12</f>
      </c>
      <c r="Z3" s="514">
        <f>540.0/12</f>
      </c>
      <c r="AA3" s="514">
        <f>564.0/12</f>
      </c>
      <c r="AB3" s="514">
        <f>588.0/12</f>
      </c>
      <c r="AC3" s="514">
        <f>612.0/12</f>
      </c>
      <c r="AD3" s="514">
        <f>636.0/12</f>
      </c>
      <c r="AE3" s="514">
        <f>660.0/12</f>
      </c>
      <c r="AF3" s="514">
        <f>684.0/12</f>
      </c>
      <c r="AG3" s="514">
        <f>708.0/12</f>
      </c>
      <c r="AH3" s="514">
        <f>732.0/12</f>
      </c>
      <c r="AI3" s="514">
        <f>756.0/12</f>
      </c>
      <c r="AJ3" s="514">
        <f>780.0/12</f>
      </c>
      <c r="AK3" s="514">
        <f>804.0/12</f>
      </c>
      <c r="AL3" s="514">
        <f>828.0/12</f>
      </c>
      <c r="AM3" s="514">
        <f>852.0/12</f>
      </c>
      <c r="AN3" s="514">
        <f>876.0/12</f>
      </c>
      <c r="AO3" s="514">
        <f>900.0/12</f>
      </c>
      <c r="AP3" s="514">
        <f>924.0/12</f>
      </c>
      <c r="AQ3" s="514">
        <f>948.0/12</f>
      </c>
      <c r="AR3" s="514">
        <f>972.0/12</f>
      </c>
      <c r="AS3" s="514">
        <f>996.0/12</f>
      </c>
      <c r="AT3" s="514">
        <f>1020.0/12</f>
      </c>
      <c r="AU3" s="514">
        <f>1044.0/12</f>
      </c>
      <c r="AV3" s="514">
        <f>1068.0/12</f>
      </c>
      <c r="AW3" s="514">
        <f>1092.0/12</f>
      </c>
      <c r="AX3" s="514">
        <f>1116.0/12</f>
      </c>
      <c r="AY3" s="514">
        <f>1140.0/12</f>
      </c>
      <c r="AZ3" s="514">
        <f>1164.0/12</f>
      </c>
      <c r="BA3" s="514">
        <f>1188.0/12</f>
      </c>
      <c r="BB3" s="514">
        <f>1212.0/12</f>
      </c>
      <c r="BC3" s="514">
        <f>1236.0/12</f>
      </c>
      <c r="BD3" s="514">
        <f>1260.0/12</f>
      </c>
      <c r="BE3" s="514">
        <f>1284.0/12</f>
      </c>
      <c r="BF3" s="514">
        <f>1308.0/12</f>
      </c>
      <c r="BG3" s="514">
        <f>1332.0/12</f>
      </c>
      <c r="BH3" s="514">
        <f>1356.0/12</f>
      </c>
      <c r="BI3" s="514">
        <f>1380.0/12</f>
      </c>
      <c r="BJ3" s="514">
        <f>1404.0/12</f>
      </c>
      <c r="BK3" s="514">
        <f>1428.0/12</f>
      </c>
      <c r="BL3" s="514">
        <f>1452.0/12</f>
      </c>
      <c r="BM3" s="514">
        <f>1476.0/12</f>
      </c>
      <c r="BN3" s="514">
        <f>1500.0/12</f>
      </c>
      <c r="BO3" s="514">
        <f>1524.0/12</f>
      </c>
      <c r="BP3" s="514">
        <f>1548.0/12</f>
      </c>
      <c r="BQ3" s="514">
        <f>1572.0/12</f>
      </c>
      <c r="BR3" s="514">
        <f>1596.0/12</f>
      </c>
      <c r="BS3" s="514">
        <f>1620.0/12</f>
      </c>
      <c r="BT3" s="514">
        <f>1644.0/12</f>
      </c>
      <c r="BU3" s="514">
        <f>1668.0/12</f>
      </c>
      <c r="BV3" s="514">
        <f>1692.0/12</f>
      </c>
      <c r="BW3" s="514">
        <f>1716.0/12</f>
      </c>
      <c r="BX3" s="514">
        <f>1740.0/12</f>
      </c>
      <c r="BY3" s="514">
        <f>1764.0/12</f>
      </c>
      <c r="BZ3" s="514">
        <f>1788.0/12</f>
      </c>
      <c r="CA3" s="514">
        <f>1812.0/12</f>
      </c>
      <c r="CB3" s="514">
        <f>1836.0/12</f>
      </c>
      <c r="CC3" s="514">
        <f>1860.0/12</f>
      </c>
      <c r="CD3" s="514">
        <f>1884.0/12</f>
      </c>
      <c r="CE3" s="514">
        <f>1908.0/12</f>
      </c>
      <c r="CF3" s="514">
        <f>1932.0/12</f>
      </c>
      <c r="CG3" s="514">
        <f>1956.0/12</f>
      </c>
      <c r="CH3" s="514">
        <f>1980.0/12</f>
      </c>
      <c r="CI3" s="514">
        <f>2004.0/12</f>
      </c>
      <c r="CJ3" s="514">
        <f>2028.0/12</f>
      </c>
      <c r="CK3" s="514">
        <f>2052.0/12</f>
      </c>
      <c r="CL3" s="514">
        <f>2076.0/12</f>
      </c>
      <c r="CM3" s="514">
        <f>2100.0/12</f>
      </c>
      <c r="CN3" s="514">
        <f>2124.0/12</f>
      </c>
      <c r="CO3" s="514">
        <f>2148.0/12</f>
      </c>
      <c r="CP3" s="514">
        <f>2172.0/12</f>
      </c>
      <c r="CQ3" s="514">
        <f>2196.0/12</f>
      </c>
      <c r="CR3" s="514">
        <f>2220.0/12</f>
      </c>
      <c r="CS3" s="514">
        <f>2244.0/12</f>
      </c>
      <c r="CT3" s="514">
        <f>2268.0/12</f>
      </c>
      <c r="CU3" s="514">
        <f>2292.0/12</f>
      </c>
      <c r="CV3" s="514">
        <f>2316.0/12</f>
      </c>
      <c r="CW3" s="514">
        <f>2340.0/12</f>
      </c>
      <c r="CX3" s="514">
        <f>2364.0/12</f>
      </c>
      <c r="CY3" s="514">
        <f>2388.0/12</f>
      </c>
      <c r="CZ3" s="514">
        <f>2412.0/12</f>
      </c>
      <c r="DA3" s="514">
        <f>2436.0/12</f>
      </c>
      <c r="DB3" s="514">
        <f>2460.0/12</f>
      </c>
      <c r="DC3" s="514">
        <f>2484.0/12</f>
      </c>
      <c r="DD3" s="514">
        <f>2508.0/12</f>
      </c>
      <c r="DE3" s="514">
        <f>2532.0/12</f>
      </c>
      <c r="DF3" s="514">
        <f>2556.0/12</f>
      </c>
      <c r="DG3" s="514">
        <f>2580.0/12</f>
      </c>
      <c r="DH3" s="514">
        <f>2604.0/12</f>
      </c>
      <c r="DI3" s="514">
        <f>2628.0/12</f>
      </c>
      <c r="DJ3" s="514">
        <f>2652.0/12</f>
      </c>
      <c r="DK3" s="514">
        <f>2676.0/12</f>
      </c>
      <c r="DL3" s="514">
        <f>2700.0/12</f>
      </c>
      <c r="DM3" s="514">
        <f>2724.0/12</f>
      </c>
      <c r="DN3" s="514">
        <f>2748.0/12</f>
      </c>
      <c r="DO3" s="514">
        <f>2772.0/12</f>
      </c>
      <c r="DP3" s="514">
        <f>2796.0/12</f>
      </c>
      <c r="DQ3" s="514">
        <f>2820.0/12</f>
      </c>
      <c r="DR3" s="514">
        <f>2844.0/12</f>
      </c>
      <c r="DS3" s="514">
        <f>2868.0/12</f>
      </c>
      <c r="DT3" s="514">
        <f>2892.0/12</f>
      </c>
      <c r="DU3" s="514">
        <f>2916.0/12</f>
      </c>
      <c r="DV3" s="514">
        <f>2940.0/12</f>
      </c>
      <c r="DW3" s="514">
        <f>2964.0/12</f>
      </c>
      <c r="DX3" s="514">
        <f>2988.0/12</f>
      </c>
      <c r="DY3" s="514">
        <f>3012.0/12</f>
      </c>
      <c r="DZ3" s="514">
        <f>3036.0/12</f>
      </c>
      <c r="EA3" s="514">
        <f>3060.0/12</f>
      </c>
      <c r="EB3" s="514">
        <f>3084.0/12</f>
      </c>
      <c r="EC3" s="514">
        <f>3108.0/12</f>
      </c>
      <c r="ED3" s="514">
        <f>3132.0/12</f>
      </c>
      <c r="EE3" s="514">
        <f>3156.0/12</f>
      </c>
      <c r="EF3" s="514">
        <f>3180.0/12</f>
      </c>
      <c r="EG3" s="514">
        <f>3204.0/12</f>
      </c>
      <c r="EH3" s="514">
        <f>3228.0/12</f>
      </c>
      <c r="EI3" s="514">
        <f>3252.0/12</f>
      </c>
      <c r="EJ3" s="514">
        <f>3276.0/12</f>
      </c>
      <c r="EK3" s="514">
        <f>3300.0/12</f>
      </c>
      <c r="EL3" s="514">
        <f>3324.0/12</f>
      </c>
      <c r="EM3" s="514">
        <f>3348.0/12</f>
      </c>
      <c r="EN3" s="514">
        <f>3372.0/12</f>
      </c>
      <c r="EO3" s="514">
        <f>3396.0/12</f>
      </c>
      <c r="EP3" s="514">
        <f>3420.0/12</f>
      </c>
      <c r="EQ3" s="514">
        <f>3444.0/12</f>
      </c>
      <c r="ER3" s="514">
        <f>3468.0/12</f>
      </c>
      <c r="ES3" s="514">
        <f>3492.0/12</f>
      </c>
      <c r="ET3" s="514">
        <f>3516.0/12</f>
      </c>
      <c r="EU3" s="514">
        <f>3540.0/12</f>
      </c>
      <c r="EV3" s="514">
        <f>3564.0/12</f>
      </c>
      <c r="EW3" s="514">
        <f>3588.0/12</f>
      </c>
      <c r="EX3" s="514">
        <f>3612.0/12</f>
      </c>
      <c r="EY3" s="514">
        <f>3636.0/12</f>
      </c>
      <c r="EZ3" s="514">
        <f>3660.0/12</f>
      </c>
      <c r="FA3" s="514">
        <f>3684.0/12</f>
      </c>
      <c r="FB3" s="514">
        <f>3708.0/12</f>
      </c>
      <c r="FC3" s="514">
        <f>3732.0/12</f>
      </c>
      <c r="FD3" s="514">
        <f>3756.0/12</f>
      </c>
      <c r="FE3" s="514">
        <f>3780.0/12</f>
      </c>
      <c r="FF3" s="514">
        <f>3804.0/12</f>
      </c>
      <c r="FG3" s="514">
        <f>3828.0/12</f>
      </c>
      <c r="FH3" s="514">
        <f>3852.0/12</f>
      </c>
      <c r="FI3" s="514">
        <f>3876.0/12</f>
      </c>
      <c r="FJ3" s="514">
        <f>3900.0/12</f>
      </c>
      <c r="FK3" s="514">
        <f>3924.0/12</f>
      </c>
      <c r="FL3" s="514">
        <f>3948.0/12</f>
      </c>
      <c r="FM3" s="514">
        <f>3972.0/12</f>
      </c>
      <c r="FN3" s="514">
        <f>3996.0/12</f>
      </c>
      <c r="FO3" s="514">
        <f>4020.0/12</f>
      </c>
      <c r="FP3" s="514">
        <f>4044.0/12</f>
      </c>
      <c r="FQ3" s="514">
        <f>4068.0/12</f>
      </c>
      <c r="FR3" s="514">
        <f>4092.0/12</f>
      </c>
      <c r="FS3" s="514">
        <f>4116.0/12</f>
      </c>
      <c r="FT3" s="514">
        <f>4140.0/12</f>
      </c>
      <c r="FU3" s="514">
        <f>4164.0/12</f>
      </c>
      <c r="FV3" s="514">
        <f>4188.0/12</f>
      </c>
      <c r="FW3" s="514">
        <f>4212.0/12</f>
      </c>
      <c r="FX3" s="514">
        <f>4236.0/12</f>
      </c>
      <c r="FY3" s="514">
        <f>4260.0/12</f>
      </c>
      <c r="FZ3" s="514">
        <f>4284.0/12</f>
      </c>
      <c r="GA3" s="514">
        <f>4308.0/12</f>
      </c>
      <c r="GB3" s="514">
        <f>4332.0/12</f>
      </c>
      <c r="GC3" s="514">
        <f>4356.0/12</f>
      </c>
      <c r="GD3" s="514">
        <f>4380.0/12</f>
      </c>
      <c r="GE3" s="514">
        <f>4404.0/12</f>
      </c>
      <c r="GF3" s="514">
        <f>4428.0/12</f>
      </c>
      <c r="GG3" s="514">
        <f>4452.0/12</f>
      </c>
      <c r="GH3" s="514">
        <f>4476.0/12</f>
      </c>
      <c r="GI3" s="514">
        <f>4500.0/12</f>
      </c>
      <c r="GJ3" s="514">
        <f>4524.0/12</f>
      </c>
      <c r="GK3" s="514">
        <f>4548.0/12</f>
      </c>
      <c r="GL3" s="514">
        <f>4572.0/12</f>
      </c>
      <c r="GM3" s="514">
        <f>4596.0/12</f>
      </c>
      <c r="GN3" s="514">
        <f>4620.0/12</f>
      </c>
      <c r="GO3" s="514">
        <f>4644.0/12</f>
      </c>
      <c r="GP3" s="514">
        <f>4668.0/12</f>
      </c>
      <c r="GQ3" s="514">
        <f>4692.0/12</f>
      </c>
      <c r="GR3" s="514">
        <f>4716.0/12</f>
      </c>
      <c r="GS3" s="514">
        <f>4740.0/12</f>
      </c>
      <c r="GT3" s="514">
        <f>4764.0/12</f>
      </c>
      <c r="GU3" s="514">
        <f>4788.0/12</f>
      </c>
      <c r="GV3" s="514">
        <f>4812.0/12</f>
      </c>
      <c r="GW3" s="514">
        <f>4836.0/12</f>
      </c>
      <c r="GX3" s="514">
        <f>4860.0/12</f>
      </c>
      <c r="GY3" s="514">
        <f>4884.0/12</f>
      </c>
      <c r="GZ3" s="514">
        <f>4908.0/12</f>
      </c>
      <c r="HA3" s="514">
        <f>4932.0/12</f>
      </c>
      <c r="HB3" s="514">
        <f>4956.0/12</f>
      </c>
      <c r="HC3" s="514">
        <f>4980.0/12</f>
      </c>
      <c r="HD3" s="514">
        <f>5004.0/12</f>
      </c>
      <c r="HE3" s="514">
        <f>5028.0/12</f>
      </c>
      <c r="HF3" s="514">
        <f>5052.0/12</f>
      </c>
      <c r="HG3" s="514">
        <f>5076.0/12</f>
      </c>
      <c r="HH3" s="514">
        <f>5100.0/12</f>
      </c>
      <c r="HI3" s="514">
        <f>5124.0/12</f>
      </c>
      <c r="HJ3" s="514">
        <f>5148.0/12</f>
      </c>
      <c r="HK3" s="514">
        <f>5172.0/12</f>
      </c>
      <c r="HL3" s="514">
        <f>5196.0/12</f>
      </c>
      <c r="HM3" s="514">
        <f>5220.0/12</f>
      </c>
      <c r="HN3" s="514">
        <f>5244.0/12</f>
      </c>
      <c r="HO3" s="514">
        <f>5268.0/12</f>
      </c>
      <c r="HP3" s="514">
        <f>5292.0/12</f>
      </c>
      <c r="HQ3" s="514">
        <f>5316.0/12</f>
      </c>
      <c r="HR3" s="514">
        <f>5340.0/12</f>
      </c>
      <c r="HS3" s="514">
        <f>5364.0/12</f>
      </c>
      <c r="HT3" s="514">
        <f>5388.0/12</f>
      </c>
      <c r="HU3" s="514">
        <f>5412.0/12</f>
      </c>
      <c r="HV3" s="514">
        <f>5436.0/12</f>
      </c>
      <c r="HW3" s="514">
        <f>5460.0/12</f>
      </c>
      <c r="HX3" s="514">
        <f>5484.0/12</f>
      </c>
      <c r="HY3" s="514">
        <f>5508.0/12</f>
      </c>
      <c r="HZ3" s="514">
        <f>5532.0/12</f>
      </c>
      <c r="IA3" s="514">
        <f>5556.0/12</f>
      </c>
      <c r="IB3" s="514">
        <f>5580.0/12</f>
      </c>
      <c r="IC3" s="514">
        <f>5604.0/12</f>
      </c>
    </row>
    <row r="4">
      <c r="A4" s="514" t="n">
        <v>0.0</v>
      </c>
      <c r="B4" s="514">
        <f>12.0/12</f>
      </c>
      <c r="C4" t="n" s="514">
        <v>12.0</v>
      </c>
      <c r="D4" t="n" s="515">
        <v>-6.380917549133301</v>
      </c>
      <c r="E4" t="n" s="515">
        <v>-6.382998943328857</v>
      </c>
      <c r="F4" t="n" s="515">
        <v>-6.805820941925049</v>
      </c>
      <c r="G4" t="n" s="515">
        <v>-6.0291218757629395</v>
      </c>
      <c r="H4" t="n" s="515">
        <v>-6.307830810546875</v>
      </c>
      <c r="I4" t="n" s="515">
        <v>-6.606400489807129</v>
      </c>
      <c r="J4" t="n" s="515">
        <v>-7.111236572265625</v>
      </c>
      <c r="K4" t="n" s="515">
        <v>-7.59042501449585</v>
      </c>
      <c r="L4" t="n" s="515">
        <v>-7.652857303619385</v>
      </c>
      <c r="M4" t="n" s="515">
        <v>-7.808408737182617</v>
      </c>
      <c r="N4" t="n" s="515">
        <v>-8.057007789611816</v>
      </c>
      <c r="O4" t="n" s="515">
        <v>-8.381852149963379</v>
      </c>
      <c r="P4" t="n" s="515">
        <v>-8.307454109191895</v>
      </c>
      <c r="Q4" t="n" s="515">
        <v>-8.121438026428223</v>
      </c>
      <c r="R4" t="n" s="515">
        <v>-8.250349998474121</v>
      </c>
      <c r="S4" t="n" s="515">
        <v>-8.309940338134766</v>
      </c>
      <c r="T4" t="n" s="515">
        <v>-8.18282413482666</v>
      </c>
      <c r="U4" t="n" s="515">
        <v>-7.986396312713623</v>
      </c>
      <c r="V4" t="n" s="515">
        <v>-7.919845104217529</v>
      </c>
      <c r="W4" t="n" s="515">
        <v>-7.960301876068115</v>
      </c>
      <c r="X4" t="n" s="515">
        <v>-8.166062355041504</v>
      </c>
      <c r="Y4" t="n" s="515">
        <v>-8.157414436340332</v>
      </c>
      <c r="Z4" t="n" s="515">
        <v>-7.548538684844971</v>
      </c>
      <c r="AA4" t="n" s="515">
        <v>-6.928153991699219</v>
      </c>
      <c r="AB4" t="n" s="515">
        <v>-6.369949817657471</v>
      </c>
      <c r="AC4" t="n" s="515">
        <v>-5.64860200881958</v>
      </c>
      <c r="AD4" t="n" s="515">
        <v>-4.862638473510742</v>
      </c>
      <c r="AE4" t="n" s="515">
        <v>-4.242128849029541</v>
      </c>
      <c r="AF4" t="n" s="515">
        <v>-3.8200912475585938</v>
      </c>
      <c r="AG4" t="n" s="515">
        <v>-3.4801137447357178</v>
      </c>
      <c r="AH4" t="n" s="515">
        <v>-2.9525763988494873</v>
      </c>
      <c r="AI4" t="n" s="515">
        <v>-2.3886215686798096</v>
      </c>
      <c r="AJ4" t="n" s="515">
        <v>-2.3275046348571777</v>
      </c>
      <c r="AK4" t="n" s="515">
        <v>-2.233353614807129</v>
      </c>
      <c r="AL4" t="n" s="515">
        <v>-1.9855152368545532</v>
      </c>
      <c r="AM4" t="n" s="515">
        <v>-1.541908860206604</v>
      </c>
      <c r="AN4" t="n" s="515">
        <v>-1.6119921207427979</v>
      </c>
      <c r="AO4" t="n" s="515">
        <v>-1.711107611656189</v>
      </c>
      <c r="AP4" t="n" s="515">
        <v>-1.6011407375335693</v>
      </c>
      <c r="AQ4" t="n" s="515">
        <v>-1.24336838722229</v>
      </c>
      <c r="AR4" t="n" s="515">
        <v>-1.0859607458114624</v>
      </c>
      <c r="AS4" t="n" s="515">
        <v>-0.9973924160003662</v>
      </c>
      <c r="AT4" t="n" s="515">
        <v>-0.8938961029052734</v>
      </c>
      <c r="AU4" t="n" s="515">
        <v>-0.723599374294281</v>
      </c>
      <c r="AV4" t="n" s="515">
        <v>-0.7454314827919006</v>
      </c>
      <c r="AW4" t="n" s="515">
        <v>-0.7725728154182434</v>
      </c>
      <c r="AX4" t="n" s="515">
        <v>-0.8407591581344604</v>
      </c>
      <c r="AY4" t="n" s="515">
        <v>-0.8243893980979919</v>
      </c>
      <c r="AZ4" t="n" s="515">
        <v>-0.7089583277702332</v>
      </c>
      <c r="BA4" t="n" s="515">
        <v>-0.44413942098617554</v>
      </c>
      <c r="BB4" t="n" s="515">
        <v>-0.32382461428642273</v>
      </c>
      <c r="BC4" t="n" s="515">
        <v>-0.1480037271976471</v>
      </c>
      <c r="BD4" t="n" s="515">
        <v>-0.015453111380338669</v>
      </c>
      <c r="BE4" t="n" s="515">
        <v>0.1259094476699829</v>
      </c>
      <c r="BF4" t="n" s="515">
        <v>0.1752147674560547</v>
      </c>
      <c r="BG4" t="n" s="515">
        <v>0.09742692857980728</v>
      </c>
      <c r="BH4" t="n" s="515">
        <v>0.08245227485895157</v>
      </c>
      <c r="BI4" t="n" s="515">
        <v>0.15587589144706726</v>
      </c>
      <c r="BJ4" t="n" s="515">
        <v>0.3449632227420807</v>
      </c>
      <c r="BK4" t="n" s="515">
        <v>0.508493185043335</v>
      </c>
      <c r="BL4" t="n" s="515">
        <v>0.4344465732574463</v>
      </c>
      <c r="BM4" t="n" s="515">
        <v>0.4136839807033539</v>
      </c>
      <c r="BN4" t="n" s="515">
        <v>0.37879297137260437</v>
      </c>
      <c r="BO4" t="n" s="515">
        <v>0.2734489142894745</v>
      </c>
      <c r="BP4" t="n" s="515">
        <v>0.12587912380695343</v>
      </c>
      <c r="BQ4" t="n" s="515">
        <v>-0.03169022873044014</v>
      </c>
      <c r="BR4" t="n" s="515">
        <v>0.01761290617287159</v>
      </c>
      <c r="BS4" t="n" s="515">
        <v>0.027364440262317657</v>
      </c>
      <c r="BT4" t="n" s="515">
        <v>0.16109298169612885</v>
      </c>
      <c r="BU4" t="n" s="515">
        <v>0.22847086191177368</v>
      </c>
      <c r="BV4" t="n" s="515">
        <v>0.23767919838428497</v>
      </c>
      <c r="BW4" t="n" s="515">
        <v>0.3992650806903839</v>
      </c>
      <c r="BX4" t="n" s="515">
        <v>-0.8745759725570679</v>
      </c>
      <c r="BY4" t="n" s="515">
        <v>-2.454706907272339</v>
      </c>
      <c r="BZ4" t="n" s="515">
        <v>-1.7418434619903564</v>
      </c>
      <c r="CA4" t="n" s="515">
        <v>-3.4860594272613525</v>
      </c>
      <c r="CB4" t="n" s="515">
        <v>-3.750950336456299</v>
      </c>
      <c r="CC4" t="s" s="514">
        <v>634</v>
      </c>
      <c r="CD4" t="n" s="515">
        <v>-3.062797784805298</v>
      </c>
      <c r="CE4" t="n" s="515">
        <v>-6.397387981414795</v>
      </c>
      <c r="CF4" t="n" s="515">
        <v>-3.773683547973633</v>
      </c>
      <c r="CG4" t="n" s="515">
        <v>-0.4303090572357178</v>
      </c>
      <c r="CH4" t="n" s="515">
        <v>-0.9877117872238159</v>
      </c>
      <c r="CI4" t="n" s="515">
        <v>-1.9732706546783447</v>
      </c>
      <c r="CJ4" t="n" s="515">
        <v>-0.19150331616401672</v>
      </c>
      <c r="CK4" t="n" s="515">
        <v>-0.22365553677082062</v>
      </c>
      <c r="CL4" t="n" s="515">
        <v>0.24161244928836823</v>
      </c>
      <c r="CM4" t="n" s="515">
        <v>0.42663875222206116</v>
      </c>
      <c r="CN4" t="n" s="515">
        <v>0.47812867164611816</v>
      </c>
      <c r="CO4" t="n" s="515">
        <v>1.0402865409851074</v>
      </c>
      <c r="CP4" t="n" s="515">
        <v>0.9805433750152588</v>
      </c>
      <c r="CQ4" t="n" s="515">
        <v>1.0653259754180908</v>
      </c>
      <c r="CR4" t="n" s="515">
        <v>0.8903545141220093</v>
      </c>
      <c r="CS4" t="n" s="515">
        <v>1.2112382650375366</v>
      </c>
      <c r="CT4" t="n" s="515">
        <v>2.4279239177703857</v>
      </c>
      <c r="CU4" t="n" s="515">
        <v>2.445850372314453</v>
      </c>
      <c r="CV4" t="n" s="515">
        <v>2.5305745601654053</v>
      </c>
      <c r="CW4" t="n" s="515">
        <v>2.424560546875</v>
      </c>
      <c r="CX4" t="n" s="515">
        <v>2.7967631816864014</v>
      </c>
      <c r="CY4" t="n" s="515">
        <v>2.7727177143096924</v>
      </c>
      <c r="CZ4" t="n" s="515">
        <v>2.8276584148406982</v>
      </c>
      <c r="DA4" t="n" s="515">
        <v>2.5139412879943848</v>
      </c>
      <c r="DB4" t="n" s="515">
        <v>1.9271290302276611</v>
      </c>
      <c r="DC4" t="n" s="515">
        <v>1.9169503450393677</v>
      </c>
      <c r="DD4" t="n" s="515">
        <v>1.518501877784729</v>
      </c>
      <c r="DE4" t="n" s="515">
        <v>1.2063215970993042</v>
      </c>
      <c r="DF4" t="n" s="515">
        <v>0.7374202013015747</v>
      </c>
      <c r="DG4" t="n" s="515">
        <v>0.18301409482955933</v>
      </c>
      <c r="DH4" t="n" s="515">
        <v>-0.4643309712409973</v>
      </c>
      <c r="DI4" t="n" s="515">
        <v>-1.3897879123687744</v>
      </c>
      <c r="DJ4" t="n" s="515">
        <v>-2.291836977005005</v>
      </c>
      <c r="DK4" t="n" s="515">
        <v>-2.1258633136749268</v>
      </c>
      <c r="DL4" t="n" s="515">
        <v>-2.010382652282715</v>
      </c>
      <c r="DM4" t="n" s="515">
        <v>-1.88828706741333</v>
      </c>
      <c r="DN4" t="n" s="515">
        <v>-1.9144285917282104</v>
      </c>
      <c r="DO4" t="n" s="515">
        <v>-2.1337101459503174</v>
      </c>
      <c r="DP4" t="n" s="515">
        <v>-2.046621322631836</v>
      </c>
      <c r="DQ4" t="n" s="515">
        <v>-2.1651382446289062</v>
      </c>
      <c r="DR4" t="n" s="515">
        <v>-2.2332348823547363</v>
      </c>
      <c r="DS4" t="n" s="515">
        <v>-2.325171947479248</v>
      </c>
      <c r="DT4" t="n" s="515">
        <v>-2.404871940612793</v>
      </c>
      <c r="DU4" t="n" s="515">
        <v>-2.5821573734283447</v>
      </c>
      <c r="DV4" t="n" s="515">
        <v>-2.6335761547088623</v>
      </c>
      <c r="DW4" t="n" s="515">
        <v>-2.5367133617401123</v>
      </c>
      <c r="DX4" t="n" s="515">
        <v>-2.2270004749298096</v>
      </c>
      <c r="DY4" t="n" s="515">
        <v>-2.176034450531006</v>
      </c>
      <c r="DZ4" t="n" s="515">
        <v>-2.990194082260132</v>
      </c>
      <c r="EA4" t="n" s="515">
        <v>-3.2837088108062744</v>
      </c>
      <c r="EB4" t="n" s="515">
        <v>-2.815443515777588</v>
      </c>
      <c r="EC4" t="n" s="515">
        <v>-2.326261281967163</v>
      </c>
      <c r="ED4" t="n" s="515">
        <v>-1.9532020092010498</v>
      </c>
      <c r="EE4" t="n" s="515">
        <v>-1.5526090860366821</v>
      </c>
      <c r="EF4" t="n" s="515">
        <v>-1.5593615770339966</v>
      </c>
      <c r="EG4" t="n" s="515">
        <v>-1.610791802406311</v>
      </c>
      <c r="EH4" t="n" s="515">
        <v>-1.8411903381347656</v>
      </c>
      <c r="EI4" t="n" s="515">
        <v>-2.0853991508483887</v>
      </c>
      <c r="EJ4" t="n" s="515">
        <v>-2.356656551361084</v>
      </c>
      <c r="EK4" t="n" s="515">
        <v>-2.596172332763672</v>
      </c>
      <c r="EL4" t="n" s="515">
        <v>-2.7290306091308594</v>
      </c>
      <c r="EM4" t="n" s="515">
        <v>-2.830669403076172</v>
      </c>
      <c r="EN4" t="n" s="515">
        <v>-2.8269314765930176</v>
      </c>
      <c r="EO4" t="n" s="515">
        <v>-2.816718101501465</v>
      </c>
      <c r="EP4" t="n" s="515">
        <v>-2.8449349403381348</v>
      </c>
      <c r="EQ4" t="n" s="515">
        <v>-2.929189920425415</v>
      </c>
      <c r="ER4" t="n" s="515">
        <v>-2.8598294258117676</v>
      </c>
      <c r="ES4" t="n" s="515">
        <v>-2.152235746383667</v>
      </c>
      <c r="ET4" t="n" s="515">
        <v>-1.5595449209213257</v>
      </c>
      <c r="EU4" t="n" s="515">
        <v>-1.229599118232727</v>
      </c>
      <c r="EV4" t="n" s="515">
        <v>-0.19434873759746552</v>
      </c>
      <c r="EW4" t="n" s="515">
        <v>-0.05747746676206589</v>
      </c>
      <c r="EX4" t="n" s="515">
        <v>0.35478460788726807</v>
      </c>
      <c r="EY4" t="n" s="515">
        <v>0.4175633490085602</v>
      </c>
      <c r="EZ4" t="n" s="515">
        <v>-0.737130343914032</v>
      </c>
      <c r="FA4" t="n" s="515">
        <v>-2.7224230766296387</v>
      </c>
      <c r="FB4" t="n" s="515">
        <v>-2.9257972240448</v>
      </c>
      <c r="FC4" t="n" s="515">
        <v>-3.002619504928589</v>
      </c>
      <c r="FD4" t="n" s="515">
        <v>-2.743839979171753</v>
      </c>
      <c r="FE4" t="n" s="515">
        <v>-2.377279281616211</v>
      </c>
      <c r="FF4" t="n" s="515">
        <v>-2.91343092918396</v>
      </c>
      <c r="FG4" t="n" s="515">
        <v>-2.4503796100616455</v>
      </c>
      <c r="FH4" t="n" s="515">
        <v>-2.180119514465332</v>
      </c>
      <c r="FI4" t="n" s="515">
        <v>-1.4588675498962402</v>
      </c>
      <c r="FJ4" t="n" s="515">
        <v>-0.6864063143730164</v>
      </c>
      <c r="FK4" t="n" s="515">
        <v>-2.366290330886841</v>
      </c>
      <c r="FL4" t="n" s="515">
        <v>-2.3930299282073975</v>
      </c>
      <c r="FM4" t="n" s="515">
        <v>-2.429687976837158</v>
      </c>
      <c r="FN4" t="n" s="515">
        <v>-0.8152443170547485</v>
      </c>
      <c r="FO4" t="n" s="515">
        <v>-1.1894984245300293</v>
      </c>
      <c r="FP4" t="n" s="515">
        <v>-1.180172324180603</v>
      </c>
      <c r="FQ4" t="n" s="515">
        <v>-0.23420311510562897</v>
      </c>
      <c r="FR4" t="n" s="515">
        <v>-0.2243700623512268</v>
      </c>
      <c r="FS4" t="n" s="515">
        <v>-0.3066185712814331</v>
      </c>
      <c r="FT4" t="n" s="515">
        <v>-0.10288180410861969</v>
      </c>
      <c r="FU4" t="n" s="515">
        <v>-0.09218411147594452</v>
      </c>
      <c r="FV4" t="n" s="515">
        <v>0.5612242221832275</v>
      </c>
      <c r="FW4" t="n" s="515">
        <v>0.7580016851425171</v>
      </c>
      <c r="FX4" t="n" s="515">
        <v>1.0956023931503296</v>
      </c>
      <c r="FY4" t="n" s="515">
        <v>0.7490342855453491</v>
      </c>
      <c r="FZ4" t="n" s="515">
        <v>0.47830677032470703</v>
      </c>
      <c r="GA4" t="n" s="515">
        <v>0.34725916385650635</v>
      </c>
      <c r="GB4" t="n" s="515">
        <v>0.7076795101165771</v>
      </c>
      <c r="GC4" t="n" s="515">
        <v>0.5937759876251221</v>
      </c>
      <c r="GD4" t="n" s="515">
        <v>0.38985762000083923</v>
      </c>
      <c r="GE4" t="n" s="515">
        <v>0.2595735192298889</v>
      </c>
      <c r="GF4" t="n" s="515">
        <v>0.42086511850357056</v>
      </c>
      <c r="GG4" t="n" s="515">
        <v>0.41504818201065063</v>
      </c>
      <c r="GH4" t="n" s="515">
        <v>0.7244641184806824</v>
      </c>
      <c r="GI4" t="n" s="515">
        <v>0.879870593547821</v>
      </c>
      <c r="GJ4" t="n" s="515">
        <v>0.8083698749542236</v>
      </c>
      <c r="GK4" t="n" s="515">
        <v>0.7964047193527222</v>
      </c>
      <c r="GL4" t="n" s="515">
        <v>0.6665148138999939</v>
      </c>
      <c r="GM4" t="n" s="515">
        <v>0.5494573712348938</v>
      </c>
      <c r="GN4" t="n" s="515">
        <v>0.4429476261138916</v>
      </c>
      <c r="GO4" t="n" s="515">
        <v>0.24960944056510925</v>
      </c>
      <c r="GP4" t="n" s="515">
        <v>0.27035069465637207</v>
      </c>
      <c r="GQ4" t="n" s="515">
        <v>-0.6008976101875305</v>
      </c>
      <c r="GR4" t="n" s="515">
        <v>-1.0960644483566284</v>
      </c>
      <c r="GS4" t="n" s="515">
        <v>-1.7045782804489136</v>
      </c>
      <c r="GT4" t="n" s="515">
        <v>-2.4510724544525146</v>
      </c>
      <c r="GU4" t="n" s="515">
        <v>-1.7912638187408447</v>
      </c>
      <c r="GV4" t="n" s="515">
        <v>-2.342938184738159</v>
      </c>
      <c r="GW4" t="n" s="515">
        <v>-2.5571181774139404</v>
      </c>
      <c r="GX4" t="n" s="515">
        <v>-2.3786401748657227</v>
      </c>
      <c r="GY4" t="n" s="515">
        <v>-2.5118277072906494</v>
      </c>
      <c r="GZ4" t="n" s="515">
        <v>-2.235238790512085</v>
      </c>
      <c r="HA4" t="n" s="515">
        <v>-1.9715560674667358</v>
      </c>
      <c r="HB4" t="n" s="515">
        <v>-1.189935564994812</v>
      </c>
      <c r="HC4" t="n" s="515">
        <v>-1.5772802829742432</v>
      </c>
      <c r="HD4" t="n" s="515">
        <v>-2.212336301803589</v>
      </c>
      <c r="HE4" t="n" s="515">
        <v>-1.6187999248504639</v>
      </c>
      <c r="HF4" t="n" s="515">
        <v>-3.101764440536499</v>
      </c>
      <c r="HG4" t="n" s="515">
        <v>-3.5724377632141113</v>
      </c>
      <c r="HH4" t="n" s="515">
        <v>-4.093626022338867</v>
      </c>
      <c r="HI4" t="n" s="515">
        <v>-4.17241907119751</v>
      </c>
      <c r="HJ4" t="n" s="515">
        <v>-4.034140110015869</v>
      </c>
      <c r="HK4" t="n" s="515">
        <v>-3.684664487838745</v>
      </c>
      <c r="HL4" t="n" s="515">
        <v>-3.824089527130127</v>
      </c>
      <c r="HM4" t="n" s="515">
        <v>-4.166565418243408</v>
      </c>
      <c r="HN4" t="n" s="515">
        <v>-4.221311092376709</v>
      </c>
      <c r="HO4" t="n" s="515">
        <v>-4.182265281677246</v>
      </c>
      <c r="HP4" t="n" s="515">
        <v>-3.9509096145629883</v>
      </c>
      <c r="HQ4" t="n" s="515">
        <v>-2.197498083114624</v>
      </c>
      <c r="HR4" t="n" s="515">
        <v>-2.2332842350006104</v>
      </c>
      <c r="HS4" t="n" s="515">
        <v>-3.966923952102661</v>
      </c>
      <c r="HT4" t="n" s="515">
        <v>-3.1147501468658447</v>
      </c>
      <c r="HU4" t="n" s="515">
        <v>-2.485830783843994</v>
      </c>
      <c r="HV4" t="n" s="515">
        <v>-4.422974586486816</v>
      </c>
      <c r="HW4" t="n" s="515">
        <v>-4.909221649169922</v>
      </c>
      <c r="HX4" t="n" s="515">
        <v>-5.401132106781006</v>
      </c>
      <c r="HY4" t="n" s="515">
        <v>-2.9168002605438232</v>
      </c>
      <c r="HZ4" t="n" s="515">
        <v>-2.9332308769226074</v>
      </c>
      <c r="IA4" t="n" s="515">
        <v>-3.958831548690796</v>
      </c>
      <c r="IB4" t="n" s="515">
        <v>-3.1198208332061768</v>
      </c>
      <c r="IC4" t="n" s="515">
        <v>-4.625384330749512</v>
      </c>
    </row>
    <row r="5">
      <c r="A5" s="514">
        <f>A4+ABS(B5-B4)</f>
      </c>
      <c r="B5" s="514">
        <f>36.0/12</f>
      </c>
      <c r="C5" t="n" s="514">
        <v>36.0</v>
      </c>
      <c r="D5" t="n" s="515">
        <v>-1.5286823511123657</v>
      </c>
      <c r="E5" t="n" s="515">
        <v>-5.360099792480469</v>
      </c>
      <c r="F5" t="n" s="515">
        <v>-5.541501045227051</v>
      </c>
      <c r="G5" t="n" s="515">
        <v>-1.2132154703140259</v>
      </c>
      <c r="H5" t="n" s="515">
        <v>-1.2110544443130493</v>
      </c>
      <c r="I5" t="n" s="515">
        <v>-1.3848167657852173</v>
      </c>
      <c r="J5" t="n" s="515">
        <v>-1.63404381275177</v>
      </c>
      <c r="K5" t="n" s="515">
        <v>-1.8815125226974487</v>
      </c>
      <c r="L5" t="n" s="515">
        <v>-2.0011074542999268</v>
      </c>
      <c r="M5" t="n" s="515">
        <v>-2.029076099395752</v>
      </c>
      <c r="N5" t="n" s="515">
        <v>-2.0118210315704346</v>
      </c>
      <c r="O5" t="n" s="515">
        <v>-1.9435211420059204</v>
      </c>
      <c r="P5" t="n" s="515">
        <v>-1.7643934488296509</v>
      </c>
      <c r="Q5" t="n" s="515">
        <v>-1.6175898313522339</v>
      </c>
      <c r="R5" t="n" s="515">
        <v>-1.6220039129257202</v>
      </c>
      <c r="S5" t="n" s="515">
        <v>-1.5836267471313477</v>
      </c>
      <c r="T5" t="n" s="515">
        <v>-1.5557496547698975</v>
      </c>
      <c r="U5" t="n" s="515">
        <v>-1.4724016189575195</v>
      </c>
      <c r="V5" t="n" s="515">
        <v>-1.5515891313552856</v>
      </c>
      <c r="W5" t="n" s="515">
        <v>-1.5782088041305542</v>
      </c>
      <c r="X5" t="n" s="515">
        <v>-1.5162665843963623</v>
      </c>
      <c r="Y5" t="n" s="515">
        <v>-1.3887500762939453</v>
      </c>
      <c r="Z5" t="n" s="515">
        <v>-1.3877100944519043</v>
      </c>
      <c r="AA5" t="n" s="515">
        <v>-1.5218738317489624</v>
      </c>
      <c r="AB5" t="n" s="515">
        <v>-1.5569212436676025</v>
      </c>
      <c r="AC5" t="n" s="515">
        <v>-1.5549031496047974</v>
      </c>
      <c r="AD5" t="n" s="515">
        <v>-1.472379207611084</v>
      </c>
      <c r="AE5" t="n" s="515">
        <v>-1.418736457824707</v>
      </c>
      <c r="AF5" t="n" s="515">
        <v>-1.3920661211013794</v>
      </c>
      <c r="AG5" t="n" s="515">
        <v>-1.3770049810409546</v>
      </c>
      <c r="AH5" t="n" s="515">
        <v>-1.253795862197876</v>
      </c>
      <c r="AI5" t="n" s="515">
        <v>-1.1349953413009644</v>
      </c>
      <c r="AJ5" t="n" s="515">
        <v>-1.0527716875076294</v>
      </c>
      <c r="AK5" t="n" s="515">
        <v>-0.9321892857551575</v>
      </c>
      <c r="AL5" t="n" s="515">
        <v>-0.9652111530303955</v>
      </c>
      <c r="AM5" t="n" s="515">
        <v>-0.8669246435165405</v>
      </c>
      <c r="AN5" t="n" s="515">
        <v>-0.9251596927642822</v>
      </c>
      <c r="AO5" t="n" s="515">
        <v>-1.0276798009872437</v>
      </c>
      <c r="AP5" t="n" s="515">
        <v>-0.9599936008453369</v>
      </c>
      <c r="AQ5" t="n" s="515">
        <v>-0.7687207460403442</v>
      </c>
      <c r="AR5" t="n" s="515">
        <v>-0.595078706741333</v>
      </c>
      <c r="AS5" t="n" s="515">
        <v>-0.5573800802230835</v>
      </c>
      <c r="AT5" t="n" s="515">
        <v>-0.47569745779037476</v>
      </c>
      <c r="AU5" t="n" s="515">
        <v>-0.31949394941329956</v>
      </c>
      <c r="AV5" t="n" s="515">
        <v>-0.2319360226392746</v>
      </c>
      <c r="AW5" t="n" s="515">
        <v>-0.20029616355895996</v>
      </c>
      <c r="AX5" t="n" s="515">
        <v>-0.18530172109603882</v>
      </c>
      <c r="AY5" t="n" s="515">
        <v>-0.1586444079875946</v>
      </c>
      <c r="AZ5" t="n" s="515">
        <v>-0.005202798172831535</v>
      </c>
      <c r="BA5" t="n" s="515">
        <v>0.16782987117767334</v>
      </c>
      <c r="BB5" t="n" s="515">
        <v>0.3491266071796417</v>
      </c>
      <c r="BC5" t="n" s="515">
        <v>0.49741464853286743</v>
      </c>
      <c r="BD5" t="n" s="515">
        <v>0.620339572429657</v>
      </c>
      <c r="BE5" t="n" s="515">
        <v>0.7579283714294434</v>
      </c>
      <c r="BF5" t="n" s="515">
        <v>0.7454981207847595</v>
      </c>
      <c r="BG5" t="n" s="515">
        <v>0.6663811206817627</v>
      </c>
      <c r="BH5" t="n" s="515">
        <v>0.6330825090408325</v>
      </c>
      <c r="BI5" t="n" s="515">
        <v>0.6814442873001099</v>
      </c>
      <c r="BJ5" t="n" s="515">
        <v>0.8839787840843201</v>
      </c>
      <c r="BK5" t="n" s="515">
        <v>1.1093814373016357</v>
      </c>
      <c r="BL5" t="n" s="515">
        <v>0.9686093330383301</v>
      </c>
      <c r="BM5" t="n" s="515">
        <v>1.0223280191421509</v>
      </c>
      <c r="BN5" t="n" s="515">
        <v>0.9787997603416443</v>
      </c>
      <c r="BO5" t="n" s="515">
        <v>0.9258084893226624</v>
      </c>
      <c r="BP5" t="n" s="515">
        <v>0.7744978070259094</v>
      </c>
      <c r="BQ5" t="n" s="515">
        <v>0.6415389776229858</v>
      </c>
      <c r="BR5" t="n" s="515">
        <v>0.6005052328109741</v>
      </c>
      <c r="BS5" t="n" s="515">
        <v>0.5949497222900391</v>
      </c>
      <c r="BT5" t="n" s="515">
        <v>0.6242960691452026</v>
      </c>
      <c r="BU5" t="n" s="515">
        <v>0.590919554233551</v>
      </c>
      <c r="BV5" t="n" s="515">
        <v>0.5175113677978516</v>
      </c>
      <c r="BW5" t="n" s="515">
        <v>0.39387378096580505</v>
      </c>
      <c r="BX5" t="n" s="515">
        <v>0.18727101385593414</v>
      </c>
      <c r="BY5" t="n" s="515">
        <v>-0.43835100531578064</v>
      </c>
      <c r="BZ5" t="n" s="515">
        <v>-0.34695112705230713</v>
      </c>
      <c r="CA5" t="n" s="515">
        <v>-0.23102299869060516</v>
      </c>
      <c r="CB5" t="n" s="515">
        <v>-0.0625535175204277</v>
      </c>
      <c r="CC5" t="n" s="515">
        <v>0.7187366485595703</v>
      </c>
      <c r="CD5" t="n" s="515">
        <v>-1.276618480682373</v>
      </c>
      <c r="CE5" t="n" s="515">
        <v>0.29844990372657776</v>
      </c>
      <c r="CF5" t="n" s="515">
        <v>-0.701299250125885</v>
      </c>
      <c r="CG5" t="n" s="515">
        <v>-1.1134986877441406</v>
      </c>
      <c r="CH5" t="n" s="515">
        <v>-1.6702128648757935</v>
      </c>
      <c r="CI5" t="n" s="515">
        <v>-2.7663652896881104</v>
      </c>
      <c r="CJ5" t="n" s="515">
        <v>0.5584766864776611</v>
      </c>
      <c r="CK5" t="n" s="515">
        <v>-0.10732671618461609</v>
      </c>
      <c r="CL5" t="n" s="515">
        <v>-0.562268853187561</v>
      </c>
      <c r="CM5" t="n" s="515">
        <v>-5.268143653869629</v>
      </c>
      <c r="CN5" t="n" s="515">
        <v>0.11009426414966583</v>
      </c>
      <c r="CO5" t="n" s="515">
        <v>1.8962903022766113</v>
      </c>
      <c r="CP5" t="n" s="515">
        <v>1.7400988340377808</v>
      </c>
      <c r="CQ5" t="n" s="515">
        <v>1.8868097066879272</v>
      </c>
      <c r="CR5" t="n" s="515">
        <v>1.7285758256912231</v>
      </c>
      <c r="CS5" t="n" s="515">
        <v>1.6900209188461304</v>
      </c>
      <c r="CT5" t="n" s="515">
        <v>2.1039066314697266</v>
      </c>
      <c r="CU5" t="n" s="515">
        <v>2.121613025665283</v>
      </c>
      <c r="CV5" t="n" s="515">
        <v>2.2391533851623535</v>
      </c>
      <c r="CW5" t="n" s="515">
        <v>2.3948469161987305</v>
      </c>
      <c r="CX5" t="n" s="515">
        <v>2.5645968914031982</v>
      </c>
      <c r="CY5" t="n" s="515">
        <v>2.685356616973877</v>
      </c>
      <c r="CZ5" t="n" s="515">
        <v>2.7392659187316895</v>
      </c>
      <c r="DA5" t="n" s="515">
        <v>2.7530200481414795</v>
      </c>
      <c r="DB5" t="n" s="515">
        <v>2.8059380054473877</v>
      </c>
      <c r="DC5" t="n" s="515">
        <v>2.8470776081085205</v>
      </c>
      <c r="DD5" t="n" s="515">
        <v>2.92708420753479</v>
      </c>
      <c r="DE5" t="n" s="515">
        <v>3.0397098064422607</v>
      </c>
      <c r="DF5" t="n" s="515">
        <v>3.1427831649780273</v>
      </c>
      <c r="DG5" t="n" s="515">
        <v>3.3017570972442627</v>
      </c>
      <c r="DH5" t="n" s="515">
        <v>3.3693881034851074</v>
      </c>
      <c r="DI5" t="n" s="515">
        <v>3.449910879135132</v>
      </c>
      <c r="DJ5" t="n" s="515">
        <v>3.4814453125</v>
      </c>
      <c r="DK5" t="n" s="515">
        <v>3.537872314453125</v>
      </c>
      <c r="DL5" t="n" s="515">
        <v>3.616950035095215</v>
      </c>
      <c r="DM5" t="n" s="515">
        <v>3.6547505855560303</v>
      </c>
      <c r="DN5" t="n" s="515">
        <v>3.566715717315674</v>
      </c>
      <c r="DO5" t="n" s="515">
        <v>3.4236016273498535</v>
      </c>
      <c r="DP5" t="n" s="515">
        <v>3.2886829376220703</v>
      </c>
      <c r="DQ5" t="n" s="515">
        <v>3.1275808811187744</v>
      </c>
      <c r="DR5" t="n" s="515">
        <v>2.915853977203369</v>
      </c>
      <c r="DS5" t="n" s="515">
        <v>2.7321290969848633</v>
      </c>
      <c r="DT5" t="n" s="515">
        <v>2.623138904571533</v>
      </c>
      <c r="DU5" t="n" s="515">
        <v>2.544468879699707</v>
      </c>
      <c r="DV5" t="n" s="515">
        <v>2.514486312866211</v>
      </c>
      <c r="DW5" t="n" s="515">
        <v>2.4797708988189697</v>
      </c>
      <c r="DX5" t="n" s="515">
        <v>2.4294261932373047</v>
      </c>
      <c r="DY5" t="n" s="515">
        <v>1.7663350105285645</v>
      </c>
      <c r="DZ5" t="n" s="515">
        <v>-0.31619709730148315</v>
      </c>
      <c r="EA5" t="n" s="515">
        <v>2.2876579761505127</v>
      </c>
      <c r="EB5" t="n" s="515">
        <v>2.4216861724853516</v>
      </c>
      <c r="EC5" t="n" s="515">
        <v>1.5689607858657837</v>
      </c>
      <c r="ED5" t="n" s="515">
        <v>2.282311201095581</v>
      </c>
      <c r="EE5" t="n" s="515">
        <v>3.1689507961273193</v>
      </c>
      <c r="EF5" t="n" s="515">
        <v>3.212587594985962</v>
      </c>
      <c r="EG5" t="n" s="515">
        <v>3.145472526550293</v>
      </c>
      <c r="EH5" t="n" s="515">
        <v>3.0054967403411865</v>
      </c>
      <c r="EI5" t="n" s="515">
        <v>2.7136240005493164</v>
      </c>
      <c r="EJ5" t="n" s="515">
        <v>2.370274543762207</v>
      </c>
      <c r="EK5" t="n" s="515">
        <v>2.113640546798706</v>
      </c>
      <c r="EL5" t="n" s="515">
        <v>1.9609307050704956</v>
      </c>
      <c r="EM5" t="n" s="515">
        <v>2.0267014503479004</v>
      </c>
      <c r="EN5" t="n" s="515">
        <v>2.0441174507141113</v>
      </c>
      <c r="EO5" t="n" s="515">
        <v>2.1469929218292236</v>
      </c>
      <c r="EP5" t="n" s="515">
        <v>2.140528917312622</v>
      </c>
      <c r="EQ5" t="n" s="515">
        <v>2.141685962677002</v>
      </c>
      <c r="ER5" t="n" s="515">
        <v>2.0340044498443604</v>
      </c>
      <c r="ES5" t="n" s="515">
        <v>1.957352876663208</v>
      </c>
      <c r="ET5" t="n" s="515">
        <v>1.9707807302474976</v>
      </c>
      <c r="EU5" t="n" s="515">
        <v>2.0806124210357666</v>
      </c>
      <c r="EV5" t="n" s="515">
        <v>2.3181333541870117</v>
      </c>
      <c r="EW5" t="n" s="515">
        <v>2.526557445526123</v>
      </c>
      <c r="EX5" t="n" s="515">
        <v>2.5664260387420654</v>
      </c>
      <c r="EY5" t="n" s="515">
        <v>2.511059284210205</v>
      </c>
      <c r="EZ5" t="n" s="515">
        <v>1.304545283317566</v>
      </c>
      <c r="FA5" t="n" s="515">
        <v>1.954838514328003</v>
      </c>
      <c r="FB5" t="n" s="515">
        <v>1.6489335298538208</v>
      </c>
      <c r="FC5" t="n" s="515">
        <v>1.508851170539856</v>
      </c>
      <c r="FD5" t="n" s="515">
        <v>1.4471534490585327</v>
      </c>
      <c r="FE5" t="n" s="515">
        <v>1.46493661403656</v>
      </c>
      <c r="FF5" t="n" s="515">
        <v>1.5612976551055908</v>
      </c>
      <c r="FG5" t="n" s="515">
        <v>1.6341651678085327</v>
      </c>
      <c r="FH5" t="n" s="515">
        <v>1.6138604879379272</v>
      </c>
      <c r="FI5" t="n" s="515">
        <v>1.6076653003692627</v>
      </c>
      <c r="FJ5" t="n" s="515">
        <v>1.6787140369415283</v>
      </c>
      <c r="FK5" t="n" s="515">
        <v>1.6594651937484741</v>
      </c>
      <c r="FL5" t="n" s="515">
        <v>1.6707106828689575</v>
      </c>
      <c r="FM5" t="n" s="515">
        <v>1.7848424911499023</v>
      </c>
      <c r="FN5" t="n" s="515">
        <v>1.551720142364502</v>
      </c>
      <c r="FO5" t="n" s="515">
        <v>2.1104111671447754</v>
      </c>
      <c r="FP5" t="n" s="515">
        <v>2.0415475368499756</v>
      </c>
      <c r="FQ5" t="n" s="515">
        <v>1.9900202751159668</v>
      </c>
      <c r="FR5" t="n" s="515">
        <v>1.8343135118484497</v>
      </c>
      <c r="FS5" t="n" s="515">
        <v>1.6166868209838867</v>
      </c>
      <c r="FT5" t="n" s="515">
        <v>1.4869455099105835</v>
      </c>
      <c r="FU5" t="n" s="515">
        <v>1.3487603664398193</v>
      </c>
      <c r="FV5" t="n" s="515">
        <v>1.230836033821106</v>
      </c>
      <c r="FW5" t="n" s="515">
        <v>1.1505979299545288</v>
      </c>
      <c r="FX5" t="n" s="515">
        <v>1.0848443508148193</v>
      </c>
      <c r="FY5" t="n" s="515">
        <v>1.02792489528656</v>
      </c>
      <c r="FZ5" t="n" s="515">
        <v>0.8996339440345764</v>
      </c>
      <c r="GA5" t="n" s="515">
        <v>0.8170936107635498</v>
      </c>
      <c r="GB5" t="n" s="515">
        <v>0.7142564654350281</v>
      </c>
      <c r="GC5" t="n" s="515">
        <v>0.5048809051513672</v>
      </c>
      <c r="GD5" t="n" s="515">
        <v>0.45779988169670105</v>
      </c>
      <c r="GE5" t="n" s="515">
        <v>0.4511990249156952</v>
      </c>
      <c r="GF5" t="n" s="515">
        <v>0.4798395037651062</v>
      </c>
      <c r="GG5" t="n" s="515">
        <v>0.4835696816444397</v>
      </c>
      <c r="GH5" t="n" s="515">
        <v>0.4834270477294922</v>
      </c>
      <c r="GI5" t="n" s="515">
        <v>0.43353506922721863</v>
      </c>
      <c r="GJ5" t="n" s="515">
        <v>0.36264482140541077</v>
      </c>
      <c r="GK5" t="n" s="515">
        <v>0.3045556843280792</v>
      </c>
      <c r="GL5" t="n" s="515">
        <v>0.23638282716274261</v>
      </c>
      <c r="GM5" t="n" s="515">
        <v>0.13112857937812805</v>
      </c>
      <c r="GN5" t="n" s="515">
        <v>0.10504812747240067</v>
      </c>
      <c r="GO5" t="n" s="515">
        <v>0.07737663388252258</v>
      </c>
      <c r="GP5" t="n" s="515">
        <v>0.021239645779132843</v>
      </c>
      <c r="GQ5" t="n" s="515">
        <v>-0.06482269614934921</v>
      </c>
      <c r="GR5" t="n" s="515">
        <v>-0.214403435587883</v>
      </c>
      <c r="GS5" t="n" s="515">
        <v>-0.34641897678375244</v>
      </c>
      <c r="GT5" t="n" s="515">
        <v>-0.39395007491111755</v>
      </c>
      <c r="GU5" t="n" s="515">
        <v>-0.5662437677383423</v>
      </c>
      <c r="GV5" t="n" s="515">
        <v>-0.6918814778327942</v>
      </c>
      <c r="GW5" t="n" s="515">
        <v>-0.8425501585006714</v>
      </c>
      <c r="GX5" t="n" s="515">
        <v>-0.8344783186912537</v>
      </c>
      <c r="GY5" t="n" s="515">
        <v>-0.7843102812767029</v>
      </c>
      <c r="GZ5" t="n" s="515">
        <v>-0.7810932397842407</v>
      </c>
      <c r="HA5" t="n" s="515">
        <v>-0.8077128529548645</v>
      </c>
      <c r="HB5" t="n" s="515">
        <v>-0.8630136251449585</v>
      </c>
      <c r="HC5" t="n" s="515">
        <v>-0.9924099445343018</v>
      </c>
      <c r="HD5" t="n" s="515">
        <v>-1.1569697856903076</v>
      </c>
      <c r="HE5" t="n" s="515">
        <v>-1.3023384809494019</v>
      </c>
      <c r="HF5" t="n" s="515">
        <v>-1.4871145486831665</v>
      </c>
      <c r="HG5" t="n" s="515">
        <v>-1.568096399307251</v>
      </c>
      <c r="HH5" t="n" s="515">
        <v>-1.500466227531433</v>
      </c>
      <c r="HI5" t="n" s="515">
        <v>-1.4636567831039429</v>
      </c>
      <c r="HJ5" t="n" s="515">
        <v>-1.45879065990448</v>
      </c>
      <c r="HK5" t="n" s="515">
        <v>-1.6168392896652222</v>
      </c>
      <c r="HL5" t="n" s="515">
        <v>-1.5096561908721924</v>
      </c>
      <c r="HM5" t="n" s="515">
        <v>-1.5447964668273926</v>
      </c>
      <c r="HN5" t="n" s="515">
        <v>-1.464190125465393</v>
      </c>
      <c r="HO5" t="n" s="515">
        <v>-1.5473560094833374</v>
      </c>
      <c r="HP5" t="n" s="515">
        <v>-1.5472826957702637</v>
      </c>
      <c r="HQ5" t="n" s="515">
        <v>-1.5861600637435913</v>
      </c>
      <c r="HR5" t="n" s="515">
        <v>-1.6512978076934814</v>
      </c>
      <c r="HS5" t="n" s="515">
        <v>-1.742539882659912</v>
      </c>
      <c r="HT5" t="n" s="515">
        <v>-1.8373583555221558</v>
      </c>
      <c r="HU5" t="n" s="515">
        <v>-1.896323323249817</v>
      </c>
      <c r="HV5" t="n" s="515">
        <v>-1.9454810619354248</v>
      </c>
      <c r="HW5" t="n" s="515">
        <v>-2.0276527404785156</v>
      </c>
      <c r="HX5" t="n" s="515">
        <v>-2.052203416824341</v>
      </c>
      <c r="HY5" t="n" s="515">
        <v>-2.052438497543335</v>
      </c>
      <c r="HZ5" t="n" s="515">
        <v>-1.801411747932434</v>
      </c>
      <c r="IA5" t="n" s="515">
        <v>-1.6038225889205933</v>
      </c>
      <c r="IB5" t="n" s="515">
        <v>-1.4879810810089111</v>
      </c>
      <c r="IC5" t="n" s="515">
        <v>-1.4612399339675903</v>
      </c>
    </row>
    <row r="6">
      <c r="A6" s="514">
        <f>A5+ABS(B6-B5)</f>
      </c>
      <c r="B6" s="514">
        <f>84.0/12</f>
      </c>
      <c r="C6" t="n" s="514">
        <v>84.0</v>
      </c>
      <c r="D6" t="n" s="515">
        <v>0.789850652217865</v>
      </c>
      <c r="E6" t="n" s="515">
        <v>0.9087859988212585</v>
      </c>
      <c r="F6" t="n" s="515">
        <v>1.0171467065811157</v>
      </c>
      <c r="G6" t="n" s="515">
        <v>1.0658414363861084</v>
      </c>
      <c r="H6" t="n" s="515">
        <v>0.630099356174469</v>
      </c>
      <c r="I6" t="n" s="515">
        <v>0.021276410669088364</v>
      </c>
      <c r="J6" t="n" s="515">
        <v>-0.5821211338043213</v>
      </c>
      <c r="K6" t="n" s="515">
        <v>-1.2379833459854126</v>
      </c>
      <c r="L6" t="n" s="515">
        <v>-1.78891122341156</v>
      </c>
      <c r="M6" t="n" s="515">
        <v>-2.0293354988098145</v>
      </c>
      <c r="N6" t="n" s="515">
        <v>-2.066441059112549</v>
      </c>
      <c r="O6" t="n" s="515">
        <v>-1.924496054649353</v>
      </c>
      <c r="P6" t="n" s="515">
        <v>-1.7826247215270996</v>
      </c>
      <c r="Q6" t="n" s="515">
        <v>-1.667222499847412</v>
      </c>
      <c r="R6" t="n" s="515">
        <v>-1.6861860752105713</v>
      </c>
      <c r="S6" t="n" s="515">
        <v>-1.7214361429214478</v>
      </c>
      <c r="T6" t="n" s="515">
        <v>-1.7785528898239136</v>
      </c>
      <c r="U6" t="n" s="515">
        <v>-1.7610682249069214</v>
      </c>
      <c r="V6" t="n" s="515">
        <v>-1.710241436958313</v>
      </c>
      <c r="W6" t="n" s="515">
        <v>-1.67946457862854</v>
      </c>
      <c r="X6" t="n" s="515">
        <v>-1.647392749786377</v>
      </c>
      <c r="Y6" t="n" s="515">
        <v>-1.635442852973938</v>
      </c>
      <c r="Z6" t="n" s="515">
        <v>-1.7530075311660767</v>
      </c>
      <c r="AA6" t="n" s="515">
        <v>-1.7776786088943481</v>
      </c>
      <c r="AB6" t="n" s="515">
        <v>-1.6253905296325684</v>
      </c>
      <c r="AC6" t="n" s="515">
        <v>-1.5795619487762451</v>
      </c>
      <c r="AD6" t="n" s="515">
        <v>-1.5311863422393799</v>
      </c>
      <c r="AE6" t="n" s="515">
        <v>-1.5015828609466553</v>
      </c>
      <c r="AF6" t="n" s="515">
        <v>-1.4975314140319824</v>
      </c>
      <c r="AG6" t="n" s="515">
        <v>-1.4718258380889893</v>
      </c>
      <c r="AH6" t="n" s="515">
        <v>-1.3966423273086548</v>
      </c>
      <c r="AI6" t="n" s="515">
        <v>-1.2991210222244263</v>
      </c>
      <c r="AJ6" t="n" s="515">
        <v>-1.1600487232208252</v>
      </c>
      <c r="AK6" t="n" s="515">
        <v>-1.033767819404602</v>
      </c>
      <c r="AL6" t="n" s="515">
        <v>-0.9883214831352234</v>
      </c>
      <c r="AM6" t="n" s="515">
        <v>-0.8657801747322083</v>
      </c>
      <c r="AN6" t="n" s="515">
        <v>-0.845431387424469</v>
      </c>
      <c r="AO6" t="n" s="515">
        <v>-0.874760627746582</v>
      </c>
      <c r="AP6" t="n" s="515">
        <v>-0.8708389401435852</v>
      </c>
      <c r="AQ6" t="n" s="515">
        <v>-0.8729268908500671</v>
      </c>
      <c r="AR6" t="n" s="515">
        <v>-0.8099043965339661</v>
      </c>
      <c r="AS6" t="n" s="515">
        <v>-0.8448067903518677</v>
      </c>
      <c r="AT6" t="n" s="515">
        <v>-0.8075037598609924</v>
      </c>
      <c r="AU6" t="n" s="515">
        <v>-0.7453767657279968</v>
      </c>
      <c r="AV6" t="n" s="515">
        <v>-0.610105037689209</v>
      </c>
      <c r="AW6" t="n" s="515">
        <v>-0.5031498670578003</v>
      </c>
      <c r="AX6" t="n" s="515">
        <v>-0.3985220491886139</v>
      </c>
      <c r="AY6" t="n" s="515">
        <v>-0.302247017621994</v>
      </c>
      <c r="AZ6" t="n" s="515">
        <v>-0.16052058339118958</v>
      </c>
      <c r="BA6" t="n" s="515">
        <v>0.0027184125501662493</v>
      </c>
      <c r="BB6" t="n" s="515">
        <v>0.16244003176689148</v>
      </c>
      <c r="BC6" t="n" s="515">
        <v>0.3262939751148224</v>
      </c>
      <c r="BD6" t="n" s="515">
        <v>0.45948243141174316</v>
      </c>
      <c r="BE6" t="n" s="515">
        <v>0.5778483152389526</v>
      </c>
      <c r="BF6" t="n" s="515">
        <v>0.619502067565918</v>
      </c>
      <c r="BG6" t="n" s="515">
        <v>0.6191590428352356</v>
      </c>
      <c r="BH6" t="n" s="515">
        <v>0.6430845856666565</v>
      </c>
      <c r="BI6" t="n" s="515">
        <v>0.6572161912918091</v>
      </c>
      <c r="BJ6" t="n" s="515">
        <v>0.7982495427131653</v>
      </c>
      <c r="BK6" t="n" s="515">
        <v>0.9759066104888916</v>
      </c>
      <c r="BL6" t="n" s="515">
        <v>1.022820234298706</v>
      </c>
      <c r="BM6" t="n" s="515">
        <v>1.0605822801589966</v>
      </c>
      <c r="BN6" t="n" s="515">
        <v>1.0521034002304077</v>
      </c>
      <c r="BO6" t="n" s="515">
        <v>1.0516713857650757</v>
      </c>
      <c r="BP6" t="n" s="515">
        <v>0.9545033574104309</v>
      </c>
      <c r="BQ6" t="n" s="515">
        <v>0.7921888828277588</v>
      </c>
      <c r="BR6" t="n" s="515">
        <v>0.6814238429069519</v>
      </c>
      <c r="BS6" t="n" s="515">
        <v>0.6144858598709106</v>
      </c>
      <c r="BT6" t="n" s="515">
        <v>0.515645444393158</v>
      </c>
      <c r="BU6" t="n" s="515">
        <v>0.32044094800949097</v>
      </c>
      <c r="BV6" t="n" s="515">
        <v>0.08717932552099228</v>
      </c>
      <c r="BW6" t="n" s="515">
        <v>-0.17121995985507965</v>
      </c>
      <c r="BX6" t="n" s="515">
        <v>-0.6101211905479431</v>
      </c>
      <c r="BY6" t="n" s="515">
        <v>-0.7811500430107117</v>
      </c>
      <c r="BZ6" t="n" s="515">
        <v>-0.8352223634719849</v>
      </c>
      <c r="CA6" t="n" s="515">
        <v>-0.7847508788108826</v>
      </c>
      <c r="CB6" t="n" s="515">
        <v>-0.4716695249080658</v>
      </c>
      <c r="CC6" t="n" s="515">
        <v>0.024909386411309242</v>
      </c>
      <c r="CD6" t="n" s="515">
        <v>0.1385779082775116</v>
      </c>
      <c r="CE6" t="n" s="515">
        <v>0.5218679308891296</v>
      </c>
      <c r="CF6" t="n" s="515">
        <v>0.9431490898132324</v>
      </c>
      <c r="CG6" t="n" s="515">
        <v>1.3142367601394653</v>
      </c>
      <c r="CH6" t="n" s="515">
        <v>1.5074878931045532</v>
      </c>
      <c r="CI6" t="n" s="515">
        <v>1.7274383306503296</v>
      </c>
      <c r="CJ6" t="n" s="515">
        <v>1.845042109489441</v>
      </c>
      <c r="CK6" t="n" s="515">
        <v>2.0175108909606934</v>
      </c>
      <c r="CL6" t="n" s="515">
        <v>1.984362006187439</v>
      </c>
      <c r="CM6" t="n" s="515">
        <v>1.883677363395691</v>
      </c>
      <c r="CN6" t="n" s="515">
        <v>1.7583329677581787</v>
      </c>
      <c r="CO6" t="n" s="515">
        <v>1.5591930150985718</v>
      </c>
      <c r="CP6" t="n" s="515">
        <v>1.4796559810638428</v>
      </c>
      <c r="CQ6" t="n" s="515">
        <v>1.4760409593582153</v>
      </c>
      <c r="CR6" t="n" s="515">
        <v>1.5263152122497559</v>
      </c>
      <c r="CS6" t="n" s="515">
        <v>0.9678117036819458</v>
      </c>
      <c r="CT6" t="n" s="515">
        <v>1.5547568798065186</v>
      </c>
      <c r="CU6" t="n" s="515">
        <v>1.5808124542236328</v>
      </c>
      <c r="CV6" t="n" s="515">
        <v>1.705406665802002</v>
      </c>
      <c r="CW6" t="n" s="515">
        <v>1.8889516592025757</v>
      </c>
      <c r="CX6" t="n" s="515">
        <v>2.1319797039031982</v>
      </c>
      <c r="CY6" t="n" s="515">
        <v>2.3355486392974854</v>
      </c>
      <c r="CZ6" t="n" s="515">
        <v>2.4431114196777344</v>
      </c>
      <c r="DA6" t="n" s="515">
        <v>2.506716251373291</v>
      </c>
      <c r="DB6" t="n" s="515">
        <v>2.5517656803131104</v>
      </c>
      <c r="DC6" t="n" s="515">
        <v>2.6122114658355713</v>
      </c>
      <c r="DD6" t="n" s="515">
        <v>2.659395217895508</v>
      </c>
      <c r="DE6" t="n" s="515">
        <v>2.768372058868408</v>
      </c>
      <c r="DF6" t="n" s="515">
        <v>2.9597249031066895</v>
      </c>
      <c r="DG6" t="n" s="515">
        <v>3.206587553024292</v>
      </c>
      <c r="DH6" t="n" s="515">
        <v>3.5027756690979004</v>
      </c>
      <c r="DI6" t="n" s="515">
        <v>3.7075908184051514</v>
      </c>
      <c r="DJ6" t="n" s="515">
        <v>3.8115177154541016</v>
      </c>
      <c r="DK6" t="n" s="515">
        <v>3.8507039546966553</v>
      </c>
      <c r="DL6" t="n" s="515">
        <v>3.7875304222106934</v>
      </c>
      <c r="DM6" t="n" s="515">
        <v>3.6586132049560547</v>
      </c>
      <c r="DN6" t="n" s="515">
        <v>3.4313530921936035</v>
      </c>
      <c r="DO6" t="n" s="515">
        <v>3.164247512817383</v>
      </c>
      <c r="DP6" t="n" s="515">
        <v>2.8839924335479736</v>
      </c>
      <c r="DQ6" t="n" s="515">
        <v>2.5820372104644775</v>
      </c>
      <c r="DR6" t="n" s="515">
        <v>2.321744203567505</v>
      </c>
      <c r="DS6" t="n" s="515">
        <v>2.095496654510498</v>
      </c>
      <c r="DT6" t="n" s="515">
        <v>1.9250952005386353</v>
      </c>
      <c r="DU6" t="n" s="515">
        <v>1.7723374366760254</v>
      </c>
      <c r="DV6" t="n" s="515">
        <v>1.6539376974105835</v>
      </c>
      <c r="DW6" t="n" s="515">
        <v>1.0610202550888062</v>
      </c>
      <c r="DX6" t="n" s="515">
        <v>-1.1131782531738281</v>
      </c>
      <c r="DY6" t="n" s="515">
        <v>1.6062331199645996</v>
      </c>
      <c r="DZ6" t="n" s="515">
        <v>1.7790656089782715</v>
      </c>
      <c r="EA6" t="n" s="515">
        <v>1.952518343925476</v>
      </c>
      <c r="EB6" t="n" s="515">
        <v>2.159223794937134</v>
      </c>
      <c r="EC6" t="n" s="515">
        <v>-0.264052152633667</v>
      </c>
      <c r="ED6" t="n" s="515">
        <v>2.664214611053467</v>
      </c>
      <c r="EE6" t="n" s="515">
        <v>2.899976968765259</v>
      </c>
      <c r="EF6" t="n" s="515">
        <v>2.9193358421325684</v>
      </c>
      <c r="EG6" t="n" s="515">
        <v>2.8469066619873047</v>
      </c>
      <c r="EH6" t="n" s="515">
        <v>2.662670612335205</v>
      </c>
      <c r="EI6" t="n" s="515">
        <v>2.4186460971832275</v>
      </c>
      <c r="EJ6" t="n" s="515">
        <v>2.1627559661865234</v>
      </c>
      <c r="EK6" t="n" s="515">
        <v>2.018799304962158</v>
      </c>
      <c r="EL6" t="n" s="515">
        <v>1.8507155179977417</v>
      </c>
      <c r="EM6" t="n" s="515">
        <v>1.7669726610183716</v>
      </c>
      <c r="EN6" t="n" s="515">
        <v>1.677008867263794</v>
      </c>
      <c r="EO6" t="n" s="515">
        <v>1.6752817630767822</v>
      </c>
      <c r="EP6" t="n" s="515">
        <v>1.6124186515808105</v>
      </c>
      <c r="EQ6" t="n" s="515">
        <v>1.5598033666610718</v>
      </c>
      <c r="ER6" t="n" s="515">
        <v>1.499149203300476</v>
      </c>
      <c r="ES6" t="n" s="515">
        <v>1.6483041048049927</v>
      </c>
      <c r="ET6" t="n" s="515">
        <v>1.7599366903305054</v>
      </c>
      <c r="EU6" t="n" s="515">
        <v>1.9098258018493652</v>
      </c>
      <c r="EV6" t="n" s="515">
        <v>2.0301077365875244</v>
      </c>
      <c r="EW6" t="n" s="515">
        <v>2.146080732345581</v>
      </c>
      <c r="EX6" t="n" s="515">
        <v>2.2078964710235596</v>
      </c>
      <c r="EY6" t="n" s="515">
        <v>2.182312488555908</v>
      </c>
      <c r="EZ6" t="n" s="515">
        <v>1.351650595664978</v>
      </c>
      <c r="FA6" t="n" s="515">
        <v>1.8788387775421143</v>
      </c>
      <c r="FB6" t="n" s="515">
        <v>1.724610686302185</v>
      </c>
      <c r="FC6" t="n" s="515">
        <v>1.6289294958114624</v>
      </c>
      <c r="FD6" t="n" s="515">
        <v>1.5958775281906128</v>
      </c>
      <c r="FE6" t="n" s="515">
        <v>1.5244150161743164</v>
      </c>
      <c r="FF6" t="n" s="515">
        <v>1.4458926916122437</v>
      </c>
      <c r="FG6" t="n" s="515">
        <v>1.389027714729309</v>
      </c>
      <c r="FH6" t="n" s="515">
        <v>1.414615273475647</v>
      </c>
      <c r="FI6" t="n" s="515">
        <v>1.4557125568389893</v>
      </c>
      <c r="FJ6" t="n" s="515">
        <v>1.5408457517623901</v>
      </c>
      <c r="FK6" t="n" s="515">
        <v>1.7913075685501099</v>
      </c>
      <c r="FL6" t="n" s="515">
        <v>1.981069803237915</v>
      </c>
      <c r="FM6" t="n" s="515">
        <v>2.150277614593506</v>
      </c>
      <c r="FN6" t="n" s="515">
        <v>2.2830300331115723</v>
      </c>
      <c r="FO6" t="n" s="515">
        <v>2.324073076248169</v>
      </c>
      <c r="FP6" t="n" s="515">
        <v>2.263225793838501</v>
      </c>
      <c r="FQ6" t="n" s="515">
        <v>2.069671869277954</v>
      </c>
      <c r="FR6" t="n" s="515">
        <v>1.813722014427185</v>
      </c>
      <c r="FS6" t="n" s="515">
        <v>1.55952787399292</v>
      </c>
      <c r="FT6" t="n" s="515">
        <v>1.3133105039596558</v>
      </c>
      <c r="FU6" t="n" s="515">
        <v>1.1248527765274048</v>
      </c>
      <c r="FV6" t="n" s="515">
        <v>0.9942889213562012</v>
      </c>
      <c r="FW6" t="n" s="515">
        <v>0.9034298062324524</v>
      </c>
      <c r="FX6" t="n" s="515">
        <v>0.8158575892448425</v>
      </c>
      <c r="FY6" t="n" s="515">
        <v>0.7695164680480957</v>
      </c>
      <c r="FZ6" t="n" s="515">
        <v>0.7293030619621277</v>
      </c>
      <c r="GA6" t="n" s="515">
        <v>0.6936579942703247</v>
      </c>
      <c r="GB6" t="n" s="515">
        <v>0.6437426209449768</v>
      </c>
      <c r="GC6" t="n" s="515">
        <v>0.6321331858634949</v>
      </c>
      <c r="GD6" t="n" s="515">
        <v>0.6567507386207581</v>
      </c>
      <c r="GE6" t="n" s="515">
        <v>0.6908072829246521</v>
      </c>
      <c r="GF6" t="n" s="515">
        <v>0.6779605746269226</v>
      </c>
      <c r="GG6" t="n" s="515">
        <v>0.6254330277442932</v>
      </c>
      <c r="GH6" t="n" s="515">
        <v>0.5132126212120056</v>
      </c>
      <c r="GI6" t="n" s="515">
        <v>0.3833971321582794</v>
      </c>
      <c r="GJ6" t="n" s="515">
        <v>0.2591679096221924</v>
      </c>
      <c r="GK6" t="n" s="515">
        <v>0.1804906129837036</v>
      </c>
      <c r="GL6" t="n" s="515">
        <v>0.10082170367240906</v>
      </c>
      <c r="GM6" t="n" s="515">
        <v>0.029271455481648445</v>
      </c>
      <c r="GN6" t="n" s="515">
        <v>-0.016567103564739227</v>
      </c>
      <c r="GO6" t="n" s="515">
        <v>-0.07360480725765228</v>
      </c>
      <c r="GP6" t="n" s="515">
        <v>-0.16196684539318085</v>
      </c>
      <c r="GQ6" t="n" s="515">
        <v>-0.2450755089521408</v>
      </c>
      <c r="GR6" t="n" s="515">
        <v>-0.3345571756362915</v>
      </c>
      <c r="GS6" t="n" s="515">
        <v>-0.3641762435436249</v>
      </c>
      <c r="GT6" t="n" s="515">
        <v>-0.3246493339538574</v>
      </c>
      <c r="GU6" t="n" s="515">
        <v>-0.27124881744384766</v>
      </c>
      <c r="GV6" t="n" s="515">
        <v>-0.2769049108028412</v>
      </c>
      <c r="GW6" t="n" s="515">
        <v>-0.32257452607154846</v>
      </c>
      <c r="GX6" t="n" s="515">
        <v>-0.35630881786346436</v>
      </c>
      <c r="GY6" t="n" s="515">
        <v>-0.4230667054653168</v>
      </c>
      <c r="GZ6" t="n" s="515">
        <v>-0.5571898221969604</v>
      </c>
      <c r="HA6" t="n" s="515">
        <v>-0.7617965340614319</v>
      </c>
      <c r="HB6" t="n" s="515">
        <v>-0.9311086535453796</v>
      </c>
      <c r="HC6" t="n" s="515">
        <v>-1.1135666370391846</v>
      </c>
      <c r="HD6" t="n" s="515">
        <v>-1.299525260925293</v>
      </c>
      <c r="HE6" t="n" s="515">
        <v>-1.4402121305465698</v>
      </c>
      <c r="HF6" t="n" s="515">
        <v>-1.8637226819992065</v>
      </c>
      <c r="HG6" t="n" s="515">
        <v>-1.5919634103775024</v>
      </c>
      <c r="HH6" t="n" s="515">
        <v>-1.603983998298645</v>
      </c>
      <c r="HI6" t="n" s="515">
        <v>-1.6106133460998535</v>
      </c>
      <c r="HJ6" t="n" s="515">
        <v>-1.5665980577468872</v>
      </c>
      <c r="HK6" t="n" s="515">
        <v>-1.5109772682189941</v>
      </c>
      <c r="HL6" t="n" s="515">
        <v>-1.3583645820617676</v>
      </c>
      <c r="HM6" t="n" s="515">
        <v>-1.1768684387207031</v>
      </c>
      <c r="HN6" t="n" s="515">
        <v>-1.0220662355422974</v>
      </c>
      <c r="HO6" t="n" s="515">
        <v>-0.9206508994102478</v>
      </c>
      <c r="HP6" t="n" s="515">
        <v>-0.8370177745819092</v>
      </c>
      <c r="HQ6" t="n" s="515">
        <v>-0.8045170307159424</v>
      </c>
      <c r="HR6" t="n" s="515">
        <v>-0.8494297862052917</v>
      </c>
      <c r="HS6" t="n" s="515">
        <v>-0.9596570134162903</v>
      </c>
      <c r="HT6" t="n" s="515">
        <v>-1.1024492979049683</v>
      </c>
      <c r="HU6" t="n" s="515">
        <v>-1.2594093084335327</v>
      </c>
      <c r="HV6" t="n" s="515">
        <v>-1.4317899942398071</v>
      </c>
      <c r="HW6" t="n" s="515">
        <v>-1.5930668115615845</v>
      </c>
      <c r="HX6" t="n" s="515">
        <v>-1.678941011428833</v>
      </c>
      <c r="HY6" t="n" s="515">
        <v>-1.517418622970581</v>
      </c>
      <c r="HZ6" t="n" s="515">
        <v>-1.261478304862976</v>
      </c>
      <c r="IA6" t="n" s="515">
        <v>-0.7612435817718506</v>
      </c>
      <c r="IB6" t="n" s="515">
        <v>-0.2034868448972702</v>
      </c>
      <c r="IC6" t="n" s="515">
        <v>0.20874808728694916</v>
      </c>
    </row>
    <row r="7">
      <c r="A7" s="514">
        <f>A6+ABS(B7-B6)</f>
      </c>
      <c r="B7" s="514">
        <f>108.0/12</f>
      </c>
      <c r="C7" t="n" s="514">
        <v>108.0</v>
      </c>
      <c r="D7" t="n" s="515">
        <v>1.754470944404602</v>
      </c>
      <c r="E7" t="n" s="515">
        <v>1.9815709590911865</v>
      </c>
      <c r="F7" t="n" s="515">
        <v>2.0421159267425537</v>
      </c>
      <c r="G7" t="n" s="515">
        <v>1.8590832948684692</v>
      </c>
      <c r="H7" t="n" s="515">
        <v>1.3642361164093018</v>
      </c>
      <c r="I7" t="n" s="515">
        <v>0.7146097421646118</v>
      </c>
      <c r="J7" t="n" s="515">
        <v>-0.06088608130812645</v>
      </c>
      <c r="K7" t="n" s="515">
        <v>-0.8860769867897034</v>
      </c>
      <c r="L7" t="n" s="515">
        <v>-1.6231982707977295</v>
      </c>
      <c r="M7" t="n" s="515">
        <v>-2.0019631385803223</v>
      </c>
      <c r="N7" t="n" s="515">
        <v>-2.0833683013916016</v>
      </c>
      <c r="O7" t="n" s="515">
        <v>-1.9249167442321777</v>
      </c>
      <c r="P7" t="n" s="515">
        <v>-1.7687846422195435</v>
      </c>
      <c r="Q7" t="n" s="515">
        <v>-1.6333022117614746</v>
      </c>
      <c r="R7" t="n" s="515">
        <v>-1.6222679615020752</v>
      </c>
      <c r="S7" t="n" s="515">
        <v>-1.6347166299819946</v>
      </c>
      <c r="T7" t="n" s="515">
        <v>-1.6709030866622925</v>
      </c>
      <c r="U7" t="n" s="515">
        <v>-1.6926395893096924</v>
      </c>
      <c r="V7" t="n" s="515">
        <v>-1.5904624462127686</v>
      </c>
      <c r="W7" t="n" s="515">
        <v>-1.5658828020095825</v>
      </c>
      <c r="X7" t="n" s="515">
        <v>-1.5567013025283813</v>
      </c>
      <c r="Y7" t="n" s="515">
        <v>-1.605228304862976</v>
      </c>
      <c r="Z7" t="n" s="515">
        <v>-1.7558720111846924</v>
      </c>
      <c r="AA7" t="n" s="515">
        <v>-1.7241073846817017</v>
      </c>
      <c r="AB7" t="n" s="515">
        <v>-1.5027467012405396</v>
      </c>
      <c r="AC7" t="n" s="515">
        <v>-1.4480973482131958</v>
      </c>
      <c r="AD7" t="n" s="515">
        <v>-1.4167203903198242</v>
      </c>
      <c r="AE7" t="n" s="515">
        <v>-1.387156367301941</v>
      </c>
      <c r="AF7" t="n" s="515">
        <v>-1.392115592956543</v>
      </c>
      <c r="AG7" t="n" s="515">
        <v>-1.361179232597351</v>
      </c>
      <c r="AH7" t="n" s="515">
        <v>-1.3142489194869995</v>
      </c>
      <c r="AI7" t="n" s="515">
        <v>-1.2093549966812134</v>
      </c>
      <c r="AJ7" t="n" s="515">
        <v>-1.0618433952331543</v>
      </c>
      <c r="AK7" t="n" s="515">
        <v>-0.8974867463111877</v>
      </c>
      <c r="AL7" t="n" s="515">
        <v>-0.9198284149169922</v>
      </c>
      <c r="AM7" t="n" s="515">
        <v>-0.669823944568634</v>
      </c>
      <c r="AN7" t="n" s="515">
        <v>-0.5884013175964355</v>
      </c>
      <c r="AO7" t="n" s="515">
        <v>-0.6292686462402344</v>
      </c>
      <c r="AP7" t="n" s="515">
        <v>-0.6383045315742493</v>
      </c>
      <c r="AQ7" t="n" s="515">
        <v>-0.7044357657432556</v>
      </c>
      <c r="AR7" t="n" s="515">
        <v>-0.7221569418907166</v>
      </c>
      <c r="AS7" t="n" s="515">
        <v>-0.7617332935333252</v>
      </c>
      <c r="AT7" t="n" s="515">
        <v>-0.740777850151062</v>
      </c>
      <c r="AU7" t="n" s="515">
        <v>-0.7157705426216125</v>
      </c>
      <c r="AV7" t="n" s="515">
        <v>-0.6146965026855469</v>
      </c>
      <c r="AW7" t="n" s="515">
        <v>-0.5055609345436096</v>
      </c>
      <c r="AX7" t="n" s="515">
        <v>-0.3746943175792694</v>
      </c>
      <c r="AY7" t="n" s="515">
        <v>-0.23580896854400635</v>
      </c>
      <c r="AZ7" t="n" s="515">
        <v>-0.08082227408885956</v>
      </c>
      <c r="BA7" t="n" s="515">
        <v>0.10293104499578476</v>
      </c>
      <c r="BB7" t="n" s="515">
        <v>0.25080299377441406</v>
      </c>
      <c r="BC7" t="n" s="515">
        <v>0.4221048951148987</v>
      </c>
      <c r="BD7" t="n" s="515">
        <v>0.5533661246299744</v>
      </c>
      <c r="BE7" t="n" s="515">
        <v>0.6811095476150513</v>
      </c>
      <c r="BF7" t="n" s="515">
        <v>0.7642871141433716</v>
      </c>
      <c r="BG7" t="n" s="515">
        <v>0.8058997392654419</v>
      </c>
      <c r="BH7" t="n" s="515">
        <v>0.8516303896903992</v>
      </c>
      <c r="BI7" t="n" s="515">
        <v>0.8226872086524963</v>
      </c>
      <c r="BJ7" t="n" s="515">
        <v>0.9031935334205627</v>
      </c>
      <c r="BK7" t="n" s="515">
        <v>1.0865914821624756</v>
      </c>
      <c r="BL7" t="n" s="515">
        <v>1.2299696207046509</v>
      </c>
      <c r="BM7" t="n" s="515">
        <v>1.3067337274551392</v>
      </c>
      <c r="BN7" t="n" s="515">
        <v>1.2937486171722412</v>
      </c>
      <c r="BO7" t="n" s="515">
        <v>1.2692270278930664</v>
      </c>
      <c r="BP7" t="n" s="515">
        <v>1.1727025508880615</v>
      </c>
      <c r="BQ7" t="n" s="515">
        <v>1.0048433542251587</v>
      </c>
      <c r="BR7" t="n" s="515">
        <v>0.8965203762054443</v>
      </c>
      <c r="BS7" t="n" s="515">
        <v>0.7809421420097351</v>
      </c>
      <c r="BT7" t="n" s="515">
        <v>0.6327768564224243</v>
      </c>
      <c r="BU7" t="n" s="515">
        <v>0.3820779323577881</v>
      </c>
      <c r="BV7" t="n" s="515">
        <v>0.08333500474691391</v>
      </c>
      <c r="BW7" t="n" s="515">
        <v>-0.2438499927520752</v>
      </c>
      <c r="BX7" t="n" s="515">
        <v>-0.7513225674629211</v>
      </c>
      <c r="BY7" t="n" s="515">
        <v>-0.9001604318618774</v>
      </c>
      <c r="BZ7" t="n" s="515">
        <v>-1.015205979347229</v>
      </c>
      <c r="CA7" t="n" s="515">
        <v>-1.0033304691314697</v>
      </c>
      <c r="CB7" t="n" s="515">
        <v>-0.7201985120773315</v>
      </c>
      <c r="CC7" t="n" s="515">
        <v>-0.242969810962677</v>
      </c>
      <c r="CD7" t="n" s="515">
        <v>0.19762679934501648</v>
      </c>
      <c r="CE7" t="n" s="515">
        <v>0.506510853767395</v>
      </c>
      <c r="CF7" t="n" s="515">
        <v>0.8356936573982239</v>
      </c>
      <c r="CG7" t="n" s="515">
        <v>1.043606162071228</v>
      </c>
      <c r="CH7" t="n" s="515">
        <v>1.2868520021438599</v>
      </c>
      <c r="CI7" t="n" s="515">
        <v>1.522714376449585</v>
      </c>
      <c r="CJ7" t="n" s="515">
        <v>1.6494019031524658</v>
      </c>
      <c r="CK7" t="n" s="515">
        <v>1.758996844291687</v>
      </c>
      <c r="CL7" t="n" s="515">
        <v>1.7429566383361816</v>
      </c>
      <c r="CM7" t="n" s="515">
        <v>1.664267897605896</v>
      </c>
      <c r="CN7" t="n" s="515">
        <v>1.5216012001037598</v>
      </c>
      <c r="CO7" t="n" s="515">
        <v>1.2986162900924683</v>
      </c>
      <c r="CP7" t="n" s="515">
        <v>1.3054524660110474</v>
      </c>
      <c r="CQ7" t="n" s="515">
        <v>1.3666132688522339</v>
      </c>
      <c r="CR7" t="n" s="515">
        <v>1.3549137115478516</v>
      </c>
      <c r="CS7" t="n" s="515">
        <v>0.8559223413467407</v>
      </c>
      <c r="CT7" t="n" s="515">
        <v>1.4300934076309204</v>
      </c>
      <c r="CU7" t="n" s="515">
        <v>1.4382461309432983</v>
      </c>
      <c r="CV7" t="n" s="515">
        <v>1.550702452659607</v>
      </c>
      <c r="CW7" t="n" s="515">
        <v>1.7396570444107056</v>
      </c>
      <c r="CX7" t="n" s="515">
        <v>2.022526502609253</v>
      </c>
      <c r="CY7" t="n" s="515">
        <v>2.296826124191284</v>
      </c>
      <c r="CZ7" t="n" s="515">
        <v>2.459555149078369</v>
      </c>
      <c r="DA7" t="n" s="515">
        <v>2.542273759841919</v>
      </c>
      <c r="DB7" t="n" s="515">
        <v>2.5883545875549316</v>
      </c>
      <c r="DC7" t="n" s="515">
        <v>2.650866746902466</v>
      </c>
      <c r="DD7" t="n" s="515">
        <v>2.679877281188965</v>
      </c>
      <c r="DE7" t="n" s="515">
        <v>2.8069119453430176</v>
      </c>
      <c r="DF7" t="n" s="515">
        <v>3.0007190704345703</v>
      </c>
      <c r="DG7" t="n" s="515">
        <v>3.2861061096191406</v>
      </c>
      <c r="DH7" t="n" s="515">
        <v>3.7131338119506836</v>
      </c>
      <c r="DI7" t="n" s="515">
        <v>4.017756938934326</v>
      </c>
      <c r="DJ7" t="n" s="515">
        <v>4.125860691070557</v>
      </c>
      <c r="DK7" t="n" s="515">
        <v>4.147797107696533</v>
      </c>
      <c r="DL7" t="n" s="515">
        <v>4.033996105194092</v>
      </c>
      <c r="DM7" t="n" s="515">
        <v>3.821418285369873</v>
      </c>
      <c r="DN7" t="n" s="515">
        <v>3.4866232872009277</v>
      </c>
      <c r="DO7" t="n" s="515">
        <v>3.141963243484497</v>
      </c>
      <c r="DP7" t="n" s="515">
        <v>2.8183960914611816</v>
      </c>
      <c r="DQ7" t="n" s="515">
        <v>2.4545397758483887</v>
      </c>
      <c r="DR7" t="n" s="515">
        <v>2.1619410514831543</v>
      </c>
      <c r="DS7" t="n" s="515">
        <v>1.9015636444091797</v>
      </c>
      <c r="DT7" t="n" s="515">
        <v>1.7194346189498901</v>
      </c>
      <c r="DU7" t="n" s="515">
        <v>1.5446827411651611</v>
      </c>
      <c r="DV7" t="n" s="515">
        <v>0.8335565328598022</v>
      </c>
      <c r="DW7" t="n" s="515">
        <v>-1.3344467878341675</v>
      </c>
      <c r="DX7" t="n" s="515">
        <v>1.2519413232803345</v>
      </c>
      <c r="DY7" t="n" s="515">
        <v>1.4510585069656372</v>
      </c>
      <c r="DZ7" t="n" s="515">
        <v>1.7270110845565796</v>
      </c>
      <c r="EA7" t="n" s="515">
        <v>1.9770753383636475</v>
      </c>
      <c r="EB7" t="n" s="515">
        <v>2.233123779296875</v>
      </c>
      <c r="EC7" t="n" s="515">
        <v>1.5799795389175415</v>
      </c>
      <c r="ED7" t="n" s="515">
        <v>2.7475357055664062</v>
      </c>
      <c r="EE7" t="n" s="515">
        <v>2.9560067653656006</v>
      </c>
      <c r="EF7" t="n" s="515">
        <v>2.9392154216766357</v>
      </c>
      <c r="EG7" t="n" s="515">
        <v>2.831838607788086</v>
      </c>
      <c r="EH7" t="n" s="515">
        <v>2.6244726181030273</v>
      </c>
      <c r="EI7" t="n" s="515">
        <v>2.4088902473449707</v>
      </c>
      <c r="EJ7" t="n" s="515">
        <v>2.1961748600006104</v>
      </c>
      <c r="EK7" t="n" s="515">
        <v>2.0422816276550293</v>
      </c>
      <c r="EL7" t="n" s="515">
        <v>1.8885166645050049</v>
      </c>
      <c r="EM7" t="n" s="515">
        <v>1.776054859161377</v>
      </c>
      <c r="EN7" t="n" s="515">
        <v>1.6544736623764038</v>
      </c>
      <c r="EO7" t="n" s="515">
        <v>1.5592844486236572</v>
      </c>
      <c r="EP7" t="n" s="515">
        <v>1.4614673852920532</v>
      </c>
      <c r="EQ7" t="n" s="515">
        <v>1.3794053792953491</v>
      </c>
      <c r="ER7" t="n" s="515">
        <v>1.423826813697815</v>
      </c>
      <c r="ES7" t="n" s="515">
        <v>1.6457098722457886</v>
      </c>
      <c r="ET7" t="n" s="515">
        <v>1.8234848976135254</v>
      </c>
      <c r="EU7" t="n" s="515">
        <v>1.9899791479110718</v>
      </c>
      <c r="EV7" t="n" s="515">
        <v>2.084027051925659</v>
      </c>
      <c r="EW7" t="n" s="515">
        <v>2.194477081298828</v>
      </c>
      <c r="EX7" t="n" s="515">
        <v>2.2381017208099365</v>
      </c>
      <c r="EY7" t="n" s="515">
        <v>2.184490919113159</v>
      </c>
      <c r="EZ7" t="n" s="515">
        <v>1.3906527757644653</v>
      </c>
      <c r="FA7" t="n" s="515">
        <v>1.867380142211914</v>
      </c>
      <c r="FB7" t="n" s="515">
        <v>1.7518898248672485</v>
      </c>
      <c r="FC7" t="n" s="515">
        <v>1.6541011333465576</v>
      </c>
      <c r="FD7" t="n" s="515">
        <v>1.602384328842163</v>
      </c>
      <c r="FE7" t="n" s="515">
        <v>1.4748610258102417</v>
      </c>
      <c r="FF7" t="n" s="515">
        <v>1.3613377809524536</v>
      </c>
      <c r="FG7" t="n" s="515">
        <v>1.2662713527679443</v>
      </c>
      <c r="FH7" t="n" s="515">
        <v>1.2365309000015259</v>
      </c>
      <c r="FI7" t="n" s="515">
        <v>1.249642252922058</v>
      </c>
      <c r="FJ7" t="n" s="515">
        <v>1.4055895805358887</v>
      </c>
      <c r="FK7" t="n" s="515">
        <v>1.8333123922348022</v>
      </c>
      <c r="FL7" t="n" s="515">
        <v>2.140382766723633</v>
      </c>
      <c r="FM7" t="n" s="515">
        <v>2.3359715938568115</v>
      </c>
      <c r="FN7" t="n" s="515">
        <v>2.4662535190582275</v>
      </c>
      <c r="FO7" t="n" s="515">
        <v>2.471233606338501</v>
      </c>
      <c r="FP7" t="n" s="515">
        <v>2.3690803050994873</v>
      </c>
      <c r="FQ7" t="n" s="515">
        <v>2.1476948261260986</v>
      </c>
      <c r="FR7" t="n" s="515">
        <v>1.8602795600891113</v>
      </c>
      <c r="FS7" t="n" s="515">
        <v>1.5655138492584229</v>
      </c>
      <c r="FT7" t="n" s="515">
        <v>1.27703857421875</v>
      </c>
      <c r="FU7" t="n" s="515">
        <v>1.0766619443893433</v>
      </c>
      <c r="FV7" t="n" s="515">
        <v>0.9227794408798218</v>
      </c>
      <c r="FW7" t="n" s="515">
        <v>0.8253864645957947</v>
      </c>
      <c r="FX7" t="n" s="515">
        <v>0.7406933903694153</v>
      </c>
      <c r="FY7" t="n" s="515">
        <v>0.6842768788337708</v>
      </c>
      <c r="FZ7" t="n" s="515">
        <v>0.6543129682540894</v>
      </c>
      <c r="GA7" t="n" s="515">
        <v>0.6183578968048096</v>
      </c>
      <c r="GB7" t="n" s="515">
        <v>0.6293884515762329</v>
      </c>
      <c r="GC7" t="n" s="515">
        <v>0.798732578754425</v>
      </c>
      <c r="GD7" t="n" s="515">
        <v>0.9214725494384766</v>
      </c>
      <c r="GE7" t="n" s="515">
        <v>0.9584827423095703</v>
      </c>
      <c r="GF7" t="n" s="515">
        <v>0.9436915516853333</v>
      </c>
      <c r="GG7" t="n" s="515">
        <v>0.8418388366699219</v>
      </c>
      <c r="GH7" t="n" s="515">
        <v>0.6983745098114014</v>
      </c>
      <c r="GI7" t="n" s="515">
        <v>0.5128951072692871</v>
      </c>
      <c r="GJ7" t="n" s="515">
        <v>0.33588895201683044</v>
      </c>
      <c r="GK7" t="n" s="515">
        <v>0.254065603017807</v>
      </c>
      <c r="GL7" t="n" s="515">
        <v>0.160670667886734</v>
      </c>
      <c r="GM7" t="n" s="515">
        <v>0.09947127103805542</v>
      </c>
      <c r="GN7" t="n" s="515">
        <v>0.04680352658033371</v>
      </c>
      <c r="GO7" t="n" s="515">
        <v>-0.01193397119641304</v>
      </c>
      <c r="GP7" t="n" s="515">
        <v>-0.1050066128373146</v>
      </c>
      <c r="GQ7" t="n" s="515">
        <v>-0.17706158757209778</v>
      </c>
      <c r="GR7" t="n" s="515">
        <v>-0.20571643114089966</v>
      </c>
      <c r="GS7" t="n" s="515">
        <v>-0.18085643649101257</v>
      </c>
      <c r="GT7" t="n" s="515">
        <v>-0.031012171879410744</v>
      </c>
      <c r="GU7" t="n" s="515">
        <v>0.10655438154935837</v>
      </c>
      <c r="GV7" t="n" s="515">
        <v>0.1502229869365692</v>
      </c>
      <c r="GW7" t="n" s="515">
        <v>0.12116771191358566</v>
      </c>
      <c r="GX7" t="n" s="515">
        <v>0.025378717109560966</v>
      </c>
      <c r="GY7" t="n" s="515">
        <v>-0.12134876102209091</v>
      </c>
      <c r="GZ7" t="n" s="515">
        <v>-0.370250940322876</v>
      </c>
      <c r="HA7" t="n" s="515">
        <v>-0.6439816951751709</v>
      </c>
      <c r="HB7" t="n" s="515">
        <v>-0.8754463195800781</v>
      </c>
      <c r="HC7" t="n" s="515">
        <v>-1.0755904912948608</v>
      </c>
      <c r="HD7" t="n" s="515">
        <v>-1.2461061477661133</v>
      </c>
      <c r="HE7" t="n" s="515">
        <v>-1.3898648023605347</v>
      </c>
      <c r="HF7" t="n" s="515">
        <v>-1.5425702333450317</v>
      </c>
      <c r="HG7" t="n" s="515">
        <v>-1.5323089361190796</v>
      </c>
      <c r="HH7" t="n" s="515">
        <v>-1.5470690727233887</v>
      </c>
      <c r="HI7" t="n" s="515">
        <v>-1.563586711883545</v>
      </c>
      <c r="HJ7" t="n" s="515">
        <v>-1.5075602531433105</v>
      </c>
      <c r="HK7" t="n" s="515">
        <v>-1.3871632814407349</v>
      </c>
      <c r="HL7" t="n" s="515">
        <v>-1.19085693359375</v>
      </c>
      <c r="HM7" t="n" s="515">
        <v>-0.8952996134757996</v>
      </c>
      <c r="HN7" t="n" s="515">
        <v>-0.6728844046592712</v>
      </c>
      <c r="HO7" t="n" s="515">
        <v>-0.5631651282310486</v>
      </c>
      <c r="HP7" t="n" s="515">
        <v>-0.47345206141471863</v>
      </c>
      <c r="HQ7" t="n" s="515">
        <v>-0.45758628845214844</v>
      </c>
      <c r="HR7" t="n" s="515">
        <v>-0.49884888529777527</v>
      </c>
      <c r="HS7" t="n" s="515">
        <v>-0.6290052533149719</v>
      </c>
      <c r="HT7" t="n" s="515">
        <v>-0.8097370862960815</v>
      </c>
      <c r="HU7" t="n" s="515">
        <v>-1.028073787689209</v>
      </c>
      <c r="HV7" t="n" s="515">
        <v>-1.257729411125183</v>
      </c>
      <c r="HW7" t="n" s="515">
        <v>-1.4575507640838623</v>
      </c>
      <c r="HX7" t="n" s="515">
        <v>-1.564156174659729</v>
      </c>
      <c r="HY7" t="n" s="515">
        <v>-1.4244004487991333</v>
      </c>
      <c r="HZ7" t="n" s="515">
        <v>-1.008988618850708</v>
      </c>
      <c r="IA7" t="n" s="515">
        <v>-0.33238691091537476</v>
      </c>
      <c r="IB7" t="n" s="515">
        <v>0.39817866683006287</v>
      </c>
      <c r="IC7" t="n" s="515">
        <v>0.9756741523742676</v>
      </c>
    </row>
    <row r="8">
      <c r="A8" s="514">
        <f>A7+ABS(B8-B7)</f>
      </c>
      <c r="B8" s="514">
        <f>132.0/12</f>
      </c>
      <c r="C8" t="n" s="514">
        <v>132.0</v>
      </c>
      <c r="D8" t="n" s="515">
        <v>2.610595226287842</v>
      </c>
      <c r="E8" t="n" s="515">
        <v>2.9061601161956787</v>
      </c>
      <c r="F8" t="n" s="515">
        <v>2.9208357334136963</v>
      </c>
      <c r="G8" t="n" s="515">
        <v>2.606450080871582</v>
      </c>
      <c r="H8" t="n" s="515">
        <v>2.0270376205444336</v>
      </c>
      <c r="I8" t="n" s="515">
        <v>1.3757035732269287</v>
      </c>
      <c r="J8" t="n" s="515">
        <v>0.6045578718185425</v>
      </c>
      <c r="K8" t="n" s="515">
        <v>-0.39159250259399414</v>
      </c>
      <c r="L8" t="n" s="515">
        <v>-1.2761338949203491</v>
      </c>
      <c r="M8" t="n" s="515">
        <v>-1.8465089797973633</v>
      </c>
      <c r="N8" t="n" s="515">
        <v>-2.0008628368377686</v>
      </c>
      <c r="O8" t="n" s="515">
        <v>-1.8915225267410278</v>
      </c>
      <c r="P8" t="n" s="515">
        <v>-1.7176176309585571</v>
      </c>
      <c r="Q8" t="n" s="515">
        <v>-1.570464849472046</v>
      </c>
      <c r="R8" t="n" s="515">
        <v>-1.5269871950149536</v>
      </c>
      <c r="S8" t="n" s="515">
        <v>-1.477285623550415</v>
      </c>
      <c r="T8" t="n" s="515">
        <v>-1.4908952713012695</v>
      </c>
      <c r="U8" t="n" s="515">
        <v>-1.4850761890411377</v>
      </c>
      <c r="V8" t="n" s="515">
        <v>-1.4208956956863403</v>
      </c>
      <c r="W8" t="n" s="515">
        <v>-1.4089481830596924</v>
      </c>
      <c r="X8" t="n" s="515">
        <v>-1.4820189476013184</v>
      </c>
      <c r="Y8" t="n" s="515">
        <v>-1.673876404762268</v>
      </c>
      <c r="Z8" t="n" s="515">
        <v>-1.8498897552490234</v>
      </c>
      <c r="AA8" t="n" s="515">
        <v>-1.7786355018615723</v>
      </c>
      <c r="AB8" t="n" s="515">
        <v>-1.5437148809432983</v>
      </c>
      <c r="AC8" t="n" s="515">
        <v>-1.4042621850967407</v>
      </c>
      <c r="AD8" t="n" s="515">
        <v>-1.3159071207046509</v>
      </c>
      <c r="AE8" t="n" s="515">
        <v>-1.2756420373916626</v>
      </c>
      <c r="AF8" t="n" s="515">
        <v>-1.2566388845443726</v>
      </c>
      <c r="AG8" t="n" s="515">
        <v>-1.225144863128662</v>
      </c>
      <c r="AH8" t="n" s="515">
        <v>-1.1455707550048828</v>
      </c>
      <c r="AI8" t="n" s="515">
        <v>-1.045754075050354</v>
      </c>
      <c r="AJ8" t="n" s="515">
        <v>-0.8835442066192627</v>
      </c>
      <c r="AK8" t="n" s="515">
        <v>-0.6975047588348389</v>
      </c>
      <c r="AL8" t="n" s="515">
        <v>-0.6115695238113403</v>
      </c>
      <c r="AM8" t="n" s="515">
        <v>-0.394916832447052</v>
      </c>
      <c r="AN8" t="n" s="515">
        <v>-0.3337506651878357</v>
      </c>
      <c r="AO8" t="n" s="515">
        <v>-0.3292712867259979</v>
      </c>
      <c r="AP8" t="n" s="515">
        <v>-0.3805718719959259</v>
      </c>
      <c r="AQ8" t="n" s="515">
        <v>-0.5147343277931213</v>
      </c>
      <c r="AR8" t="n" s="515">
        <v>-0.5563132762908936</v>
      </c>
      <c r="AS8" t="n" s="515">
        <v>-0.5949603915214539</v>
      </c>
      <c r="AT8" t="n" s="515">
        <v>-0.6170082688331604</v>
      </c>
      <c r="AU8" t="n" s="515">
        <v>-0.6247778534889221</v>
      </c>
      <c r="AV8" t="n" s="515">
        <v>-0.5609997510910034</v>
      </c>
      <c r="AW8" t="n" s="515">
        <v>-0.4225515127182007</v>
      </c>
      <c r="AX8" t="n" s="515">
        <v>-0.2601667642593384</v>
      </c>
      <c r="AY8" t="n" s="515">
        <v>-0.0798131674528122</v>
      </c>
      <c r="AZ8" t="n" s="515">
        <v>0.09934074431657791</v>
      </c>
      <c r="BA8" t="n" s="515">
        <v>0.29267242550849915</v>
      </c>
      <c r="BB8" t="n" s="515">
        <v>0.4562131464481354</v>
      </c>
      <c r="BC8" t="n" s="515">
        <v>0.6288644075393677</v>
      </c>
      <c r="BD8" t="n" s="515">
        <v>0.7491253614425659</v>
      </c>
      <c r="BE8" t="n" s="515">
        <v>0.8643513917922974</v>
      </c>
      <c r="BF8" t="n" s="515">
        <v>0.9790815711021423</v>
      </c>
      <c r="BG8" t="n" s="515">
        <v>1.0925345420837402</v>
      </c>
      <c r="BH8" t="n" s="515">
        <v>1.122788667678833</v>
      </c>
      <c r="BI8" t="n" s="515">
        <v>1.034542202949524</v>
      </c>
      <c r="BJ8" t="n" s="515">
        <v>1.0350942611694336</v>
      </c>
      <c r="BK8" t="n" s="515">
        <v>1.2306859493255615</v>
      </c>
      <c r="BL8" t="n" s="515">
        <v>1.3938262462615967</v>
      </c>
      <c r="BM8" t="n" s="515">
        <v>1.4960405826568604</v>
      </c>
      <c r="BN8" t="n" s="515">
        <v>1.5489290952682495</v>
      </c>
      <c r="BO8" t="n" s="515">
        <v>1.5294241905212402</v>
      </c>
      <c r="BP8" t="n" s="515">
        <v>1.4575233459472656</v>
      </c>
      <c r="BQ8" t="n" s="515">
        <v>1.3438442945480347</v>
      </c>
      <c r="BR8" t="n" s="515">
        <v>1.2312008142471313</v>
      </c>
      <c r="BS8" t="n" s="515">
        <v>1.101909875869751</v>
      </c>
      <c r="BT8" t="n" s="515">
        <v>0.9012120962142944</v>
      </c>
      <c r="BU8" t="n" s="515">
        <v>0.6181830763816833</v>
      </c>
      <c r="BV8" t="n" s="515">
        <v>0.26537641882896423</v>
      </c>
      <c r="BW8" t="n" s="515">
        <v>-0.09110844880342484</v>
      </c>
      <c r="BX8" t="n" s="515">
        <v>-0.7423126697540283</v>
      </c>
      <c r="BY8" t="n" s="515">
        <v>-0.8444910049438477</v>
      </c>
      <c r="BZ8" t="n" s="515">
        <v>-1.1288574934005737</v>
      </c>
      <c r="CA8" t="n" s="515">
        <v>-1.149739384651184</v>
      </c>
      <c r="CB8" t="n" s="515">
        <v>-0.8520956635475159</v>
      </c>
      <c r="CC8" t="n" s="515">
        <v>-0.4168725311756134</v>
      </c>
      <c r="CD8" t="n" s="515">
        <v>-0.005573553964495659</v>
      </c>
      <c r="CE8" t="n" s="515">
        <v>0.378307968378067</v>
      </c>
      <c r="CF8" t="n" s="515">
        <v>0.7166895866394043</v>
      </c>
      <c r="CG8" t="n" s="515">
        <v>1.0119084119796753</v>
      </c>
      <c r="CH8" t="n" s="515">
        <v>1.2373099327087402</v>
      </c>
      <c r="CI8" t="n" s="515">
        <v>1.4381630420684814</v>
      </c>
      <c r="CJ8" t="n" s="515">
        <v>1.650025725364685</v>
      </c>
      <c r="CK8" t="n" s="515">
        <v>1.797810435295105</v>
      </c>
      <c r="CL8" t="n" s="515">
        <v>1.7881680727005005</v>
      </c>
      <c r="CM8" t="n" s="515">
        <v>1.677259922027588</v>
      </c>
      <c r="CN8" t="n" s="515">
        <v>1.5069715976715088</v>
      </c>
      <c r="CO8" t="n" s="515">
        <v>1.3235714435577393</v>
      </c>
      <c r="CP8" t="n" s="515">
        <v>1.2535910606384277</v>
      </c>
      <c r="CQ8" t="n" s="515">
        <v>1.3034671545028687</v>
      </c>
      <c r="CR8" t="n" s="515">
        <v>1.3618741035461426</v>
      </c>
      <c r="CS8" t="n" s="515">
        <v>0.709028422832489</v>
      </c>
      <c r="CT8" t="n" s="515">
        <v>1.2521830797195435</v>
      </c>
      <c r="CU8" t="n" s="515">
        <v>1.2771598100662231</v>
      </c>
      <c r="CV8" t="n" s="515">
        <v>1.4535232782363892</v>
      </c>
      <c r="CW8" t="n" s="515">
        <v>1.715592384338379</v>
      </c>
      <c r="CX8" t="n" s="515">
        <v>2.0914487838745117</v>
      </c>
      <c r="CY8" t="n" s="515">
        <v>2.4033095836639404</v>
      </c>
      <c r="CZ8" t="n" s="515">
        <v>2.631406784057617</v>
      </c>
      <c r="DA8" t="n" s="515">
        <v>2.771127462387085</v>
      </c>
      <c r="DB8" t="n" s="515">
        <v>2.8522348403930664</v>
      </c>
      <c r="DC8" t="n" s="515">
        <v>2.930253505706787</v>
      </c>
      <c r="DD8" t="n" s="515">
        <v>2.95613694190979</v>
      </c>
      <c r="DE8" t="n" s="515">
        <v>3.0850489139556885</v>
      </c>
      <c r="DF8" t="n" s="515">
        <v>3.2407712936401367</v>
      </c>
      <c r="DG8" t="n" s="515">
        <v>3.4648916721343994</v>
      </c>
      <c r="DH8" t="n" s="515">
        <v>3.7263574600219727</v>
      </c>
      <c r="DI8" t="n" s="515">
        <v>3.9731481075286865</v>
      </c>
      <c r="DJ8" t="n" s="515">
        <v>4.070797920227051</v>
      </c>
      <c r="DK8" t="n" s="515">
        <v>4.057965278625488</v>
      </c>
      <c r="DL8" t="n" s="515">
        <v>3.9682557582855225</v>
      </c>
      <c r="DM8" t="n" s="515">
        <v>3.591229200363159</v>
      </c>
      <c r="DN8" t="n" s="515">
        <v>3.3298721313476562</v>
      </c>
      <c r="DO8" t="n" s="515">
        <v>3.037576913833618</v>
      </c>
      <c r="DP8" t="n" s="515">
        <v>2.738464593887329</v>
      </c>
      <c r="DQ8" t="n" s="515">
        <v>2.429753065109253</v>
      </c>
      <c r="DR8" t="n" s="515">
        <v>2.1689398288726807</v>
      </c>
      <c r="DS8" t="n" s="515">
        <v>1.8787500858306885</v>
      </c>
      <c r="DT8" t="n" s="515">
        <v>1.662462830543518</v>
      </c>
      <c r="DU8" t="n" s="515">
        <v>0.859246551990509</v>
      </c>
      <c r="DV8" t="n" s="515">
        <v>-1.321169376373291</v>
      </c>
      <c r="DW8" t="n" s="515">
        <v>1.102744460105896</v>
      </c>
      <c r="DX8" t="n" s="515">
        <v>1.1518644094467163</v>
      </c>
      <c r="DY8" t="n" s="515">
        <v>1.2966766357421875</v>
      </c>
      <c r="DZ8" t="n" s="515">
        <v>1.52461838722229</v>
      </c>
      <c r="EA8" t="n" s="515">
        <v>1.7973430156707764</v>
      </c>
      <c r="EB8" t="n" s="515">
        <v>2.0125062465667725</v>
      </c>
      <c r="EC8" t="n" s="515">
        <v>1.4279102087020874</v>
      </c>
      <c r="ED8" t="n" s="515">
        <v>2.642857551574707</v>
      </c>
      <c r="EE8" t="n" s="515">
        <v>2.808091163635254</v>
      </c>
      <c r="EF8" t="n" s="515">
        <v>2.8572094440460205</v>
      </c>
      <c r="EG8" t="n" s="515">
        <v>2.807551622390747</v>
      </c>
      <c r="EH8" t="n" s="515">
        <v>2.669473648071289</v>
      </c>
      <c r="EI8" t="n" s="515">
        <v>2.467423677444458</v>
      </c>
      <c r="EJ8" t="n" s="515">
        <v>2.3192174434661865</v>
      </c>
      <c r="EK8" t="n" s="515">
        <v>2.1626269817352295</v>
      </c>
      <c r="EL8" t="n" s="515">
        <v>1.9912707805633545</v>
      </c>
      <c r="EM8" t="n" s="515">
        <v>1.8465412855148315</v>
      </c>
      <c r="EN8" t="n" s="515">
        <v>1.692342758178711</v>
      </c>
      <c r="EO8" t="n" s="515">
        <v>1.5303395986557007</v>
      </c>
      <c r="EP8" t="n" s="515">
        <v>1.3486133813858032</v>
      </c>
      <c r="EQ8" t="n" s="515">
        <v>1.2559524774551392</v>
      </c>
      <c r="ER8" t="n" s="515">
        <v>1.2840261459350586</v>
      </c>
      <c r="ES8" t="n" s="515">
        <v>1.4393351078033447</v>
      </c>
      <c r="ET8" t="n" s="515">
        <v>1.6651605367660522</v>
      </c>
      <c r="EU8" t="n" s="515">
        <v>1.8208011388778687</v>
      </c>
      <c r="EV8" t="n" s="515">
        <v>1.8796461820602417</v>
      </c>
      <c r="EW8" t="n" s="515">
        <v>2.0522336959838867</v>
      </c>
      <c r="EX8" t="n" s="515">
        <v>2.161212921142578</v>
      </c>
      <c r="EY8" t="n" s="515">
        <v>2.1449244022369385</v>
      </c>
      <c r="EZ8" t="n" s="515">
        <v>1.503639578819275</v>
      </c>
      <c r="FA8" t="n" s="515">
        <v>1.984326720237732</v>
      </c>
      <c r="FB8" t="n" s="515">
        <v>1.8818776607513428</v>
      </c>
      <c r="FC8" t="n" s="515">
        <v>1.7826554775238037</v>
      </c>
      <c r="FD8" t="n" s="515">
        <v>1.6546480655670166</v>
      </c>
      <c r="FE8" t="n" s="515">
        <v>1.4916728734970093</v>
      </c>
      <c r="FF8" t="n" s="515">
        <v>1.3690121173858643</v>
      </c>
      <c r="FG8" t="n" s="515">
        <v>1.2858861684799194</v>
      </c>
      <c r="FH8" t="n" s="515">
        <v>1.2364282608032227</v>
      </c>
      <c r="FI8" t="n" s="515">
        <v>1.2511004209518433</v>
      </c>
      <c r="FJ8" t="n" s="515">
        <v>1.4645920991897583</v>
      </c>
      <c r="FK8" t="n" s="515">
        <v>1.8148722648620605</v>
      </c>
      <c r="FL8" t="n" s="515">
        <v>2.186070203781128</v>
      </c>
      <c r="FM8" t="n" s="515">
        <v>2.4490692615509033</v>
      </c>
      <c r="FN8" t="n" s="515">
        <v>2.568112850189209</v>
      </c>
      <c r="FO8" t="n" s="515">
        <v>2.593806505203247</v>
      </c>
      <c r="FP8" t="n" s="515">
        <v>2.4610040187835693</v>
      </c>
      <c r="FQ8" t="n" s="515">
        <v>2.2369956970214844</v>
      </c>
      <c r="FR8" t="n" s="515">
        <v>1.9267610311508179</v>
      </c>
      <c r="FS8" t="n" s="515">
        <v>1.6165781021118164</v>
      </c>
      <c r="FT8" t="n" s="515">
        <v>1.320467233657837</v>
      </c>
      <c r="FU8" t="n" s="515">
        <v>1.0570791959762573</v>
      </c>
      <c r="FV8" t="n" s="515">
        <v>0.9310829639434814</v>
      </c>
      <c r="FW8" t="n" s="515">
        <v>0.8015352487564087</v>
      </c>
      <c r="FX8" t="n" s="515">
        <v>0.6998529434204102</v>
      </c>
      <c r="FY8" t="n" s="515">
        <v>0.618925929069519</v>
      </c>
      <c r="FZ8" t="n" s="515">
        <v>0.5417501926422119</v>
      </c>
      <c r="GA8" t="n" s="515">
        <v>0.5148655772209167</v>
      </c>
      <c r="GB8" t="n" s="515">
        <v>0.5555585622787476</v>
      </c>
      <c r="GC8" t="n" s="515">
        <v>0.7419038414955139</v>
      </c>
      <c r="GD8" t="n" s="515">
        <v>0.8501687049865723</v>
      </c>
      <c r="GE8" t="n" s="515">
        <v>0.9120515584945679</v>
      </c>
      <c r="GF8" t="n" s="515">
        <v>0.9368303418159485</v>
      </c>
      <c r="GG8" t="n" s="515">
        <v>0.9268392324447632</v>
      </c>
      <c r="GH8" t="n" s="515">
        <v>0.8234605193138123</v>
      </c>
      <c r="GI8" t="n" s="515">
        <v>0.6496316194534302</v>
      </c>
      <c r="GJ8" t="n" s="515">
        <v>0.4972114562988281</v>
      </c>
      <c r="GK8" t="n" s="515">
        <v>0.4189157485961914</v>
      </c>
      <c r="GL8" t="n" s="515">
        <v>0.33838632702827454</v>
      </c>
      <c r="GM8" t="n" s="515">
        <v>0.26176053285598755</v>
      </c>
      <c r="GN8" t="n" s="515">
        <v>0.17587846517562866</v>
      </c>
      <c r="GO8" t="n" s="515">
        <v>0.09823670238256454</v>
      </c>
      <c r="GP8" t="n" s="515">
        <v>0.00826773326843977</v>
      </c>
      <c r="GQ8" t="n" s="515">
        <v>-0.05958819016814232</v>
      </c>
      <c r="GR8" t="n" s="515">
        <v>-0.046263642609119415</v>
      </c>
      <c r="GS8" t="n" s="515">
        <v>0.023246554657816887</v>
      </c>
      <c r="GT8" t="n" s="515">
        <v>0.18535421788692474</v>
      </c>
      <c r="GU8" t="n" s="515">
        <v>0.31145596504211426</v>
      </c>
      <c r="GV8" t="n" s="515">
        <v>0.3915424942970276</v>
      </c>
      <c r="GW8" t="n" s="515">
        <v>0.385206937789917</v>
      </c>
      <c r="GX8" t="n" s="515">
        <v>0.25899171829223633</v>
      </c>
      <c r="GY8" t="n" s="515">
        <v>0.04993535578250885</v>
      </c>
      <c r="GZ8" t="n" s="515">
        <v>-0.29493507742881775</v>
      </c>
      <c r="HA8" t="n" s="515">
        <v>-0.5719238519668579</v>
      </c>
      <c r="HB8" t="n" s="515">
        <v>-0.8185760378837585</v>
      </c>
      <c r="HC8" t="n" s="515">
        <v>-0.9936891198158264</v>
      </c>
      <c r="HD8" t="n" s="515">
        <v>-1.1253414154052734</v>
      </c>
      <c r="HE8" t="n" s="515">
        <v>-1.2769771814346313</v>
      </c>
      <c r="HF8" t="n" s="515">
        <v>-1.4522736072540283</v>
      </c>
      <c r="HG8" t="n" s="515">
        <v>-1.4238320589065552</v>
      </c>
      <c r="HH8" t="n" s="515">
        <v>-1.4375793933868408</v>
      </c>
      <c r="HI8" t="n" s="515">
        <v>-1.4860883951187134</v>
      </c>
      <c r="HJ8" t="n" s="515">
        <v>-1.4862877130508423</v>
      </c>
      <c r="HK8" t="n" s="515">
        <v>-1.2845673561096191</v>
      </c>
      <c r="HL8" t="n" s="515">
        <v>-1.0225857496261597</v>
      </c>
      <c r="HM8" t="n" s="515">
        <v>-0.7034382224082947</v>
      </c>
      <c r="HN8" t="n" s="515">
        <v>-0.43208643794059753</v>
      </c>
      <c r="HO8" t="n" s="515">
        <v>-0.28696635365486145</v>
      </c>
      <c r="HP8" t="n" s="515">
        <v>-0.22733698785305023</v>
      </c>
      <c r="HQ8" t="n" s="515">
        <v>-0.21620675921440125</v>
      </c>
      <c r="HR8" t="n" s="515">
        <v>-0.18561215698719025</v>
      </c>
      <c r="HS8" t="n" s="515">
        <v>-0.3194047808647156</v>
      </c>
      <c r="HT8" t="n" s="515">
        <v>-0.5146668553352356</v>
      </c>
      <c r="HU8" t="n" s="515">
        <v>-0.7598697543144226</v>
      </c>
      <c r="HV8" t="n" s="515">
        <v>-1.0236709117889404</v>
      </c>
      <c r="HW8" t="n" s="515">
        <v>-1.2598336935043335</v>
      </c>
      <c r="HX8" t="n" s="515">
        <v>-1.3673312664031982</v>
      </c>
      <c r="HY8" t="n" s="515">
        <v>-1.166503667831421</v>
      </c>
      <c r="HZ8" t="n" s="515">
        <v>-0.5300537347793579</v>
      </c>
      <c r="IA8" t="n" s="515">
        <v>0.41335320472717285</v>
      </c>
      <c r="IB8" t="n" s="515">
        <v>1.276841402053833</v>
      </c>
      <c r="IC8" t="n" s="515">
        <v>1.8078731298446655</v>
      </c>
    </row>
    <row r="9">
      <c r="A9" s="514">
        <f>A8+ABS(B9-B8)</f>
      </c>
      <c r="B9" s="514">
        <f>156.0/12</f>
      </c>
      <c r="C9" t="n" s="514">
        <v>156.0</v>
      </c>
      <c r="D9" t="n" s="515">
        <v>2.902778148651123</v>
      </c>
      <c r="E9" t="n" s="515">
        <v>3.2254576683044434</v>
      </c>
      <c r="F9" t="n" s="515">
        <v>3.2184393405914307</v>
      </c>
      <c r="G9" t="n" s="515">
        <v>2.882585048675537</v>
      </c>
      <c r="H9" t="n" s="515">
        <v>2.3289341926574707</v>
      </c>
      <c r="I9" t="n" s="515">
        <v>1.6969611644744873</v>
      </c>
      <c r="J9" t="n" s="515">
        <v>1.0093541145324707</v>
      </c>
      <c r="K9" t="n" s="515">
        <v>0.15981124341487885</v>
      </c>
      <c r="L9" t="n" s="515">
        <v>-0.7152888178825378</v>
      </c>
      <c r="M9" t="n" s="515">
        <v>-1.3792614936828613</v>
      </c>
      <c r="N9" t="n" s="515">
        <v>-1.6815180778503418</v>
      </c>
      <c r="O9" t="n" s="515">
        <v>-1.7667055130004883</v>
      </c>
      <c r="P9" t="n" s="515">
        <v>-1.7039546966552734</v>
      </c>
      <c r="Q9" t="n" s="515">
        <v>-1.5549952983856201</v>
      </c>
      <c r="R9" t="n" s="515">
        <v>-1.422876000404358</v>
      </c>
      <c r="S9" t="n" s="515">
        <v>-1.2672077417373657</v>
      </c>
      <c r="T9" t="n" s="515">
        <v>-1.2394702434539795</v>
      </c>
      <c r="U9" t="n" s="515">
        <v>-1.284873127937317</v>
      </c>
      <c r="V9" t="n" s="515">
        <v>-1.3660147190093994</v>
      </c>
      <c r="W9" t="n" s="515">
        <v>-1.4989455938339233</v>
      </c>
      <c r="X9" t="n" s="515">
        <v>-1.7062422037124634</v>
      </c>
      <c r="Y9" t="n" s="515">
        <v>-2.004669189453125</v>
      </c>
      <c r="Z9" t="n" s="515">
        <v>-1.9915636777877808</v>
      </c>
      <c r="AA9" t="n" s="515">
        <v>-1.7876933813095093</v>
      </c>
      <c r="AB9" t="n" s="515">
        <v>-1.6010839939117432</v>
      </c>
      <c r="AC9" t="n" s="515">
        <v>-1.4331223964691162</v>
      </c>
      <c r="AD9" t="n" s="515">
        <v>-1.2932590246200562</v>
      </c>
      <c r="AE9" t="n" s="515">
        <v>-1.2174403667449951</v>
      </c>
      <c r="AF9" t="n" s="515">
        <v>-1.1702145338058472</v>
      </c>
      <c r="AG9" t="n" s="515">
        <v>-1.1329021453857422</v>
      </c>
      <c r="AH9" t="n" s="515">
        <v>-1.026192545890808</v>
      </c>
      <c r="AI9" t="n" s="515">
        <v>-0.917678952217102</v>
      </c>
      <c r="AJ9" t="n" s="515">
        <v>-0.7452295422554016</v>
      </c>
      <c r="AK9" t="n" s="515">
        <v>-0.5527825951576233</v>
      </c>
      <c r="AL9" t="n" s="515">
        <v>-0.4709143340587616</v>
      </c>
      <c r="AM9" t="n" s="515">
        <v>-0.19636237621307373</v>
      </c>
      <c r="AN9" t="n" s="515">
        <v>-0.19855357706546783</v>
      </c>
      <c r="AO9" t="n" s="515">
        <v>-0.22580000758171082</v>
      </c>
      <c r="AP9" t="n" s="515">
        <v>-0.3098979890346527</v>
      </c>
      <c r="AQ9" t="n" s="515">
        <v>-0.5390651822090149</v>
      </c>
      <c r="AR9" t="n" s="515">
        <v>-0.5848487615585327</v>
      </c>
      <c r="AS9" t="n" s="515">
        <v>-0.5411320924758911</v>
      </c>
      <c r="AT9" t="n" s="515">
        <v>-0.5724674463272095</v>
      </c>
      <c r="AU9" t="n" s="515">
        <v>-0.5762047171592712</v>
      </c>
      <c r="AV9" t="n" s="515">
        <v>-0.4976661801338196</v>
      </c>
      <c r="AW9" t="n" s="515">
        <v>-0.33674532175064087</v>
      </c>
      <c r="AX9" t="n" s="515">
        <v>-0.17169855535030365</v>
      </c>
      <c r="AY9" t="n" s="515">
        <v>0.005853268317878246</v>
      </c>
      <c r="AZ9" t="n" s="515">
        <v>0.1932036280632019</v>
      </c>
      <c r="BA9" t="n" s="515">
        <v>0.3851764500141144</v>
      </c>
      <c r="BB9" t="n" s="515">
        <v>0.5368765592575073</v>
      </c>
      <c r="BC9" t="n" s="515">
        <v>0.7029207348823547</v>
      </c>
      <c r="BD9" t="n" s="515">
        <v>0.7883257269859314</v>
      </c>
      <c r="BE9" t="n" s="515">
        <v>0.8525261282920837</v>
      </c>
      <c r="BF9" t="n" s="515">
        <v>0.924763023853302</v>
      </c>
      <c r="BG9" t="n" s="515">
        <v>1.0313258171081543</v>
      </c>
      <c r="BH9" t="n" s="515">
        <v>1.059798002243042</v>
      </c>
      <c r="BI9" t="n" s="515">
        <v>0.9489719867706299</v>
      </c>
      <c r="BJ9" t="n" s="515">
        <v>0.8851559162139893</v>
      </c>
      <c r="BK9" t="n" s="515">
        <v>1.099149465560913</v>
      </c>
      <c r="BL9" t="n" s="515">
        <v>1.2690818309783936</v>
      </c>
      <c r="BM9" t="n" s="515">
        <v>1.3702095746994019</v>
      </c>
      <c r="BN9" t="n" s="515">
        <v>1.5176032781600952</v>
      </c>
      <c r="BO9" t="n" s="515">
        <v>1.5686616897583008</v>
      </c>
      <c r="BP9" t="n" s="515">
        <v>1.5539532899856567</v>
      </c>
      <c r="BQ9" t="n" s="515">
        <v>1.501534104347229</v>
      </c>
      <c r="BR9" t="n" s="515">
        <v>1.4030930995941162</v>
      </c>
      <c r="BS9" t="n" s="515">
        <v>1.2657817602157593</v>
      </c>
      <c r="BT9" t="n" s="515">
        <v>1.0267772674560547</v>
      </c>
      <c r="BU9" t="n" s="515">
        <v>0.7423163652420044</v>
      </c>
      <c r="BV9" t="n" s="515">
        <v>0.3530607223510742</v>
      </c>
      <c r="BW9" t="n" s="515">
        <v>-0.06725850701332092</v>
      </c>
      <c r="BX9" t="n" s="515">
        <v>-0.8416697382926941</v>
      </c>
      <c r="BY9" t="n" s="515">
        <v>-1.0271458625793457</v>
      </c>
      <c r="BZ9" t="n" s="515">
        <v>-1.4098707437515259</v>
      </c>
      <c r="CA9" t="n" s="515">
        <v>-1.4765599966049194</v>
      </c>
      <c r="CB9" t="n" s="515">
        <v>-1.2296311855316162</v>
      </c>
      <c r="CC9" t="n" s="515">
        <v>-0.7889760732650757</v>
      </c>
      <c r="CD9" t="n" s="515">
        <v>-0.36638277769088745</v>
      </c>
      <c r="CE9" t="n" s="515">
        <v>0.0763726532459259</v>
      </c>
      <c r="CF9" t="n" s="515">
        <v>0.5238320231437683</v>
      </c>
      <c r="CG9" t="n" s="515">
        <v>0.9508634805679321</v>
      </c>
      <c r="CH9" t="n" s="515">
        <v>1.2770448923110962</v>
      </c>
      <c r="CI9" t="n" s="515">
        <v>1.4785263538360596</v>
      </c>
      <c r="CJ9" t="n" s="515">
        <v>1.6945617198944092</v>
      </c>
      <c r="CK9" t="n" s="515">
        <v>1.8145087957382202</v>
      </c>
      <c r="CL9" t="n" s="515">
        <v>1.8850115537643433</v>
      </c>
      <c r="CM9" t="n" s="515">
        <v>1.818206787109375</v>
      </c>
      <c r="CN9" t="n" s="515">
        <v>1.6614432334899902</v>
      </c>
      <c r="CO9" t="n" s="515">
        <v>1.4247581958770752</v>
      </c>
      <c r="CP9" t="n" s="515">
        <v>1.20124351978302</v>
      </c>
      <c r="CQ9" t="n" s="515">
        <v>1.1169297695159912</v>
      </c>
      <c r="CR9" t="n" s="515">
        <v>1.0537822246551514</v>
      </c>
      <c r="CS9" t="n" s="515">
        <v>0.1978093981742859</v>
      </c>
      <c r="CT9" t="n" s="515">
        <v>0.7484408617019653</v>
      </c>
      <c r="CU9" t="n" s="515">
        <v>0.8373429775238037</v>
      </c>
      <c r="CV9" t="n" s="515">
        <v>1.1966477632522583</v>
      </c>
      <c r="CW9" t="n" s="515">
        <v>1.5835741758346558</v>
      </c>
      <c r="CX9" t="n" s="515">
        <v>2.066249132156372</v>
      </c>
      <c r="CY9" t="n" s="515">
        <v>2.4377827644348145</v>
      </c>
      <c r="CZ9" t="n" s="515">
        <v>2.718092203140259</v>
      </c>
      <c r="DA9" t="n" s="515">
        <v>2.9223437309265137</v>
      </c>
      <c r="DB9" t="n" s="515">
        <v>3.074594020843506</v>
      </c>
      <c r="DC9" t="n" s="515">
        <v>3.1840057373046875</v>
      </c>
      <c r="DD9" t="n" s="515">
        <v>3.1918818950653076</v>
      </c>
      <c r="DE9" t="n" s="515">
        <v>3.2856767177581787</v>
      </c>
      <c r="DF9" t="n" s="515">
        <v>3.334763526916504</v>
      </c>
      <c r="DG9" t="n" s="515">
        <v>3.367471694946289</v>
      </c>
      <c r="DH9" t="n" s="515">
        <v>3.3881075382232666</v>
      </c>
      <c r="DI9" t="n" s="515">
        <v>3.4435033798217773</v>
      </c>
      <c r="DJ9" t="n" s="515">
        <v>3.4459080696105957</v>
      </c>
      <c r="DK9" t="n" s="515">
        <v>3.415097951889038</v>
      </c>
      <c r="DL9" t="n" s="515">
        <v>3.3623344898223877</v>
      </c>
      <c r="DM9" t="n" s="515">
        <v>3.029508113861084</v>
      </c>
      <c r="DN9" t="n" s="515">
        <v>2.8794915676116943</v>
      </c>
      <c r="DO9" t="n" s="515">
        <v>2.731273651123047</v>
      </c>
      <c r="DP9" t="n" s="515">
        <v>2.5431482791900635</v>
      </c>
      <c r="DQ9" t="n" s="515">
        <v>2.322892904281616</v>
      </c>
      <c r="DR9" t="n" s="515">
        <v>2.1053221225738525</v>
      </c>
      <c r="DS9" t="n" s="515">
        <v>1.811889886856079</v>
      </c>
      <c r="DT9" t="n" s="515">
        <v>1.0654000043869019</v>
      </c>
      <c r="DU9" t="n" s="515">
        <v>-1.3995001316070557</v>
      </c>
      <c r="DV9" t="n" s="515">
        <v>1.1406790018081665</v>
      </c>
      <c r="DW9" t="n" s="515">
        <v>1.0883150100708008</v>
      </c>
      <c r="DX9" t="n" s="515">
        <v>1.0240542888641357</v>
      </c>
      <c r="DY9" t="n" s="515">
        <v>1.050315499305725</v>
      </c>
      <c r="DZ9" t="n" s="515">
        <v>1.1196566820144653</v>
      </c>
      <c r="EA9" t="n" s="515">
        <v>1.2844451665878296</v>
      </c>
      <c r="EB9" t="n" s="515">
        <v>1.435714602470398</v>
      </c>
      <c r="EC9" t="n" s="515">
        <v>0.9421520233154297</v>
      </c>
      <c r="ED9" t="n" s="515">
        <v>2.151477575302124</v>
      </c>
      <c r="EE9" t="n" s="515">
        <v>2.4007418155670166</v>
      </c>
      <c r="EF9" t="n" s="515">
        <v>2.586775302886963</v>
      </c>
      <c r="EG9" t="n" s="515">
        <v>2.682563304901123</v>
      </c>
      <c r="EH9" t="n" s="515">
        <v>2.6717166900634766</v>
      </c>
      <c r="EI9" t="n" s="515">
        <v>2.555795907974243</v>
      </c>
      <c r="EJ9" t="n" s="515">
        <v>2.428220748901367</v>
      </c>
      <c r="EK9" t="n" s="515">
        <v>2.241408586502075</v>
      </c>
      <c r="EL9" t="n" s="515">
        <v>2.0409226417541504</v>
      </c>
      <c r="EM9" t="n" s="515">
        <v>1.8406144380569458</v>
      </c>
      <c r="EN9" t="n" s="515">
        <v>1.6337350606918335</v>
      </c>
      <c r="EO9" t="n" s="515">
        <v>1.4485341310501099</v>
      </c>
      <c r="EP9" t="n" s="515">
        <v>1.222236156463623</v>
      </c>
      <c r="EQ9" t="n" s="515">
        <v>1.071671724319458</v>
      </c>
      <c r="ER9" t="n" s="515">
        <v>0.9613499045372009</v>
      </c>
      <c r="ES9" t="n" s="515">
        <v>0.9693549871444702</v>
      </c>
      <c r="ET9" t="n" s="515">
        <v>1.1342061758041382</v>
      </c>
      <c r="EU9" t="n" s="515">
        <v>1.1963579654693604</v>
      </c>
      <c r="EV9" t="n" s="515">
        <v>1.2488303184509277</v>
      </c>
      <c r="EW9" t="n" s="515">
        <v>1.5811785459518433</v>
      </c>
      <c r="EX9" t="n" s="515">
        <v>1.8946691751480103</v>
      </c>
      <c r="EY9" t="n" s="515">
        <v>2.035832166671753</v>
      </c>
      <c r="EZ9" t="n" s="515">
        <v>1.594010591506958</v>
      </c>
      <c r="FA9" t="n" s="515">
        <v>2.099215269088745</v>
      </c>
      <c r="FB9" t="n" s="515">
        <v>1.9877512454986572</v>
      </c>
      <c r="FC9" t="n" s="515">
        <v>1.8631470203399658</v>
      </c>
      <c r="FD9" t="n" s="515">
        <v>1.7106393575668335</v>
      </c>
      <c r="FE9" t="n" s="515">
        <v>1.5804301500320435</v>
      </c>
      <c r="FF9" t="n" s="515">
        <v>1.4653494358062744</v>
      </c>
      <c r="FG9" t="n" s="515">
        <v>1.3565818071365356</v>
      </c>
      <c r="FH9" t="n" s="515">
        <v>1.3221492767333984</v>
      </c>
      <c r="FI9" t="n" s="515">
        <v>1.3347394466400146</v>
      </c>
      <c r="FJ9" t="n" s="515">
        <v>1.4329230785369873</v>
      </c>
      <c r="FK9" t="n" s="515">
        <v>1.6121493577957153</v>
      </c>
      <c r="FL9" t="n" s="515">
        <v>1.9717124700546265</v>
      </c>
      <c r="FM9" t="n" s="515">
        <v>2.295869827270508</v>
      </c>
      <c r="FN9" t="n" s="515">
        <v>2.4773993492126465</v>
      </c>
      <c r="FO9" t="n" s="515">
        <v>2.5367624759674072</v>
      </c>
      <c r="FP9" t="n" s="515">
        <v>2.4354805946350098</v>
      </c>
      <c r="FQ9" t="n" s="515">
        <v>2.2630527019500732</v>
      </c>
      <c r="FR9" t="n" s="515">
        <v>1.999602198600769</v>
      </c>
      <c r="FS9" t="n" s="515">
        <v>1.696616530418396</v>
      </c>
      <c r="FT9" t="n" s="515">
        <v>1.395070195198059</v>
      </c>
      <c r="FU9" t="n" s="515">
        <v>1.1122833490371704</v>
      </c>
      <c r="FV9" t="n" s="515">
        <v>0.9698646664619446</v>
      </c>
      <c r="FW9" t="n" s="515">
        <v>0.8118719458580017</v>
      </c>
      <c r="FX9" t="n" s="515">
        <v>0.6817241907119751</v>
      </c>
      <c r="FY9" t="n" s="515">
        <v>0.5657737255096436</v>
      </c>
      <c r="FZ9" t="n" s="515">
        <v>0.4291336238384247</v>
      </c>
      <c r="GA9" t="n" s="515">
        <v>0.35574716329574585</v>
      </c>
      <c r="GB9" t="n" s="515">
        <v>0.2792319655418396</v>
      </c>
      <c r="GC9" t="n" s="515">
        <v>0.2941112518310547</v>
      </c>
      <c r="GD9" t="n" s="515">
        <v>0.24136778712272644</v>
      </c>
      <c r="GE9" t="n" s="515">
        <v>0.2434108555316925</v>
      </c>
      <c r="GF9" t="n" s="515">
        <v>0.29848623275756836</v>
      </c>
      <c r="GG9" t="n" s="515">
        <v>0.4808572828769684</v>
      </c>
      <c r="GH9" t="n" s="515">
        <v>0.6663734912872314</v>
      </c>
      <c r="GI9" t="n" s="515">
        <v>0.735072135925293</v>
      </c>
      <c r="GJ9" t="n" s="515">
        <v>0.7369449138641357</v>
      </c>
      <c r="GK9" t="n" s="515">
        <v>0.8236538171768188</v>
      </c>
      <c r="GL9" t="n" s="515">
        <v>0.626358151435852</v>
      </c>
      <c r="GM9" t="n" s="515">
        <v>0.5028972029685974</v>
      </c>
      <c r="GN9" t="n" s="515">
        <v>0.36502179503440857</v>
      </c>
      <c r="GO9" t="n" s="515">
        <v>0.22588331997394562</v>
      </c>
      <c r="GP9" t="n" s="515">
        <v>0.12557755410671234</v>
      </c>
      <c r="GQ9" t="n" s="515">
        <v>0.05354692041873932</v>
      </c>
      <c r="GR9" t="n" s="515">
        <v>0.053797122091054916</v>
      </c>
      <c r="GS9" t="n" s="515">
        <v>0.04837615042924881</v>
      </c>
      <c r="GT9" t="n" s="515">
        <v>0.05484428256750107</v>
      </c>
      <c r="GU9" t="n" s="515">
        <v>0.040394727140665054</v>
      </c>
      <c r="GV9" t="n" s="515">
        <v>0.0825028046965599</v>
      </c>
      <c r="GW9" t="n" s="515">
        <v>0.11211475729942322</v>
      </c>
      <c r="GX9" t="n" s="515">
        <v>0.05512889102101326</v>
      </c>
      <c r="GY9" t="n" s="515">
        <v>-0.02774643711745739</v>
      </c>
      <c r="GZ9" t="n" s="515">
        <v>-0.2787761390209198</v>
      </c>
      <c r="HA9" t="n" s="515">
        <v>-0.4645480513572693</v>
      </c>
      <c r="HB9" t="n" s="515">
        <v>-0.658733069896698</v>
      </c>
      <c r="HC9" t="n" s="515">
        <v>-0.8040080070495605</v>
      </c>
      <c r="HD9" t="n" s="515">
        <v>-0.893315315246582</v>
      </c>
      <c r="HE9" t="n" s="515">
        <v>-1.0257208347320557</v>
      </c>
      <c r="HF9" t="n" s="515">
        <v>-1.185174822807312</v>
      </c>
      <c r="HG9" t="n" s="515">
        <v>-1.166886329650879</v>
      </c>
      <c r="HH9" t="n" s="515">
        <v>-1.1977458000183105</v>
      </c>
      <c r="HI9" t="n" s="515">
        <v>-1.2246218919754028</v>
      </c>
      <c r="HJ9" t="n" s="515">
        <v>-1.2441298961639404</v>
      </c>
      <c r="HK9" t="n" s="515">
        <v>-1.1538313627243042</v>
      </c>
      <c r="HL9" t="n" s="515">
        <v>-1.0312416553497314</v>
      </c>
      <c r="HM9" t="n" s="515">
        <v>-0.8511056303977966</v>
      </c>
      <c r="HN9" t="n" s="515">
        <v>-0.6249162554740906</v>
      </c>
      <c r="HO9" t="n" s="515">
        <v>-0.4763762950897217</v>
      </c>
      <c r="HP9" t="n" s="515">
        <v>-0.412683367729187</v>
      </c>
      <c r="HQ9" t="n" s="515">
        <v>-0.3918587267398834</v>
      </c>
      <c r="HR9" t="n" s="515">
        <v>-0.2562269866466522</v>
      </c>
      <c r="HS9" t="n" s="515">
        <v>-0.29675740003585815</v>
      </c>
      <c r="HT9" t="n" s="515">
        <v>-0.4388238191604614</v>
      </c>
      <c r="HU9" t="n" s="515">
        <v>-0.6363382935523987</v>
      </c>
      <c r="HV9" t="n" s="515">
        <v>-0.8681028485298157</v>
      </c>
      <c r="HW9" t="n" s="515">
        <v>-1.0641824007034302</v>
      </c>
      <c r="HX9" t="n" s="515">
        <v>-1.1138101816177368</v>
      </c>
      <c r="HY9" t="n" s="515">
        <v>-0.7574092745780945</v>
      </c>
      <c r="HZ9" t="n" s="515">
        <v>0.14955313503742218</v>
      </c>
      <c r="IA9" t="n" s="515">
        <v>1.3518006801605225</v>
      </c>
      <c r="IB9" t="n" s="515">
        <v>2.214848041534424</v>
      </c>
      <c r="IC9" t="n" s="515">
        <v>2.4056169986724854</v>
      </c>
    </row>
    <row r="10">
      <c r="A10" s="514">
        <f>A9+ABS(B10-B9)</f>
      </c>
      <c r="B10" s="514">
        <f>180.0/12</f>
      </c>
      <c r="C10" t="n" s="514">
        <v>180.0</v>
      </c>
      <c r="D10" t="n" s="515">
        <v>2.7596096992492676</v>
      </c>
      <c r="E10" t="n" s="515">
        <v>3.0751683712005615</v>
      </c>
      <c r="F10" t="n" s="515">
        <v>3.037386655807495</v>
      </c>
      <c r="G10" t="n" s="515">
        <v>2.7717251777648926</v>
      </c>
      <c r="H10" t="n" s="515">
        <v>2.267348527908325</v>
      </c>
      <c r="I10" t="n" s="515">
        <v>1.7314873933792114</v>
      </c>
      <c r="J10" t="n" s="515">
        <v>1.1201460361480713</v>
      </c>
      <c r="K10" t="n" s="515">
        <v>0.3660058379173279</v>
      </c>
      <c r="L10" t="n" s="515">
        <v>-0.44193732738494873</v>
      </c>
      <c r="M10" t="n" s="515">
        <v>-1.1128407716751099</v>
      </c>
      <c r="N10" t="n" s="515">
        <v>-1.5403037071228027</v>
      </c>
      <c r="O10" t="n" s="515">
        <v>-1.749680519104004</v>
      </c>
      <c r="P10" t="n" s="515">
        <v>-1.7555092573165894</v>
      </c>
      <c r="Q10" t="n" s="515">
        <v>-1.5896717309951782</v>
      </c>
      <c r="R10" t="n" s="515">
        <v>-1.3950451612472534</v>
      </c>
      <c r="S10" t="n" s="515">
        <v>-1.2016123533248901</v>
      </c>
      <c r="T10" t="n" s="515">
        <v>-1.166885256767273</v>
      </c>
      <c r="U10" t="n" s="515">
        <v>-1.2950488328933716</v>
      </c>
      <c r="V10" t="n" s="515">
        <v>-1.4876294136047363</v>
      </c>
      <c r="W10" t="n" s="515">
        <v>-1.730637550354004</v>
      </c>
      <c r="X10" t="n" s="515">
        <v>-1.977205514907837</v>
      </c>
      <c r="Y10" t="n" s="515">
        <v>-2.2112109661102295</v>
      </c>
      <c r="Z10" t="n" s="515">
        <v>-2.0632338523864746</v>
      </c>
      <c r="AA10" t="n" s="515">
        <v>-1.8244590759277344</v>
      </c>
      <c r="AB10" t="n" s="515">
        <v>-1.659604787826538</v>
      </c>
      <c r="AC10" t="n" s="515">
        <v>-1.496686577796936</v>
      </c>
      <c r="AD10" t="n" s="515">
        <v>-1.3410768508911133</v>
      </c>
      <c r="AE10" t="n" s="515">
        <v>-1.2408039569854736</v>
      </c>
      <c r="AF10" t="n" s="515">
        <v>-1.185179352760315</v>
      </c>
      <c r="AG10" t="n" s="515">
        <v>-1.1398447751998901</v>
      </c>
      <c r="AH10" t="n" s="515">
        <v>-1.0415655374526978</v>
      </c>
      <c r="AI10" t="n" s="515">
        <v>-0.9261747598648071</v>
      </c>
      <c r="AJ10" t="n" s="515">
        <v>-0.7424705028533936</v>
      </c>
      <c r="AK10" t="n" s="515">
        <v>-0.540019690990448</v>
      </c>
      <c r="AL10" t="n" s="515">
        <v>-0.43576398491859436</v>
      </c>
      <c r="AM10" t="n" s="515">
        <v>-0.15392477810382843</v>
      </c>
      <c r="AN10" t="n" s="515">
        <v>-0.17121951282024384</v>
      </c>
      <c r="AO10" t="n" s="515">
        <v>-0.24307018518447876</v>
      </c>
      <c r="AP10" t="n" s="515">
        <v>-0.35511350631713867</v>
      </c>
      <c r="AQ10" t="n" s="515">
        <v>-0.6331990361213684</v>
      </c>
      <c r="AR10" t="n" s="515">
        <v>-0.7502518892288208</v>
      </c>
      <c r="AS10" t="n" s="515">
        <v>-0.7262652516365051</v>
      </c>
      <c r="AT10" t="n" s="515">
        <v>-0.7275527715682983</v>
      </c>
      <c r="AU10" t="n" s="515">
        <v>-0.6672083735466003</v>
      </c>
      <c r="AV10" t="n" s="515">
        <v>-0.5580824017524719</v>
      </c>
      <c r="AW10" t="n" s="515">
        <v>-0.3659110963344574</v>
      </c>
      <c r="AX10" t="n" s="515">
        <v>-0.19951125979423523</v>
      </c>
      <c r="AY10" t="n" s="515">
        <v>-0.023906821385025978</v>
      </c>
      <c r="AZ10" t="n" s="515">
        <v>0.16214436292648315</v>
      </c>
      <c r="BA10" t="n" s="515">
        <v>0.350644052028656</v>
      </c>
      <c r="BB10" t="n" s="515">
        <v>0.49582841992378235</v>
      </c>
      <c r="BC10" t="n" s="515">
        <v>0.6530002355575562</v>
      </c>
      <c r="BD10" t="n" s="515">
        <v>0.7194967269897461</v>
      </c>
      <c r="BE10" t="n" s="515">
        <v>0.72797030210495</v>
      </c>
      <c r="BF10" t="n" s="515">
        <v>0.7422524094581604</v>
      </c>
      <c r="BG10" t="n" s="515">
        <v>0.7922977209091187</v>
      </c>
      <c r="BH10" t="n" s="515">
        <v>0.7826042771339417</v>
      </c>
      <c r="BI10" t="n" s="515">
        <v>0.7004041075706482</v>
      </c>
      <c r="BJ10" t="n" s="515">
        <v>0.6926907896995544</v>
      </c>
      <c r="BK10" t="n" s="515">
        <v>0.8979513645172119</v>
      </c>
      <c r="BL10" t="n" s="515">
        <v>1.0675221681594849</v>
      </c>
      <c r="BM10" t="n" s="515">
        <v>1.2094515562057495</v>
      </c>
      <c r="BN10" t="n" s="515">
        <v>1.4376957416534424</v>
      </c>
      <c r="BO10" t="n" s="515">
        <v>1.5537621974945068</v>
      </c>
      <c r="BP10" t="n" s="515">
        <v>1.589572548866272</v>
      </c>
      <c r="BQ10" t="n" s="515">
        <v>1.5891101360321045</v>
      </c>
      <c r="BR10" t="n" s="515">
        <v>1.5147839784622192</v>
      </c>
      <c r="BS10" t="n" s="515">
        <v>1.382514238357544</v>
      </c>
      <c r="BT10" t="n" s="515">
        <v>1.1203434467315674</v>
      </c>
      <c r="BU10" t="n" s="515">
        <v>0.8129146695137024</v>
      </c>
      <c r="BV10" t="n" s="515">
        <v>0.3802379071712494</v>
      </c>
      <c r="BW10" t="n" s="515">
        <v>-0.09960177540779114</v>
      </c>
      <c r="BX10" t="n" s="515">
        <v>-0.9805166721343994</v>
      </c>
      <c r="BY10" t="n" s="515">
        <v>-1.2486604452133179</v>
      </c>
      <c r="BZ10" t="n" s="515">
        <v>-1.720808744430542</v>
      </c>
      <c r="CA10" t="n" s="515">
        <v>-1.8585844039916992</v>
      </c>
      <c r="CB10" t="n" s="515">
        <v>-1.6532360315322876</v>
      </c>
      <c r="CC10" t="n" s="515">
        <v>-1.2646095752716064</v>
      </c>
      <c r="CD10" t="n" s="515">
        <v>-0.8263969421386719</v>
      </c>
      <c r="CE10" t="n" s="515">
        <v>-0.3137710690498352</v>
      </c>
      <c r="CF10" t="n" s="515">
        <v>0.21306569874286652</v>
      </c>
      <c r="CG10" t="n" s="515">
        <v>0.7023743391036987</v>
      </c>
      <c r="CH10" t="n" s="515">
        <v>1.0861760377883911</v>
      </c>
      <c r="CI10" t="n" s="515">
        <v>1.3536107540130615</v>
      </c>
      <c r="CJ10" t="n" s="515">
        <v>1.5959811210632324</v>
      </c>
      <c r="CK10" t="n" s="515">
        <v>1.7673308849334717</v>
      </c>
      <c r="CL10" t="n" s="515">
        <v>1.890629768371582</v>
      </c>
      <c r="CM10" t="n" s="515">
        <v>1.8838310241699219</v>
      </c>
      <c r="CN10" t="n" s="515">
        <v>1.7431237697601318</v>
      </c>
      <c r="CO10" t="n" s="515">
        <v>1.4708534479141235</v>
      </c>
      <c r="CP10" t="n" s="515">
        <v>1.1324918270111084</v>
      </c>
      <c r="CQ10" t="n" s="515">
        <v>0.8942462205886841</v>
      </c>
      <c r="CR10" t="n" s="515">
        <v>0.6936878561973572</v>
      </c>
      <c r="CS10" t="n" s="515">
        <v>-0.2741173505783081</v>
      </c>
      <c r="CT10" t="n" s="515">
        <v>0.33977746963500977</v>
      </c>
      <c r="CU10" t="n" s="515">
        <v>0.5011066198348999</v>
      </c>
      <c r="CV10" t="n" s="515">
        <v>0.9281184077262878</v>
      </c>
      <c r="CW10" t="n" s="515">
        <v>1.3962346315383911</v>
      </c>
      <c r="CX10" t="n" s="515">
        <v>1.980149745941162</v>
      </c>
      <c r="CY10" t="n" s="515">
        <v>2.4294848442077637</v>
      </c>
      <c r="CZ10" t="n" s="515">
        <v>2.7554068565368652</v>
      </c>
      <c r="DA10" t="n" s="515">
        <v>3.0312392711639404</v>
      </c>
      <c r="DB10" t="n" s="515">
        <v>3.2401106357574463</v>
      </c>
      <c r="DC10" t="n" s="515">
        <v>3.3878209590911865</v>
      </c>
      <c r="DD10" t="n" s="515">
        <v>3.3861119747161865</v>
      </c>
      <c r="DE10" t="n" s="515">
        <v>3.43953800201416</v>
      </c>
      <c r="DF10" t="n" s="515">
        <v>3.3896028995513916</v>
      </c>
      <c r="DG10" t="n" s="515">
        <v>3.2680399417877197</v>
      </c>
      <c r="DH10" t="n" s="515">
        <v>3.1109254360198975</v>
      </c>
      <c r="DI10" t="n" s="515">
        <v>2.9517908096313477</v>
      </c>
      <c r="DJ10" t="n" s="515">
        <v>2.8122646808624268</v>
      </c>
      <c r="DK10" t="n" s="515">
        <v>2.725033760070801</v>
      </c>
      <c r="DL10" t="n" s="515">
        <v>2.669409990310669</v>
      </c>
      <c r="DM10" t="n" s="515">
        <v>2.5120232105255127</v>
      </c>
      <c r="DN10" t="n" s="515">
        <v>2.4887447357177734</v>
      </c>
      <c r="DO10" t="n" s="515">
        <v>2.464735269546509</v>
      </c>
      <c r="DP10" t="n" s="515">
        <v>2.391387462615967</v>
      </c>
      <c r="DQ10" t="n" s="515">
        <v>2.237091064453125</v>
      </c>
      <c r="DR10" t="n" s="515">
        <v>2.0370371341705322</v>
      </c>
      <c r="DS10" t="n" s="515">
        <v>1.2527436017990112</v>
      </c>
      <c r="DT10" t="n" s="515">
        <v>-1.4412974119186401</v>
      </c>
      <c r="DU10" t="n" s="515">
        <v>1.2175406217575073</v>
      </c>
      <c r="DV10" t="n" s="515">
        <v>1.1484711170196533</v>
      </c>
      <c r="DW10" t="n" s="515">
        <v>1.025842547416687</v>
      </c>
      <c r="DX10" t="n" s="515">
        <v>0.9211481809616089</v>
      </c>
      <c r="DY10" t="n" s="515">
        <v>0.8434163928031921</v>
      </c>
      <c r="DZ10" t="n" s="515">
        <v>0.7843551635742188</v>
      </c>
      <c r="EA10" t="n" s="515">
        <v>0.8176521062850952</v>
      </c>
      <c r="EB10" t="n" s="515">
        <v>0.8922787308692932</v>
      </c>
      <c r="EC10" t="n" s="515">
        <v>0.4549451768398285</v>
      </c>
      <c r="ED10" t="n" s="515">
        <v>1.5888049602508545</v>
      </c>
      <c r="EE10" t="n" s="515">
        <v>1.9613090753555298</v>
      </c>
      <c r="EF10" t="n" s="515">
        <v>2.28983736038208</v>
      </c>
      <c r="EG10" t="n" s="515">
        <v>2.536283493041992</v>
      </c>
      <c r="EH10" t="n" s="515">
        <v>2.6586222648620605</v>
      </c>
      <c r="EI10" t="n" s="515">
        <v>2.623060464859009</v>
      </c>
      <c r="EJ10" t="n" s="515">
        <v>2.5013606548309326</v>
      </c>
      <c r="EK10" t="n" s="515">
        <v>2.29653000831604</v>
      </c>
      <c r="EL10" t="n" s="515">
        <v>2.0477747917175293</v>
      </c>
      <c r="EM10" t="n" s="515">
        <v>1.7988741397857666</v>
      </c>
      <c r="EN10" t="n" s="515">
        <v>1.5520920753479004</v>
      </c>
      <c r="EO10" t="n" s="515">
        <v>1.3447576761245728</v>
      </c>
      <c r="EP10" t="n" s="515">
        <v>1.1002174615859985</v>
      </c>
      <c r="EQ10" t="n" s="515">
        <v>0.9001681804656982</v>
      </c>
      <c r="ER10" t="n" s="515">
        <v>0.6910247802734375</v>
      </c>
      <c r="ES10" t="n" s="515">
        <v>0.5468714237213135</v>
      </c>
      <c r="ET10" t="n" s="515">
        <v>0.5886785387992859</v>
      </c>
      <c r="EU10" t="n" s="515">
        <v>0.5786961913108826</v>
      </c>
      <c r="EV10" t="n" s="515">
        <v>0.6859437823295593</v>
      </c>
      <c r="EW10" t="n" s="515">
        <v>1.1174463033676147</v>
      </c>
      <c r="EX10" t="n" s="515">
        <v>1.590592861175537</v>
      </c>
      <c r="EY10" t="n" s="515">
        <v>1.8855897188186646</v>
      </c>
      <c r="EZ10" t="n" s="515">
        <v>1.6737958192825317</v>
      </c>
      <c r="FA10" t="n" s="515">
        <v>2.1569273471832275</v>
      </c>
      <c r="FB10" t="n" s="515">
        <v>2.0445876121520996</v>
      </c>
      <c r="FC10" t="n" s="515">
        <v>1.9012775421142578</v>
      </c>
      <c r="FD10" t="n" s="515">
        <v>1.7311702966690063</v>
      </c>
      <c r="FE10" t="n" s="515">
        <v>1.6012539863586426</v>
      </c>
      <c r="FF10" t="n" s="515">
        <v>1.4794598817825317</v>
      </c>
      <c r="FG10" t="n" s="515">
        <v>1.3786256313323975</v>
      </c>
      <c r="FH10" t="n" s="515">
        <v>1.32219660282135</v>
      </c>
      <c r="FI10" t="n" s="515">
        <v>1.297219157218933</v>
      </c>
      <c r="FJ10" t="n" s="515">
        <v>1.297800064086914</v>
      </c>
      <c r="FK10" t="n" s="515">
        <v>1.3514604568481445</v>
      </c>
      <c r="FL10" t="n" s="515">
        <v>1.6261314153671265</v>
      </c>
      <c r="FM10" t="n" s="515">
        <v>1.9228804111480713</v>
      </c>
      <c r="FN10" t="n" s="515">
        <v>2.17330002784729</v>
      </c>
      <c r="FO10" t="n" s="515">
        <v>2.3108184337615967</v>
      </c>
      <c r="FP10" t="n" s="515">
        <v>2.277637004852295</v>
      </c>
      <c r="FQ10" t="n" s="515">
        <v>2.176166296005249</v>
      </c>
      <c r="FR10" t="n" s="515">
        <v>1.9800986051559448</v>
      </c>
      <c r="FS10" t="n" s="515">
        <v>1.7182738780975342</v>
      </c>
      <c r="FT10" t="n" s="515">
        <v>1.4155195951461792</v>
      </c>
      <c r="FU10" t="n" s="515">
        <v>1.1275354623794556</v>
      </c>
      <c r="FV10" t="n" s="515">
        <v>0.9692811369895935</v>
      </c>
      <c r="FW10" t="n" s="515">
        <v>0.7942302227020264</v>
      </c>
      <c r="FX10" t="n" s="515">
        <v>0.6230594515800476</v>
      </c>
      <c r="FY10" t="n" s="515">
        <v>0.48809364438056946</v>
      </c>
      <c r="FZ10" t="n" s="515">
        <v>0.31403788924217224</v>
      </c>
      <c r="GA10" t="n" s="515">
        <v>0.18159426748752594</v>
      </c>
      <c r="GB10" t="n" s="515">
        <v>0.021369675174355507</v>
      </c>
      <c r="GC10" t="n" s="515">
        <v>-0.11547589302062988</v>
      </c>
      <c r="GD10" t="n" s="515">
        <v>-0.3027799129486084</v>
      </c>
      <c r="GE10" t="n" s="515">
        <v>-0.403205543756485</v>
      </c>
      <c r="GF10" t="n" s="515">
        <v>-0.28631460666656494</v>
      </c>
      <c r="GG10" t="n" s="515">
        <v>0.05247817188501358</v>
      </c>
      <c r="GH10" t="n" s="515">
        <v>0.4747832715511322</v>
      </c>
      <c r="GI10" t="n" s="515">
        <v>0.7672938108444214</v>
      </c>
      <c r="GJ10" t="n" s="515">
        <v>0.9461732506752014</v>
      </c>
      <c r="GK10" t="n" s="515">
        <v>0.9731695652008057</v>
      </c>
      <c r="GL10" t="n" s="515">
        <v>0.8557719588279724</v>
      </c>
      <c r="GM10" t="n" s="515">
        <v>0.6537810564041138</v>
      </c>
      <c r="GN10" t="n" s="515">
        <v>0.4587145447731018</v>
      </c>
      <c r="GO10" t="n" s="515">
        <v>0.2634877562522888</v>
      </c>
      <c r="GP10" t="n" s="515">
        <v>0.14382320642471313</v>
      </c>
      <c r="GQ10" t="n" s="515">
        <v>0.06277375668287277</v>
      </c>
      <c r="GR10" t="n" s="515">
        <v>0.026960596442222595</v>
      </c>
      <c r="GS10" t="n" s="515">
        <v>-0.04218396171927452</v>
      </c>
      <c r="GT10" t="n" s="515">
        <v>-0.1442338228225708</v>
      </c>
      <c r="GU10" t="n" s="515">
        <v>-0.29483118653297424</v>
      </c>
      <c r="GV10" t="n" s="515">
        <v>-0.37163758277893066</v>
      </c>
      <c r="GW10" t="n" s="515">
        <v>-0.38005849719047546</v>
      </c>
      <c r="GX10" t="n" s="515">
        <v>-0.398435115814209</v>
      </c>
      <c r="GY10" t="n" s="515">
        <v>-0.3368116319179535</v>
      </c>
      <c r="GZ10" t="n" s="515">
        <v>-0.40170490741729736</v>
      </c>
      <c r="HA10" t="n" s="515">
        <v>-0.48661717772483826</v>
      </c>
      <c r="HB10" t="n" s="515">
        <v>-0.5905368328094482</v>
      </c>
      <c r="HC10" t="n" s="515">
        <v>-0.6927160024642944</v>
      </c>
      <c r="HD10" t="n" s="515">
        <v>-0.7641143798828125</v>
      </c>
      <c r="HE10" t="n" s="515">
        <v>-0.8829997181892395</v>
      </c>
      <c r="HF10" t="n" s="515">
        <v>-0.9911370277404785</v>
      </c>
      <c r="HG10" t="n" s="515">
        <v>-0.948066234588623</v>
      </c>
      <c r="HH10" t="n" s="515">
        <v>-0.964969277381897</v>
      </c>
      <c r="HI10" t="n" s="515">
        <v>-0.9746379256248474</v>
      </c>
      <c r="HJ10" t="n" s="515">
        <v>-1.0507075786590576</v>
      </c>
      <c r="HK10" t="n" s="515">
        <v>-1.0900135040283203</v>
      </c>
      <c r="HL10" t="n" s="515">
        <v>-1.1274455785751343</v>
      </c>
      <c r="HM10" t="n" s="515">
        <v>-1.0815507173538208</v>
      </c>
      <c r="HN10" t="n" s="515">
        <v>-0.9450491666793823</v>
      </c>
      <c r="HO10" t="n" s="515">
        <v>-0.7866207957267761</v>
      </c>
      <c r="HP10" t="n" s="515">
        <v>-0.6441180109977722</v>
      </c>
      <c r="HQ10" t="n" s="515">
        <v>-0.556743323802948</v>
      </c>
      <c r="HR10" t="n" s="515">
        <v>-0.42742085456848145</v>
      </c>
      <c r="HS10" t="n" s="515">
        <v>-0.45390400290489197</v>
      </c>
      <c r="HT10" t="n" s="515">
        <v>-0.5479227900505066</v>
      </c>
      <c r="HU10" t="n" s="515">
        <v>-0.6754936575889587</v>
      </c>
      <c r="HV10" t="n" s="515">
        <v>-0.8321486711502075</v>
      </c>
      <c r="HW10" t="n" s="515">
        <v>-0.9449645280838013</v>
      </c>
      <c r="HX10" t="n" s="515">
        <v>-0.900117039680481</v>
      </c>
      <c r="HY10" t="n" s="515">
        <v>-0.4523744583129883</v>
      </c>
      <c r="HZ10" t="n" s="515">
        <v>0.47308987379074097</v>
      </c>
      <c r="IA10" t="n" s="515">
        <v>1.6646864414215088</v>
      </c>
      <c r="IB10" t="n" s="515">
        <v>2.4743802547454834</v>
      </c>
      <c r="IC10" t="n" s="515">
        <v>2.5388431549072266</v>
      </c>
    </row>
    <row r="11">
      <c r="A11" s="514">
        <f>A10+ABS(B11-B10)</f>
      </c>
      <c r="B11" s="514">
        <f>204.0/12</f>
      </c>
      <c r="C11" t="n" s="514">
        <v>204.0</v>
      </c>
      <c r="D11" t="n" s="515">
        <v>2.484099864959717</v>
      </c>
      <c r="E11" t="n" s="515">
        <v>2.722534656524658</v>
      </c>
      <c r="F11" t="n" s="515">
        <v>2.6875863075256348</v>
      </c>
      <c r="G11" t="n" s="515">
        <v>2.503899335861206</v>
      </c>
      <c r="H11" t="n" s="515">
        <v>2.154848098754883</v>
      </c>
      <c r="I11" t="n" s="515">
        <v>1.8177313804626465</v>
      </c>
      <c r="J11" t="n" s="515">
        <v>1.3038256168365479</v>
      </c>
      <c r="K11" t="n" s="515">
        <v>0.6489726305007935</v>
      </c>
      <c r="L11" t="n" s="515">
        <v>-0.07419691234827042</v>
      </c>
      <c r="M11" t="n" s="515">
        <v>-0.7556841969490051</v>
      </c>
      <c r="N11" t="n" s="515">
        <v>-1.313454270362854</v>
      </c>
      <c r="O11" t="n" s="515">
        <v>-1.6493560075759888</v>
      </c>
      <c r="P11" t="n" s="515">
        <v>-1.7195767164230347</v>
      </c>
      <c r="Q11" t="n" s="515">
        <v>-1.5458920001983643</v>
      </c>
      <c r="R11" t="n" s="515">
        <v>-1.3224024772644043</v>
      </c>
      <c r="S11" t="n" s="515">
        <v>-1.11070716381073</v>
      </c>
      <c r="T11" t="n" s="515">
        <v>-1.0694968700408936</v>
      </c>
      <c r="U11" t="n" s="515">
        <v>-1.2510935068130493</v>
      </c>
      <c r="V11" t="n" s="515">
        <v>-1.5437145233154297</v>
      </c>
      <c r="W11" t="n" s="515">
        <v>-1.8885780572891235</v>
      </c>
      <c r="X11" t="n" s="515">
        <v>-2.1468167304992676</v>
      </c>
      <c r="Y11" t="n" s="515">
        <v>-2.2989416122436523</v>
      </c>
      <c r="Z11" t="n" s="515">
        <v>-2.050734043121338</v>
      </c>
      <c r="AA11" t="n" s="515">
        <v>-1.779768705368042</v>
      </c>
      <c r="AB11" t="n" s="515">
        <v>-1.6264890432357788</v>
      </c>
      <c r="AC11" t="n" s="515">
        <v>-1.4712387323379517</v>
      </c>
      <c r="AD11" t="n" s="515">
        <v>-1.3092352151870728</v>
      </c>
      <c r="AE11" t="n" s="515">
        <v>-1.1942603588104248</v>
      </c>
      <c r="AF11" t="n" s="515">
        <v>-1.130273461341858</v>
      </c>
      <c r="AG11" t="n" s="515">
        <v>-1.0709768533706665</v>
      </c>
      <c r="AH11" t="n" s="515">
        <v>-0.9871087074279785</v>
      </c>
      <c r="AI11" t="n" s="515">
        <v>-0.8722676038742065</v>
      </c>
      <c r="AJ11" t="n" s="515">
        <v>-0.6797189712524414</v>
      </c>
      <c r="AK11" t="n" s="515">
        <v>-0.46988314390182495</v>
      </c>
      <c r="AL11" t="n" s="515">
        <v>-0.396841436624527</v>
      </c>
      <c r="AM11" t="n" s="515">
        <v>-0.06292460858821869</v>
      </c>
      <c r="AN11" t="n" s="515">
        <v>-0.08343931287527084</v>
      </c>
      <c r="AO11" t="n" s="515">
        <v>-0.17956160008907318</v>
      </c>
      <c r="AP11" t="n" s="515">
        <v>-0.33808693289756775</v>
      </c>
      <c r="AQ11" t="n" s="515">
        <v>-0.6830806136131287</v>
      </c>
      <c r="AR11" t="n" s="515">
        <v>-0.8673323392868042</v>
      </c>
      <c r="AS11" t="n" s="515">
        <v>-0.8195600509643555</v>
      </c>
      <c r="AT11" t="n" s="515">
        <v>-0.7758033871650696</v>
      </c>
      <c r="AU11" t="n" s="515">
        <v>-0.6452301144599915</v>
      </c>
      <c r="AV11" t="n" s="515">
        <v>-0.48455286026000977</v>
      </c>
      <c r="AW11" t="n" s="515">
        <v>-0.28435271978378296</v>
      </c>
      <c r="AX11" t="n" s="515">
        <v>-0.11273873597383499</v>
      </c>
      <c r="AY11" t="n" s="515">
        <v>0.05779026448726654</v>
      </c>
      <c r="AZ11" t="n" s="515">
        <v>0.24080811440944672</v>
      </c>
      <c r="BA11" t="n" s="515">
        <v>0.41935068368911743</v>
      </c>
      <c r="BB11" t="n" s="515">
        <v>0.5745120048522949</v>
      </c>
      <c r="BC11" t="n" s="515">
        <v>0.7109287977218628</v>
      </c>
      <c r="BD11" t="n" s="515">
        <v>0.77857506275177</v>
      </c>
      <c r="BE11" t="n" s="515">
        <v>0.7569965720176697</v>
      </c>
      <c r="BF11" t="n" s="515">
        <v>0.6945918798446655</v>
      </c>
      <c r="BG11" t="n" s="515">
        <v>0.6316516995429993</v>
      </c>
      <c r="BH11" t="n" s="515">
        <v>0.5279103517532349</v>
      </c>
      <c r="BI11" t="n" s="515">
        <v>0.4380224347114563</v>
      </c>
      <c r="BJ11" t="n" s="515">
        <v>0.4699002802371979</v>
      </c>
      <c r="BK11" t="n" s="515">
        <v>0.7158335447311401</v>
      </c>
      <c r="BL11" t="n" s="515">
        <v>0.9393267631530762</v>
      </c>
      <c r="BM11" t="n" s="515">
        <v>1.1368130445480347</v>
      </c>
      <c r="BN11" t="n" s="515">
        <v>1.4311988353729248</v>
      </c>
      <c r="BO11" t="n" s="515">
        <v>1.6033114194869995</v>
      </c>
      <c r="BP11" t="n" s="515">
        <v>1.6765272617340088</v>
      </c>
      <c r="BQ11" t="n" s="515">
        <v>1.7342277765274048</v>
      </c>
      <c r="BR11" t="n" s="515">
        <v>1.6825422048568726</v>
      </c>
      <c r="BS11" t="n" s="515">
        <v>1.5668227672576904</v>
      </c>
      <c r="BT11" t="n" s="515">
        <v>1.2831193208694458</v>
      </c>
      <c r="BU11" t="n" s="515">
        <v>0.9373618364334106</v>
      </c>
      <c r="BV11" t="n" s="515">
        <v>0.4643450379371643</v>
      </c>
      <c r="BW11" t="n" s="515">
        <v>-0.0666850283741951</v>
      </c>
      <c r="BX11" t="n" s="515">
        <v>-1.0525000095367432</v>
      </c>
      <c r="BY11" t="n" s="515">
        <v>-1.3903586864471436</v>
      </c>
      <c r="BZ11" t="n" s="515">
        <v>-1.9575951099395752</v>
      </c>
      <c r="CA11" t="n" s="515">
        <v>-2.2414684295654297</v>
      </c>
      <c r="CB11" t="n" s="515">
        <v>-2.099505662918091</v>
      </c>
      <c r="CC11" t="n" s="515">
        <v>-1.7082862854003906</v>
      </c>
      <c r="CD11" t="n" s="515">
        <v>-1.2019957304000854</v>
      </c>
      <c r="CE11" t="n" s="515">
        <v>-0.6074175238609314</v>
      </c>
      <c r="CF11" t="n" s="515">
        <v>-0.011992525309324265</v>
      </c>
      <c r="CG11" t="n" s="515">
        <v>0.5378482937812805</v>
      </c>
      <c r="CH11" t="n" s="515">
        <v>0.9642648696899414</v>
      </c>
      <c r="CI11" t="n" s="515">
        <v>1.277192234992981</v>
      </c>
      <c r="CJ11" t="n" s="515">
        <v>1.5810136795043945</v>
      </c>
      <c r="CK11" t="n" s="515">
        <v>1.8022606372833252</v>
      </c>
      <c r="CL11" t="n" s="515">
        <v>1.973637342453003</v>
      </c>
      <c r="CM11" t="n" s="515">
        <v>1.9924498796463013</v>
      </c>
      <c r="CN11" t="n" s="515">
        <v>1.8775209188461304</v>
      </c>
      <c r="CO11" t="n" s="515">
        <v>1.5798797607421875</v>
      </c>
      <c r="CP11" t="n" s="515">
        <v>1.133015513420105</v>
      </c>
      <c r="CQ11" t="n" s="515">
        <v>0.7345888614654541</v>
      </c>
      <c r="CR11" t="n" s="515">
        <v>0.3791952133178711</v>
      </c>
      <c r="CS11" t="n" s="515">
        <v>-0.6057458519935608</v>
      </c>
      <c r="CT11" t="n" s="515">
        <v>-0.019339527934789658</v>
      </c>
      <c r="CU11" t="n" s="515">
        <v>0.2535800635814667</v>
      </c>
      <c r="CV11" t="n" s="515">
        <v>0.7553958296775818</v>
      </c>
      <c r="CW11" t="n" s="515">
        <v>1.3353526592254639</v>
      </c>
      <c r="CX11" t="n" s="515">
        <v>1.9916950464248657</v>
      </c>
      <c r="CY11" t="n" s="515">
        <v>2.5162460803985596</v>
      </c>
      <c r="CZ11" t="n" s="515">
        <v>2.881527900695801</v>
      </c>
      <c r="DA11" t="n" s="515">
        <v>3.233947277069092</v>
      </c>
      <c r="DB11" t="n" s="515">
        <v>3.4875574111938477</v>
      </c>
      <c r="DC11" t="n" s="515">
        <v>3.644874334335327</v>
      </c>
      <c r="DD11" t="n" s="515">
        <v>3.635453462600708</v>
      </c>
      <c r="DE11" t="n" s="515">
        <v>3.6295878887176514</v>
      </c>
      <c r="DF11" t="n" s="515">
        <v>3.503871440887451</v>
      </c>
      <c r="DG11" t="n" s="515">
        <v>3.2502002716064453</v>
      </c>
      <c r="DH11" t="n" s="515">
        <v>2.9369091987609863</v>
      </c>
      <c r="DI11" t="n" s="515">
        <v>2.555567741394043</v>
      </c>
      <c r="DJ11" t="n" s="515">
        <v>2.2355716228485107</v>
      </c>
      <c r="DK11" t="n" s="515">
        <v>2.024714946746826</v>
      </c>
      <c r="DL11" t="n" s="515">
        <v>1.9979697465896606</v>
      </c>
      <c r="DM11" t="n" s="515">
        <v>2.0350780487060547</v>
      </c>
      <c r="DN11" t="n" s="515">
        <v>2.2074456214904785</v>
      </c>
      <c r="DO11" t="n" s="515">
        <v>2.3250951766967773</v>
      </c>
      <c r="DP11" t="n" s="515">
        <v>2.3679089546203613</v>
      </c>
      <c r="DQ11" t="n" s="515">
        <v>2.2484145164489746</v>
      </c>
      <c r="DR11" t="n" s="515">
        <v>1.488726019859314</v>
      </c>
      <c r="DS11" t="n" s="515">
        <v>-1.182065725326538</v>
      </c>
      <c r="DT11" t="n" s="515">
        <v>1.432590365409851</v>
      </c>
      <c r="DU11" t="n" s="515">
        <v>1.3055660724639893</v>
      </c>
      <c r="DV11" t="n" s="515">
        <v>1.1240572929382324</v>
      </c>
      <c r="DW11" t="n" s="515">
        <v>1.1218922138214111</v>
      </c>
      <c r="DX11" t="n" s="515">
        <v>0.8781732320785522</v>
      </c>
      <c r="DY11" t="n" s="515">
        <v>0.7065682411193848</v>
      </c>
      <c r="DZ11" t="n" s="515">
        <v>0.5444617867469788</v>
      </c>
      <c r="EA11" t="n" s="515">
        <v>0.42452144622802734</v>
      </c>
      <c r="EB11" t="n" s="515">
        <v>0.3754567503929138</v>
      </c>
      <c r="EC11" t="n" s="515">
        <v>-0.21917204558849335</v>
      </c>
      <c r="ED11" t="n" s="515">
        <v>1.0115928649902344</v>
      </c>
      <c r="EE11" t="n" s="515">
        <v>1.5492783784866333</v>
      </c>
      <c r="EF11" t="n" s="515">
        <v>2.072334051132202</v>
      </c>
      <c r="EG11" t="n" s="515">
        <v>2.496763229370117</v>
      </c>
      <c r="EH11" t="n" s="515">
        <v>2.7338507175445557</v>
      </c>
      <c r="EI11" t="n" s="515">
        <v>2.7485392093658447</v>
      </c>
      <c r="EJ11" t="n" s="515">
        <v>2.6108837127685547</v>
      </c>
      <c r="EK11" t="n" s="515">
        <v>2.3813557624816895</v>
      </c>
      <c r="EL11" t="n" s="515">
        <v>2.094391107559204</v>
      </c>
      <c r="EM11" t="n" s="515">
        <v>1.8075976371765137</v>
      </c>
      <c r="EN11" t="n" s="515">
        <v>1.528061032295227</v>
      </c>
      <c r="EO11" t="n" s="515">
        <v>1.2940309047698975</v>
      </c>
      <c r="EP11" t="n" s="515">
        <v>1.0420995950698853</v>
      </c>
      <c r="EQ11" t="n" s="515">
        <v>0.7978980541229248</v>
      </c>
      <c r="ER11" t="n" s="515">
        <v>0.5139058828353882</v>
      </c>
      <c r="ES11" t="n" s="515">
        <v>0.22640512883663177</v>
      </c>
      <c r="ET11" t="n" s="515">
        <v>0.11468835920095444</v>
      </c>
      <c r="EU11" t="n" s="515">
        <v>0.06446883082389832</v>
      </c>
      <c r="EV11" t="n" s="515">
        <v>0.0907040536403656</v>
      </c>
      <c r="EW11" t="n" s="515">
        <v>0.6630025506019592</v>
      </c>
      <c r="EX11" t="n" s="515">
        <v>1.3655879497528076</v>
      </c>
      <c r="EY11" t="n" s="515">
        <v>1.8387113809585571</v>
      </c>
      <c r="EZ11" t="n" s="515">
        <v>1.6899573802947998</v>
      </c>
      <c r="FA11" t="n" s="515">
        <v>2.3056321144104004</v>
      </c>
      <c r="FB11" t="n" s="515">
        <v>2.1788675785064697</v>
      </c>
      <c r="FC11" t="n" s="515">
        <v>2.01241397857666</v>
      </c>
      <c r="FD11" t="n" s="515">
        <v>1.8256893157958984</v>
      </c>
      <c r="FE11" t="n" s="515">
        <v>1.6910302639007568</v>
      </c>
      <c r="FF11" t="n" s="515">
        <v>1.5553547143936157</v>
      </c>
      <c r="FG11" t="n" s="515">
        <v>1.4623138904571533</v>
      </c>
      <c r="FH11" t="n" s="515">
        <v>1.4017508029937744</v>
      </c>
      <c r="FI11" t="n" s="515">
        <v>1.3335765600204468</v>
      </c>
      <c r="FJ11" t="n" s="515">
        <v>1.2560757398605347</v>
      </c>
      <c r="FK11" t="n" s="515">
        <v>1.1897523403167725</v>
      </c>
      <c r="FL11" t="n" s="515">
        <v>1.3085209131240845</v>
      </c>
      <c r="FM11" t="n" s="515">
        <v>1.4848814010620117</v>
      </c>
      <c r="FN11" t="n" s="515">
        <v>1.8594932556152344</v>
      </c>
      <c r="FO11" t="n" s="515">
        <v>1.9453418254852295</v>
      </c>
      <c r="FP11" t="n" s="515">
        <v>2.098487615585327</v>
      </c>
      <c r="FQ11" t="n" s="515">
        <v>2.127600908279419</v>
      </c>
      <c r="FR11" t="n" s="515">
        <v>2.038543224334717</v>
      </c>
      <c r="FS11" t="n" s="515">
        <v>1.8454740047454834</v>
      </c>
      <c r="FT11" t="n" s="515">
        <v>1.53623366355896</v>
      </c>
      <c r="FU11" t="n" s="515">
        <v>1.2500948905944824</v>
      </c>
      <c r="FV11" t="n" s="515">
        <v>1.0760294198989868</v>
      </c>
      <c r="FW11" t="n" s="515">
        <v>0.8732455372810364</v>
      </c>
      <c r="FX11" t="n" s="515">
        <v>0.6614100337028503</v>
      </c>
      <c r="FY11" t="n" s="515">
        <v>0.5030260682106018</v>
      </c>
      <c r="FZ11" t="n" s="515">
        <v>0.31277790665626526</v>
      </c>
      <c r="GA11" t="n" s="515">
        <v>0.11881928145885468</v>
      </c>
      <c r="GB11" t="n" s="515">
        <v>-0.12317048013210297</v>
      </c>
      <c r="GC11" t="n" s="515">
        <v>-0.41161587834358215</v>
      </c>
      <c r="GD11" t="n" s="515">
        <v>-0.7124601006507874</v>
      </c>
      <c r="GE11" t="n" s="515">
        <v>-0.8701831698417664</v>
      </c>
      <c r="GF11" t="n" s="515">
        <v>-0.679840087890625</v>
      </c>
      <c r="GG11" t="n" s="515">
        <v>-0.1819165050983429</v>
      </c>
      <c r="GH11" t="n" s="515">
        <v>0.4659997522830963</v>
      </c>
      <c r="GI11" t="n" s="515">
        <v>0.9577564001083374</v>
      </c>
      <c r="GJ11" t="n" s="515">
        <v>1.2730857133865356</v>
      </c>
      <c r="GK11" t="n" s="515">
        <v>1.3366243839263916</v>
      </c>
      <c r="GL11" t="n" s="515">
        <v>1.1607242822647095</v>
      </c>
      <c r="GM11" t="n" s="515">
        <v>0.8881804943084717</v>
      </c>
      <c r="GN11" t="n" s="515">
        <v>0.6216895580291748</v>
      </c>
      <c r="GO11" t="n" s="515">
        <v>0.35137325525283813</v>
      </c>
      <c r="GP11" t="n" s="515">
        <v>0.2084573656320572</v>
      </c>
      <c r="GQ11" t="n" s="515">
        <v>0.13365225493907928</v>
      </c>
      <c r="GR11" t="n" s="515">
        <v>0.0681425929069519</v>
      </c>
      <c r="GS11" t="n" s="515">
        <v>-0.052903905510902405</v>
      </c>
      <c r="GT11" t="n" s="515">
        <v>-0.25776705145835876</v>
      </c>
      <c r="GU11" t="n" s="515">
        <v>-0.5205514430999756</v>
      </c>
      <c r="GV11" t="n" s="515">
        <v>-0.7383398413658142</v>
      </c>
      <c r="GW11" t="n" s="515">
        <v>-0.8524407148361206</v>
      </c>
      <c r="GX11" t="n" s="515">
        <v>-0.8878291845321655</v>
      </c>
      <c r="GY11" t="n" s="515">
        <v>-0.7556857466697693</v>
      </c>
      <c r="GZ11" t="n" s="515">
        <v>-0.5576003193855286</v>
      </c>
      <c r="HA11" t="n" s="515">
        <v>-0.47293561697006226</v>
      </c>
      <c r="HB11" t="n" s="515">
        <v>-0.44454747438430786</v>
      </c>
      <c r="HC11" t="n" s="515">
        <v>-0.48024383187294006</v>
      </c>
      <c r="HD11" t="n" s="515">
        <v>-0.5453624725341797</v>
      </c>
      <c r="HE11" t="n" s="515">
        <v>-0.6800085306167603</v>
      </c>
      <c r="HF11" t="n" s="515">
        <v>-0.7706183195114136</v>
      </c>
      <c r="HG11" t="n" s="515">
        <v>-0.6474619507789612</v>
      </c>
      <c r="HH11" t="n" s="515">
        <v>-0.6530490517616272</v>
      </c>
      <c r="HI11" t="n" s="515">
        <v>-0.6637626886367798</v>
      </c>
      <c r="HJ11" t="n" s="515">
        <v>-0.8132612109184265</v>
      </c>
      <c r="HK11" t="n" s="515">
        <v>-0.948820173740387</v>
      </c>
      <c r="HL11" t="n" s="515">
        <v>-1.1085337400436401</v>
      </c>
      <c r="HM11" t="n" s="515">
        <v>-1.196864366531372</v>
      </c>
      <c r="HN11" t="n" s="515">
        <v>-1.1679670810699463</v>
      </c>
      <c r="HO11" t="n" s="515">
        <v>-1.0473684072494507</v>
      </c>
      <c r="HP11" t="n" s="515">
        <v>-0.8474518060684204</v>
      </c>
      <c r="HQ11" t="n" s="515">
        <v>-0.6827623248100281</v>
      </c>
      <c r="HR11" t="n" s="515">
        <v>-0.5192137360572815</v>
      </c>
      <c r="HS11" t="n" s="515">
        <v>-0.503268837928772</v>
      </c>
      <c r="HT11" t="n" s="515">
        <v>-0.5441228747367859</v>
      </c>
      <c r="HU11" t="n" s="515">
        <v>-0.5927048325538635</v>
      </c>
      <c r="HV11" t="n" s="515">
        <v>-0.6543152928352356</v>
      </c>
      <c r="HW11" t="n" s="515">
        <v>-0.6666696071624756</v>
      </c>
      <c r="HX11" t="n" s="515">
        <v>-0.5175858736038208</v>
      </c>
      <c r="HY11" t="n" s="515">
        <v>-0.03565458953380585</v>
      </c>
      <c r="HZ11" t="n" s="515">
        <v>0.781441330909729</v>
      </c>
      <c r="IA11" t="n" s="515">
        <v>1.7829208374023438</v>
      </c>
      <c r="IB11" t="n" s="515">
        <v>2.439077138900757</v>
      </c>
      <c r="IC11" t="n" s="515">
        <v>2.4607787132263184</v>
      </c>
    </row>
    <row r="12">
      <c r="A12" s="514">
        <f>A11+ABS(B12-B11)</f>
      </c>
      <c r="B12" s="514">
        <f>228.0/12</f>
      </c>
      <c r="C12" t="n" s="514">
        <v>228.0</v>
      </c>
      <c r="D12" t="n" s="515">
        <v>1.7939317226409912</v>
      </c>
      <c r="E12" t="n" s="515">
        <v>1.9580644369125366</v>
      </c>
      <c r="F12" t="n" s="515">
        <v>1.9970471858978271</v>
      </c>
      <c r="G12" t="n" s="515">
        <v>2.0111775398254395</v>
      </c>
      <c r="H12" t="n" s="515">
        <v>2.0189530849456787</v>
      </c>
      <c r="I12" t="n" s="515">
        <v>1.9287303686141968</v>
      </c>
      <c r="J12" t="n" s="515">
        <v>1.5390585660934448</v>
      </c>
      <c r="K12" t="n" s="515">
        <v>0.9974690079689026</v>
      </c>
      <c r="L12" t="n" s="515">
        <v>0.34907084703445435</v>
      </c>
      <c r="M12" t="n" s="515">
        <v>-0.3517259359359741</v>
      </c>
      <c r="N12" t="n" s="515">
        <v>-1.0377726554870605</v>
      </c>
      <c r="O12" t="n" s="515">
        <v>-1.5068292617797852</v>
      </c>
      <c r="P12" t="n" s="515">
        <v>-1.643441081047058</v>
      </c>
      <c r="Q12" t="n" s="515">
        <v>-1.4843285083770752</v>
      </c>
      <c r="R12" t="n" s="515">
        <v>-1.2664635181427002</v>
      </c>
      <c r="S12" t="n" s="515">
        <v>-1.0676101446151733</v>
      </c>
      <c r="T12" t="n" s="515">
        <v>-1.0388901233673096</v>
      </c>
      <c r="U12" t="n" s="515">
        <v>-1.2283051013946533</v>
      </c>
      <c r="V12" t="n" s="515">
        <v>-1.5989617109298706</v>
      </c>
      <c r="W12" t="n" s="515">
        <v>-2.08162522315979</v>
      </c>
      <c r="X12" t="n" s="515">
        <v>-2.5189733505249023</v>
      </c>
      <c r="Y12" t="n" s="515">
        <v>-2.803675651550293</v>
      </c>
      <c r="Z12" t="n" s="515">
        <v>-2.4434187412261963</v>
      </c>
      <c r="AA12" t="n" s="515">
        <v>-1.9737913608551025</v>
      </c>
      <c r="AB12" t="n" s="515">
        <v>-1.688303828239441</v>
      </c>
      <c r="AC12" t="n" s="515">
        <v>-1.4792689085006714</v>
      </c>
      <c r="AD12" t="n" s="515">
        <v>-1.28788161277771</v>
      </c>
      <c r="AE12" t="n" s="515">
        <v>-1.1500778198242188</v>
      </c>
      <c r="AF12" t="n" s="515">
        <v>-1.0872424840927124</v>
      </c>
      <c r="AG12" t="n" s="515">
        <v>-1.0452519655227661</v>
      </c>
      <c r="AH12" t="n" s="515">
        <v>-0.9825037717819214</v>
      </c>
      <c r="AI12" t="n" s="515">
        <v>-0.887621283531189</v>
      </c>
      <c r="AJ12" t="n" s="515">
        <v>-0.7271485924720764</v>
      </c>
      <c r="AK12" t="n" s="515">
        <v>-0.5125641822814941</v>
      </c>
      <c r="AL12" t="n" s="515">
        <v>-0.4912435710430145</v>
      </c>
      <c r="AM12" t="n" s="515">
        <v>-0.050005074590444565</v>
      </c>
      <c r="AN12" t="n" s="515">
        <v>0.016294151544570923</v>
      </c>
      <c r="AO12" t="n" s="515">
        <v>-0.1268094778060913</v>
      </c>
      <c r="AP12" t="n" s="515">
        <v>-0.4324951171875</v>
      </c>
      <c r="AQ12" t="n" s="515">
        <v>-0.8891836404800415</v>
      </c>
      <c r="AR12" t="n" s="515">
        <v>-1.0976232290267944</v>
      </c>
      <c r="AS12" t="n" s="515">
        <v>-0.9382796287536621</v>
      </c>
      <c r="AT12" t="n" s="515">
        <v>-0.7590652704238892</v>
      </c>
      <c r="AU12" t="n" s="515">
        <v>-0.5392616391181946</v>
      </c>
      <c r="AV12" t="n" s="515">
        <v>-0.34051910042762756</v>
      </c>
      <c r="AW12" t="n" s="515">
        <v>-0.1536950021982193</v>
      </c>
      <c r="AX12" t="n" s="515">
        <v>0.038449306041002274</v>
      </c>
      <c r="AY12" t="n" s="515">
        <v>0.1939554065465927</v>
      </c>
      <c r="AZ12" t="n" s="515">
        <v>0.3627183139324188</v>
      </c>
      <c r="BA12" t="n" s="515">
        <v>0.5268537998199463</v>
      </c>
      <c r="BB12" t="n" s="515">
        <v>0.6782428622245789</v>
      </c>
      <c r="BC12" t="n" s="515">
        <v>0.7928991317749023</v>
      </c>
      <c r="BD12" t="n" s="515">
        <v>0.8682796359062195</v>
      </c>
      <c r="BE12" t="n" s="515">
        <v>0.8335222601890564</v>
      </c>
      <c r="BF12" t="n" s="515">
        <v>0.688633143901825</v>
      </c>
      <c r="BG12" t="n" s="515">
        <v>0.4667319059371948</v>
      </c>
      <c r="BH12" t="n" s="515">
        <v>0.25121140480041504</v>
      </c>
      <c r="BI12" t="n" s="515">
        <v>0.13730783760547638</v>
      </c>
      <c r="BJ12" t="n" s="515">
        <v>0.2424287050962448</v>
      </c>
      <c r="BK12" t="n" s="515">
        <v>0.5222544074058533</v>
      </c>
      <c r="BL12" t="n" s="515">
        <v>0.8221364617347717</v>
      </c>
      <c r="BM12" t="n" s="515">
        <v>1.1121832132339478</v>
      </c>
      <c r="BN12" t="n" s="515">
        <v>1.4165862798690796</v>
      </c>
      <c r="BO12" t="n" s="515">
        <v>1.6049010753631592</v>
      </c>
      <c r="BP12" t="n" s="515">
        <v>1.7078787088394165</v>
      </c>
      <c r="BQ12" t="n" s="515">
        <v>1.8136175870895386</v>
      </c>
      <c r="BR12" t="n" s="515">
        <v>1.7883641719818115</v>
      </c>
      <c r="BS12" t="n" s="515">
        <v>1.7106003761291504</v>
      </c>
      <c r="BT12" t="n" s="515">
        <v>1.4470101594924927</v>
      </c>
      <c r="BU12" t="n" s="515">
        <v>1.057037591934204</v>
      </c>
      <c r="BV12" t="n" s="515">
        <v>0.528759241104126</v>
      </c>
      <c r="BW12" t="n" s="515">
        <v>-0.03629585728049278</v>
      </c>
      <c r="BX12" t="n" s="515">
        <v>-1.1101113557815552</v>
      </c>
      <c r="BY12" t="n" s="515">
        <v>-1.500714898109436</v>
      </c>
      <c r="BZ12" t="n" s="515">
        <v>-2.135007381439209</v>
      </c>
      <c r="CA12" t="n" s="515">
        <v>-2.4727907180786133</v>
      </c>
      <c r="CB12" t="n" s="515">
        <v>-2.3635942935943604</v>
      </c>
      <c r="CC12" t="n" s="515">
        <v>-2.003661632537842</v>
      </c>
      <c r="CD12" t="n" s="515">
        <v>-1.441893219947815</v>
      </c>
      <c r="CE12" t="n" s="515">
        <v>-0.757497251033783</v>
      </c>
      <c r="CF12" t="n" s="515">
        <v>-0.09041367471218109</v>
      </c>
      <c r="CG12" t="n" s="515">
        <v>0.49483659863471985</v>
      </c>
      <c r="CH12" t="n" s="515">
        <v>0.9203394055366516</v>
      </c>
      <c r="CI12" t="n" s="515">
        <v>1.2789101600646973</v>
      </c>
      <c r="CJ12" t="n" s="515">
        <v>1.640557050704956</v>
      </c>
      <c r="CK12" t="n" s="515">
        <v>1.9047173261642456</v>
      </c>
      <c r="CL12" t="n" s="515">
        <v>2.0739829540252686</v>
      </c>
      <c r="CM12" t="n" s="515">
        <v>2.0829482078552246</v>
      </c>
      <c r="CN12" t="n" s="515">
        <v>1.966794490814209</v>
      </c>
      <c r="CO12" t="n" s="515">
        <v>1.6713007688522339</v>
      </c>
      <c r="CP12" t="n" s="515">
        <v>1.169877529144287</v>
      </c>
      <c r="CQ12" t="n" s="515">
        <v>0.5946030020713806</v>
      </c>
      <c r="CR12" t="n" s="515">
        <v>0.06671829521656036</v>
      </c>
      <c r="CS12" t="n" s="515">
        <v>-1.000665545463562</v>
      </c>
      <c r="CT12" t="n" s="515">
        <v>-0.44419094920158386</v>
      </c>
      <c r="CU12" t="n" s="515">
        <v>-0.06850812584161758</v>
      </c>
      <c r="CV12" t="n" s="515">
        <v>0.5975461602210999</v>
      </c>
      <c r="CW12" t="n" s="515">
        <v>1.334650993347168</v>
      </c>
      <c r="CX12" t="n" s="515">
        <v>2.0608015060424805</v>
      </c>
      <c r="CY12" t="n" s="515">
        <v>2.6373472213745117</v>
      </c>
      <c r="CZ12" t="n" s="515">
        <v>3.0409610271453857</v>
      </c>
      <c r="DA12" t="n" s="515">
        <v>3.5028927326202393</v>
      </c>
      <c r="DB12" t="n" s="515">
        <v>3.778057813644409</v>
      </c>
      <c r="DC12" t="n" s="515">
        <v>3.9053561687469482</v>
      </c>
      <c r="DD12" t="n" s="515">
        <v>3.862415075302124</v>
      </c>
      <c r="DE12" t="n" s="515">
        <v>3.777773857116699</v>
      </c>
      <c r="DF12" t="n" s="515">
        <v>3.5987040996551514</v>
      </c>
      <c r="DG12" t="n" s="515">
        <v>3.289703845977783</v>
      </c>
      <c r="DH12" t="n" s="515">
        <v>2.840284824371338</v>
      </c>
      <c r="DI12" t="n" s="515">
        <v>2.2798972129821777</v>
      </c>
      <c r="DJ12" t="n" s="515">
        <v>1.7812851667404175</v>
      </c>
      <c r="DK12" t="n" s="515">
        <v>1.4669208526611328</v>
      </c>
      <c r="DL12" t="n" s="515">
        <v>1.4950822591781616</v>
      </c>
      <c r="DM12" t="n" s="515">
        <v>1.6353631019592285</v>
      </c>
      <c r="DN12" t="n" s="515">
        <v>1.970733880996704</v>
      </c>
      <c r="DO12" t="n" s="515">
        <v>2.2562875747680664</v>
      </c>
      <c r="DP12" t="n" s="515">
        <v>2.433619976043701</v>
      </c>
      <c r="DQ12" t="n" s="515">
        <v>1.784372329711914</v>
      </c>
      <c r="DR12" t="n" s="515">
        <v>-1.015194058418274</v>
      </c>
      <c r="DS12" t="n" s="515">
        <v>1.5935938358306885</v>
      </c>
      <c r="DT12" t="n" s="515">
        <v>1.5008882284164429</v>
      </c>
      <c r="DU12" t="n" s="515">
        <v>1.2767215967178345</v>
      </c>
      <c r="DV12" t="n" s="515">
        <v>1.1114448308944702</v>
      </c>
      <c r="DW12" t="n" s="515">
        <v>1.073257565498352</v>
      </c>
      <c r="DX12" t="n" s="515">
        <v>0.8014463782310486</v>
      </c>
      <c r="DY12" t="n" s="515">
        <v>0.5880172252655029</v>
      </c>
      <c r="DZ12" t="n" s="515">
        <v>0.36353635787963867</v>
      </c>
      <c r="EA12" t="n" s="515">
        <v>0.09898927062749863</v>
      </c>
      <c r="EB12" t="n" s="515">
        <v>-0.057970356196165085</v>
      </c>
      <c r="EC12" t="n" s="515">
        <v>-0.6827848553657532</v>
      </c>
      <c r="ED12" t="n" s="515">
        <v>0.4830147922039032</v>
      </c>
      <c r="EE12" t="n" s="515">
        <v>1.1567339897155762</v>
      </c>
      <c r="EF12" t="n" s="515">
        <v>1.892985224723816</v>
      </c>
      <c r="EG12" t="n" s="515">
        <v>2.5210580825805664</v>
      </c>
      <c r="EH12" t="n" s="515">
        <v>2.829620361328125</v>
      </c>
      <c r="EI12" t="n" s="515">
        <v>2.8537423610687256</v>
      </c>
      <c r="EJ12" t="n" s="515">
        <v>2.6658973693847656</v>
      </c>
      <c r="EK12" t="n" s="515">
        <v>2.4251949787139893</v>
      </c>
      <c r="EL12" t="n" s="515">
        <v>2.109320640563965</v>
      </c>
      <c r="EM12" t="n" s="515">
        <v>1.7895698547363281</v>
      </c>
      <c r="EN12" t="n" s="515">
        <v>1.5010501146316528</v>
      </c>
      <c r="EO12" t="n" s="515">
        <v>1.2311491966247559</v>
      </c>
      <c r="EP12" t="n" s="515">
        <v>0.9600735902786255</v>
      </c>
      <c r="EQ12" t="n" s="515">
        <v>0.6850585341453552</v>
      </c>
      <c r="ER12" t="n" s="515">
        <v>0.3420807123184204</v>
      </c>
      <c r="ES12" t="n" s="515">
        <v>-0.04146893694996834</v>
      </c>
      <c r="ET12" t="n" s="515">
        <v>-0.315268874168396</v>
      </c>
      <c r="EU12" t="n" s="515">
        <v>-0.4874902665615082</v>
      </c>
      <c r="EV12" t="n" s="515">
        <v>-0.39015161991119385</v>
      </c>
      <c r="EW12" t="n" s="515">
        <v>0.2702951431274414</v>
      </c>
      <c r="EX12" t="n" s="515">
        <v>1.1307651996612549</v>
      </c>
      <c r="EY12" t="n" s="515">
        <v>1.7795054912567139</v>
      </c>
      <c r="EZ12" t="n" s="515">
        <v>1.9715231657028198</v>
      </c>
      <c r="FA12" t="n" s="515">
        <v>2.488166332244873</v>
      </c>
      <c r="FB12" t="n" s="515">
        <v>2.3320043087005615</v>
      </c>
      <c r="FC12" t="n" s="515">
        <v>2.10807204246521</v>
      </c>
      <c r="FD12" t="n" s="515">
        <v>1.9042600393295288</v>
      </c>
      <c r="FE12" t="n" s="515">
        <v>1.7372126579284668</v>
      </c>
      <c r="FF12" t="n" s="515">
        <v>1.5948450565338135</v>
      </c>
      <c r="FG12" t="n" s="515">
        <v>1.4737191200256348</v>
      </c>
      <c r="FH12" t="n" s="515">
        <v>1.3907921314239502</v>
      </c>
      <c r="FI12" t="n" s="515">
        <v>1.31145179271698</v>
      </c>
      <c r="FJ12" t="n" s="515">
        <v>1.1908315420150757</v>
      </c>
      <c r="FK12" t="n" s="515">
        <v>1.048095941543579</v>
      </c>
      <c r="FL12" t="n" s="515">
        <v>0.9509437084197998</v>
      </c>
      <c r="FM12" t="n" s="515">
        <v>0.9329639077186584</v>
      </c>
      <c r="FN12" t="n" s="515">
        <v>1.1611900329589844</v>
      </c>
      <c r="FO12" t="n" s="515">
        <v>1.4504133462905884</v>
      </c>
      <c r="FP12" t="n" s="515">
        <v>1.7729586362838745</v>
      </c>
      <c r="FQ12" t="n" s="515">
        <v>1.9803426265716553</v>
      </c>
      <c r="FR12" t="n" s="515">
        <v>2.0497541427612305</v>
      </c>
      <c r="FS12" t="n" s="515">
        <v>1.9547193050384521</v>
      </c>
      <c r="FT12" t="n" s="515">
        <v>1.6742193698883057</v>
      </c>
      <c r="FU12" t="n" s="515">
        <v>1.3596007823944092</v>
      </c>
      <c r="FV12" t="n" s="515">
        <v>1.1258203983306885</v>
      </c>
      <c r="FW12" t="n" s="515">
        <v>0.8864209651947021</v>
      </c>
      <c r="FX12" t="n" s="515">
        <v>0.65472012758255</v>
      </c>
      <c r="FY12" t="n" s="515">
        <v>0.4888736605644226</v>
      </c>
      <c r="FZ12" t="n" s="515">
        <v>0.2845931351184845</v>
      </c>
      <c r="GA12" t="n" s="515">
        <v>0.033677615225315094</v>
      </c>
      <c r="GB12" t="n" s="515">
        <v>-0.27845874428749084</v>
      </c>
      <c r="GC12" t="n" s="515">
        <v>-0.6655593514442444</v>
      </c>
      <c r="GD12" t="n" s="515">
        <v>-1.0362285375595093</v>
      </c>
      <c r="GE12" t="n" s="515">
        <v>-1.2364213466644287</v>
      </c>
      <c r="GF12" t="n" s="515">
        <v>-0.9619422554969788</v>
      </c>
      <c r="GG12" t="n" s="515">
        <v>-0.29111605882644653</v>
      </c>
      <c r="GH12" t="n" s="515">
        <v>0.4894983172416687</v>
      </c>
      <c r="GI12" t="n" s="515">
        <v>1.1834110021591187</v>
      </c>
      <c r="GJ12" t="n" s="515">
        <v>1.6458344459533691</v>
      </c>
      <c r="GK12" t="n" s="515">
        <v>1.713416576385498</v>
      </c>
      <c r="GL12" t="n" s="515">
        <v>1.4913238286972046</v>
      </c>
      <c r="GM12" t="n" s="515">
        <v>1.1210508346557617</v>
      </c>
      <c r="GN12" t="n" s="515">
        <v>0.708624541759491</v>
      </c>
      <c r="GO12" t="n" s="515">
        <v>0.34829533100128174</v>
      </c>
      <c r="GP12" t="n" s="515">
        <v>0.20190797746181488</v>
      </c>
      <c r="GQ12" t="n" s="515">
        <v>0.16168753802776337</v>
      </c>
      <c r="GR12" t="n" s="515">
        <v>0.07256098091602325</v>
      </c>
      <c r="GS12" t="n" s="515">
        <v>-0.08825334161520004</v>
      </c>
      <c r="GT12" t="n" s="515">
        <v>-0.35996684432029724</v>
      </c>
      <c r="GU12" t="n" s="515">
        <v>-0.7017349004745483</v>
      </c>
      <c r="GV12" t="n" s="515">
        <v>-1.067754864692688</v>
      </c>
      <c r="GW12" t="n" s="515">
        <v>-1.340076208114624</v>
      </c>
      <c r="GX12" t="n" s="515">
        <v>-1.4875836372375488</v>
      </c>
      <c r="GY12" t="n" s="515">
        <v>-1.3169584274291992</v>
      </c>
      <c r="GZ12" t="n" s="515">
        <v>-0.8810515403747559</v>
      </c>
      <c r="HA12" t="n" s="515">
        <v>-0.5634819865226746</v>
      </c>
      <c r="HB12" t="n" s="515">
        <v>-0.33193331956863403</v>
      </c>
      <c r="HC12" t="n" s="515">
        <v>-0.23504434525966644</v>
      </c>
      <c r="HD12" t="n" s="515">
        <v>-0.2691907286643982</v>
      </c>
      <c r="HE12" t="n" s="515">
        <v>-0.40908145904541016</v>
      </c>
      <c r="HF12" t="n" s="515">
        <v>-0.4509584605693817</v>
      </c>
      <c r="HG12" t="n" s="515">
        <v>-0.40368205308914185</v>
      </c>
      <c r="HH12" t="n" s="515">
        <v>-0.4048183560371399</v>
      </c>
      <c r="HI12" t="n" s="515">
        <v>-0.40380996465682983</v>
      </c>
      <c r="HJ12" t="n" s="515">
        <v>-0.6086325645446777</v>
      </c>
      <c r="HK12" t="n" s="515">
        <v>-0.8240006566047668</v>
      </c>
      <c r="HL12" t="n" s="515">
        <v>-1.042441487312317</v>
      </c>
      <c r="HM12" t="n" s="515">
        <v>-1.205188274383545</v>
      </c>
      <c r="HN12" t="n" s="515">
        <v>-1.304858684539795</v>
      </c>
      <c r="HO12" t="n" s="515">
        <v>-1.3345009088516235</v>
      </c>
      <c r="HP12" t="n" s="515">
        <v>-1.1899609565734863</v>
      </c>
      <c r="HQ12" t="n" s="515">
        <v>-0.9207401871681213</v>
      </c>
      <c r="HR12" t="n" s="515">
        <v>-0.7113775014877319</v>
      </c>
      <c r="HS12" t="n" s="515">
        <v>-0.5952606797218323</v>
      </c>
      <c r="HT12" t="n" s="515">
        <v>-0.533866286277771</v>
      </c>
      <c r="HU12" t="n" s="515">
        <v>-0.5011820197105408</v>
      </c>
      <c r="HV12" t="n" s="515">
        <v>-0.45290786027908325</v>
      </c>
      <c r="HW12" t="n" s="515">
        <v>-0.3202366828918457</v>
      </c>
      <c r="HX12" t="n" s="515">
        <v>-0.0906224474310875</v>
      </c>
      <c r="HY12" t="n" s="515">
        <v>0.41942664980888367</v>
      </c>
      <c r="HZ12" t="n" s="515">
        <v>1.142490029335022</v>
      </c>
      <c r="IA12" t="n" s="515">
        <v>1.8414554595947266</v>
      </c>
      <c r="IB12" t="n" s="515">
        <v>2.1767988204956055</v>
      </c>
      <c r="IC12" t="n" s="515">
        <v>2.1188673973083496</v>
      </c>
    </row>
    <row r="13">
      <c r="A13" s="514">
        <f>A12+ABS(B13-B12)</f>
      </c>
      <c r="B13" s="514">
        <f>252.0/12</f>
      </c>
      <c r="C13" t="n" s="514">
        <v>252.0</v>
      </c>
      <c r="D13" t="n" s="515">
        <v>1.2791857719421387</v>
      </c>
      <c r="E13" t="n" s="515">
        <v>1.3640763759613037</v>
      </c>
      <c r="F13" t="n" s="515">
        <v>1.4433037042617798</v>
      </c>
      <c r="G13" t="n" s="515">
        <v>1.4842292070388794</v>
      </c>
      <c r="H13" t="n" s="515">
        <v>1.5064082145690918</v>
      </c>
      <c r="I13" t="n" s="515">
        <v>1.5426480770111084</v>
      </c>
      <c r="J13" t="n" s="515">
        <v>1.3796734809875488</v>
      </c>
      <c r="K13" t="n" s="515">
        <v>1.0261701345443726</v>
      </c>
      <c r="L13" t="n" s="515">
        <v>0.47393181920051575</v>
      </c>
      <c r="M13" t="n" s="515">
        <v>-0.20004843175411224</v>
      </c>
      <c r="N13" t="n" s="515">
        <v>-0.8604872822761536</v>
      </c>
      <c r="O13" t="n" s="515">
        <v>-1.2456430196762085</v>
      </c>
      <c r="P13" t="n" s="515">
        <v>-1.3694781064987183</v>
      </c>
      <c r="Q13" t="n" s="515">
        <v>-1.2092113494873047</v>
      </c>
      <c r="R13" t="n" s="515">
        <v>-1.0224089622497559</v>
      </c>
      <c r="S13" t="n" s="515">
        <v>-0.8531226515769958</v>
      </c>
      <c r="T13" t="n" s="515">
        <v>-0.8694469332695007</v>
      </c>
      <c r="U13" t="n" s="515">
        <v>-1.0220750570297241</v>
      </c>
      <c r="V13" t="n" s="515">
        <v>-1.3441144227981567</v>
      </c>
      <c r="W13" t="n" s="515">
        <v>-1.7948975563049316</v>
      </c>
      <c r="X13" t="n" s="515">
        <v>-2.273637056350708</v>
      </c>
      <c r="Y13" t="n" s="515">
        <v>-2.570323944091797</v>
      </c>
      <c r="Z13" t="n" s="515">
        <v>-2.4843039512634277</v>
      </c>
      <c r="AA13" t="n" s="515">
        <v>-2.215162515640259</v>
      </c>
      <c r="AB13" t="n" s="515">
        <v>-1.8816945552825928</v>
      </c>
      <c r="AC13" t="n" s="515">
        <v>-1.6240308284759521</v>
      </c>
      <c r="AD13" t="n" s="515">
        <v>-1.384411096572876</v>
      </c>
      <c r="AE13" t="n" s="515">
        <v>-1.2316962480545044</v>
      </c>
      <c r="AF13" t="n" s="515">
        <v>-1.1055779457092285</v>
      </c>
      <c r="AG13" t="n" s="515">
        <v>-0.9384964108467102</v>
      </c>
      <c r="AH13" t="n" s="515">
        <v>-0.8219835758209229</v>
      </c>
      <c r="AI13" t="n" s="515">
        <v>-0.701055645942688</v>
      </c>
      <c r="AJ13" t="n" s="515">
        <v>-0.5638740062713623</v>
      </c>
      <c r="AK13" t="n" s="515">
        <v>-0.3262331485748291</v>
      </c>
      <c r="AL13" t="n" s="515">
        <v>-0.36473479866981506</v>
      </c>
      <c r="AM13" t="n" s="515">
        <v>0.018207572400569916</v>
      </c>
      <c r="AN13" t="n" s="515">
        <v>0.028168585151433945</v>
      </c>
      <c r="AO13" t="n" s="515">
        <v>-0.17371995747089386</v>
      </c>
      <c r="AP13" t="n" s="515">
        <v>-0.4744240641593933</v>
      </c>
      <c r="AQ13" t="n" s="515">
        <v>-0.8180039525032043</v>
      </c>
      <c r="AR13" t="n" s="515">
        <v>-0.9295480847358704</v>
      </c>
      <c r="AS13" t="n" s="515">
        <v>-0.8633958101272583</v>
      </c>
      <c r="AT13" t="n" s="515">
        <v>-0.6741155982017517</v>
      </c>
      <c r="AU13" t="n" s="515">
        <v>-0.5641805529594421</v>
      </c>
      <c r="AV13" t="n" s="515">
        <v>-0.5123308300971985</v>
      </c>
      <c r="AW13" t="n" s="515">
        <v>-0.4934249520301819</v>
      </c>
      <c r="AX13" t="n" s="515">
        <v>-0.15918678045272827</v>
      </c>
      <c r="AY13" t="n" s="515">
        <v>0.2631295919418335</v>
      </c>
      <c r="AZ13" t="n" s="515">
        <v>0.5921057462692261</v>
      </c>
      <c r="BA13" t="n" s="515">
        <v>0.8299136757850647</v>
      </c>
      <c r="BB13" t="n" s="515">
        <v>0.9707168936729431</v>
      </c>
      <c r="BC13" t="n" s="515">
        <v>1.067322850227356</v>
      </c>
      <c r="BD13" t="n" s="515">
        <v>1.0703428983688354</v>
      </c>
      <c r="BE13" t="n" s="515">
        <v>1.0285171270370483</v>
      </c>
      <c r="BF13" t="n" s="515">
        <v>0.8794551491737366</v>
      </c>
      <c r="BG13" t="n" s="515">
        <v>0.6107629537582397</v>
      </c>
      <c r="BH13" t="n" s="515">
        <v>0.3824978172779083</v>
      </c>
      <c r="BI13" t="n" s="515">
        <v>0.31466585397720337</v>
      </c>
      <c r="BJ13" t="n" s="515">
        <v>0.40207988023757935</v>
      </c>
      <c r="BK13" t="n" s="515">
        <v>0.5680553913116455</v>
      </c>
      <c r="BL13" t="n" s="515">
        <v>0.82406085729599</v>
      </c>
      <c r="BM13" t="n" s="515">
        <v>1.1702537536621094</v>
      </c>
      <c r="BN13" t="n" s="515">
        <v>1.4859510660171509</v>
      </c>
      <c r="BO13" t="n" s="515">
        <v>1.5824905633926392</v>
      </c>
      <c r="BP13" t="n" s="515">
        <v>1.623578429222107</v>
      </c>
      <c r="BQ13" t="n" s="515">
        <v>1.9385350942611694</v>
      </c>
      <c r="BR13" t="n" s="515">
        <v>1.97232186794281</v>
      </c>
      <c r="BS13" t="n" s="515">
        <v>1.843167781829834</v>
      </c>
      <c r="BT13" t="n" s="515">
        <v>1.5385838747024536</v>
      </c>
      <c r="BU13" t="n" s="515">
        <v>1.1461259126663208</v>
      </c>
      <c r="BV13" t="n" s="515">
        <v>0.6266453266143799</v>
      </c>
      <c r="BW13" t="n" s="515">
        <v>0.02573278546333313</v>
      </c>
      <c r="BX13" t="n" s="515">
        <v>-1.0931262969970703</v>
      </c>
      <c r="BY13" t="n" s="515">
        <v>-1.3951562643051147</v>
      </c>
      <c r="BZ13" t="n" s="515">
        <v>-1.9928383827209473</v>
      </c>
      <c r="CA13" t="n" s="515">
        <v>-2.3250534534454346</v>
      </c>
      <c r="CB13" t="n" s="515">
        <v>-2.284658193588257</v>
      </c>
      <c r="CC13" t="n" s="515">
        <v>-1.9802329540252686</v>
      </c>
      <c r="CD13" t="n" s="515">
        <v>-1.4498661756515503</v>
      </c>
      <c r="CE13" t="n" s="515">
        <v>-0.7462409138679504</v>
      </c>
      <c r="CF13" t="n" s="515">
        <v>0.0074366373009979725</v>
      </c>
      <c r="CG13" t="n" s="515">
        <v>0.6352216601371765</v>
      </c>
      <c r="CH13" t="n" s="515">
        <v>1.05657160282135</v>
      </c>
      <c r="CI13" t="n" s="515">
        <v>1.51470148563385</v>
      </c>
      <c r="CJ13" t="n" s="515">
        <v>1.8497910499572754</v>
      </c>
      <c r="CK13" t="n" s="515">
        <v>2.1391475200653076</v>
      </c>
      <c r="CL13" t="n" s="515">
        <v>2.2581350803375244</v>
      </c>
      <c r="CM13" t="n" s="515">
        <v>2.196823835372925</v>
      </c>
      <c r="CN13" t="n" s="515">
        <v>2.055382251739502</v>
      </c>
      <c r="CO13" t="n" s="515">
        <v>1.7502774000167847</v>
      </c>
      <c r="CP13" t="n" s="515">
        <v>1.2194089889526367</v>
      </c>
      <c r="CQ13" t="n" s="515">
        <v>0.6131624579429626</v>
      </c>
      <c r="CR13" t="n" s="515">
        <v>0.05050022900104523</v>
      </c>
      <c r="CS13" t="n" s="515">
        <v>-0.9887991547584534</v>
      </c>
      <c r="CT13" t="n" s="515">
        <v>-0.36427322030067444</v>
      </c>
      <c r="CU13" t="n" s="515">
        <v>-0.08363339304924011</v>
      </c>
      <c r="CV13" t="n" s="515">
        <v>0.46161165833473206</v>
      </c>
      <c r="CW13" t="n" s="515">
        <v>1.113889455795288</v>
      </c>
      <c r="CX13" t="n" s="515">
        <v>1.7408560514450073</v>
      </c>
      <c r="CY13" t="n" s="515">
        <v>2.231069803237915</v>
      </c>
      <c r="CZ13" t="n" s="515">
        <v>2.603273868560791</v>
      </c>
      <c r="DA13" t="n" s="515">
        <v>3.2514994144439697</v>
      </c>
      <c r="DB13" t="n" s="515">
        <v>3.639906406402588</v>
      </c>
      <c r="DC13" t="n" s="515">
        <v>3.8263041973114014</v>
      </c>
      <c r="DD13" t="n" s="515">
        <v>3.822842597961426</v>
      </c>
      <c r="DE13" t="n" s="515">
        <v>3.7343599796295166</v>
      </c>
      <c r="DF13" t="n" s="515">
        <v>3.5178585052490234</v>
      </c>
      <c r="DG13" t="n" s="515">
        <v>3.177119016647339</v>
      </c>
      <c r="DH13" t="n" s="515">
        <v>2.7412710189819336</v>
      </c>
      <c r="DI13" t="n" s="515">
        <v>2.314631462097168</v>
      </c>
      <c r="DJ13" t="n" s="515">
        <v>1.9074890613555908</v>
      </c>
      <c r="DK13" t="n" s="515">
        <v>1.6140650510787964</v>
      </c>
      <c r="DL13" t="n" s="515">
        <v>1.5643947124481201</v>
      </c>
      <c r="DM13" t="n" s="515">
        <v>1.6832985877990723</v>
      </c>
      <c r="DN13" t="n" s="515">
        <v>1.8738702535629272</v>
      </c>
      <c r="DO13" t="n" s="515">
        <v>1.9751278162002563</v>
      </c>
      <c r="DP13" t="n" s="515">
        <v>1.4144279956817627</v>
      </c>
      <c r="DQ13" t="n" s="515">
        <v>-1.2952919006347656</v>
      </c>
      <c r="DR13" t="n" s="515">
        <v>1.1008177995681763</v>
      </c>
      <c r="DS13" t="n" s="515">
        <v>1.2754071950912476</v>
      </c>
      <c r="DT13" t="n" s="515">
        <v>1.2772079706192017</v>
      </c>
      <c r="DU13" t="n" s="515">
        <v>1.2462565898895264</v>
      </c>
      <c r="DV13" t="n" s="515">
        <v>1.1671838760375977</v>
      </c>
      <c r="DW13" t="n" s="515">
        <v>1.0352635383605957</v>
      </c>
      <c r="DX13" t="n" s="515">
        <v>0.8474263548851013</v>
      </c>
      <c r="DY13" t="n" s="515">
        <v>0.5921097993850708</v>
      </c>
      <c r="DZ13" t="n" s="515">
        <v>0.3621366024017334</v>
      </c>
      <c r="EA13" t="n" s="515">
        <v>0.12814921140670776</v>
      </c>
      <c r="EB13" t="n" s="515">
        <v>0.01314498670399189</v>
      </c>
      <c r="EC13" t="n" s="515">
        <v>-0.7467249631881714</v>
      </c>
      <c r="ED13" t="n" s="515">
        <v>0.3022625148296356</v>
      </c>
      <c r="EE13" t="n" s="515">
        <v>0.7491105198860168</v>
      </c>
      <c r="EF13" t="n" s="515">
        <v>1.2060644626617432</v>
      </c>
      <c r="EG13" t="n" s="515">
        <v>1.6967934370040894</v>
      </c>
      <c r="EH13" t="n" s="515">
        <v>2.010624408721924</v>
      </c>
      <c r="EI13" t="n" s="515">
        <v>2.184229612350464</v>
      </c>
      <c r="EJ13" t="n" s="515">
        <v>2.21873140335083</v>
      </c>
      <c r="EK13" t="n" s="515">
        <v>2.1677029132843018</v>
      </c>
      <c r="EL13" t="n" s="515">
        <v>1.996335744857788</v>
      </c>
      <c r="EM13" t="n" s="515">
        <v>1.719733476638794</v>
      </c>
      <c r="EN13" t="n" s="515">
        <v>1.4895455837249756</v>
      </c>
      <c r="EO13" t="n" s="515">
        <v>1.2456070184707642</v>
      </c>
      <c r="EP13" t="n" s="515">
        <v>0.9396569728851318</v>
      </c>
      <c r="EQ13" t="n" s="515">
        <v>0.586712658405304</v>
      </c>
      <c r="ER13" t="n" s="515">
        <v>0.19745267927646637</v>
      </c>
      <c r="ES13" t="n" s="515">
        <v>-0.12013350427150726</v>
      </c>
      <c r="ET13" t="n" s="515">
        <v>-0.3901127874851227</v>
      </c>
      <c r="EU13" t="n" s="515">
        <v>-0.5027098059654236</v>
      </c>
      <c r="EV13" t="n" s="515">
        <v>-0.3648718297481537</v>
      </c>
      <c r="EW13" t="n" s="515">
        <v>0.11991959810256958</v>
      </c>
      <c r="EX13" t="n" s="515">
        <v>0.7452878355979919</v>
      </c>
      <c r="EY13" t="n" s="515">
        <v>1.2762632369995117</v>
      </c>
      <c r="EZ13" t="n" s="515">
        <v>1.4748936891555786</v>
      </c>
      <c r="FA13" t="n" s="515">
        <v>2.0123848915100098</v>
      </c>
      <c r="FB13" t="n" s="515">
        <v>2.062809705734253</v>
      </c>
      <c r="FC13" t="n" s="515">
        <v>2.080373764038086</v>
      </c>
      <c r="FD13" t="n" s="515">
        <v>2.0867249965667725</v>
      </c>
      <c r="FE13" t="n" s="515">
        <v>1.9547505378723145</v>
      </c>
      <c r="FF13" t="n" s="515">
        <v>1.8331561088562012</v>
      </c>
      <c r="FG13" t="n" s="515">
        <v>1.7162996530532837</v>
      </c>
      <c r="FH13" t="n" s="515">
        <v>1.5835899114608765</v>
      </c>
      <c r="FI13" t="n" s="515">
        <v>1.447816252708435</v>
      </c>
      <c r="FJ13" t="n" s="515">
        <v>1.2686797380447388</v>
      </c>
      <c r="FK13" t="n" s="515">
        <v>1.111519455909729</v>
      </c>
      <c r="FL13" t="n" s="515">
        <v>0.9697107076644897</v>
      </c>
      <c r="FM13" t="n" s="515">
        <v>0.938173234462738</v>
      </c>
      <c r="FN13" t="n" s="515">
        <v>1.0737147331237793</v>
      </c>
      <c r="FO13" t="n" s="515">
        <v>1.3670940399169922</v>
      </c>
      <c r="FP13" t="n" s="515">
        <v>1.6133244037628174</v>
      </c>
      <c r="FQ13" t="n" s="515">
        <v>1.740421175956726</v>
      </c>
      <c r="FR13" t="n" s="515">
        <v>1.7404438257217407</v>
      </c>
      <c r="FS13" t="n" s="515">
        <v>1.5778576135635376</v>
      </c>
      <c r="FT13" t="n" s="515">
        <v>1.3194713592529297</v>
      </c>
      <c r="FU13" t="n" s="515">
        <v>1.0512816905975342</v>
      </c>
      <c r="FV13" t="n" s="515">
        <v>0.9002737402915955</v>
      </c>
      <c r="FW13" t="n" s="515">
        <v>0.729466438293457</v>
      </c>
      <c r="FX13" t="n" s="515">
        <v>0.5603494644165039</v>
      </c>
      <c r="FY13" t="n" s="515">
        <v>0.444357305765152</v>
      </c>
      <c r="FZ13" t="n" s="515">
        <v>0.23891451954841614</v>
      </c>
      <c r="GA13" t="n" s="515">
        <v>-0.027574850246310234</v>
      </c>
      <c r="GB13" t="n" s="515">
        <v>-0.3199734091758728</v>
      </c>
      <c r="GC13" t="n" s="515">
        <v>-0.6650038361549377</v>
      </c>
      <c r="GD13" t="n" s="515">
        <v>-0.9534057378768921</v>
      </c>
      <c r="GE13" t="n" s="515">
        <v>-1.1197715997695923</v>
      </c>
      <c r="GF13" t="n" s="515">
        <v>-0.9369108080863953</v>
      </c>
      <c r="GG13" t="n" s="515">
        <v>-0.43713632225990295</v>
      </c>
      <c r="GH13" t="n" s="515">
        <v>0.17154212296009064</v>
      </c>
      <c r="GI13" t="n" s="515">
        <v>0.7286702394485474</v>
      </c>
      <c r="GJ13" t="n" s="515">
        <v>1.136198878288269</v>
      </c>
      <c r="GK13" t="n" s="515">
        <v>1.2844674587249756</v>
      </c>
      <c r="GL13" t="n" s="515">
        <v>1.2115321159362793</v>
      </c>
      <c r="GM13" t="n" s="515">
        <v>1.1414542198181152</v>
      </c>
      <c r="GN13" t="n" s="515">
        <v>0.9209555983543396</v>
      </c>
      <c r="GO13" t="n" s="515">
        <v>0.6499243974685669</v>
      </c>
      <c r="GP13" t="n" s="515">
        <v>0.5220758318901062</v>
      </c>
      <c r="GQ13" t="n" s="515">
        <v>0.42615970969200134</v>
      </c>
      <c r="GR13" t="n" s="515">
        <v>0.2699683904647827</v>
      </c>
      <c r="GS13" t="n" s="515">
        <v>0.03834480419754982</v>
      </c>
      <c r="GT13" t="n" s="515">
        <v>-0.26650354266166687</v>
      </c>
      <c r="GU13" t="n" s="515">
        <v>-0.6093633770942688</v>
      </c>
      <c r="GV13" t="n" s="515">
        <v>-0.9765375256538391</v>
      </c>
      <c r="GW13" t="n" s="515">
        <v>-1.2714866399765015</v>
      </c>
      <c r="GX13" t="n" s="515">
        <v>-1.4442692995071411</v>
      </c>
      <c r="GY13" t="n" s="515">
        <v>-1.3479584455490112</v>
      </c>
      <c r="GZ13" t="n" s="515">
        <v>-1.0322120189666748</v>
      </c>
      <c r="HA13" t="n" s="515">
        <v>-0.7262540459632874</v>
      </c>
      <c r="HB13" t="n" s="515">
        <v>-0.45570024847984314</v>
      </c>
      <c r="HC13" t="n" s="515">
        <v>-0.29359182715415955</v>
      </c>
      <c r="HD13" t="n" s="515">
        <v>-0.2812630236148834</v>
      </c>
      <c r="HE13" t="n" s="515">
        <v>-0.439802348613739</v>
      </c>
      <c r="HF13" t="n" s="515">
        <v>-0.40576982498168945</v>
      </c>
      <c r="HG13" t="n" s="515">
        <v>-0.3246743679046631</v>
      </c>
      <c r="HH13" t="n" s="515">
        <v>-0.2518681585788727</v>
      </c>
      <c r="HI13" t="n" s="515">
        <v>-0.20611925423145294</v>
      </c>
      <c r="HJ13" t="n" s="515">
        <v>-0.32958999276161194</v>
      </c>
      <c r="HK13" t="n" s="515">
        <v>-0.5428757667541504</v>
      </c>
      <c r="HL13" t="n" s="515">
        <v>-0.7622781991958618</v>
      </c>
      <c r="HM13" t="n" s="515">
        <v>-0.9807607531547546</v>
      </c>
      <c r="HN13" t="n" s="515">
        <v>-1.1132471561431885</v>
      </c>
      <c r="HO13" t="n" s="515">
        <v>-1.129310965538025</v>
      </c>
      <c r="HP13" t="n" s="515">
        <v>-1.0073257684707642</v>
      </c>
      <c r="HQ13" t="n" s="515">
        <v>-0.7913247346878052</v>
      </c>
      <c r="HR13" t="n" s="515">
        <v>-0.6683146953582764</v>
      </c>
      <c r="HS13" t="n" s="515">
        <v>-0.5885443091392517</v>
      </c>
      <c r="HT13" t="n" s="515">
        <v>-0.5190891623497009</v>
      </c>
      <c r="HU13" t="n" s="515">
        <v>-0.5040622353553772</v>
      </c>
      <c r="HV13" t="n" s="515">
        <v>-0.38214603066444397</v>
      </c>
      <c r="HW13" t="n" s="515">
        <v>-0.0671999529004097</v>
      </c>
      <c r="HX13" t="n" s="515">
        <v>0.3332383930683136</v>
      </c>
      <c r="HY13" t="n" s="515">
        <v>0.9531518816947937</v>
      </c>
      <c r="HZ13" t="n" s="515">
        <v>1.591956615447998</v>
      </c>
      <c r="IA13" t="n" s="515">
        <v>1.997909426689148</v>
      </c>
      <c r="IB13" t="n" s="515">
        <v>2.0170047283172607</v>
      </c>
      <c r="IC13" t="n" s="515">
        <v>1.8082493543624878</v>
      </c>
    </row>
    <row r="14">
      <c r="A14" s="514">
        <f>A13+ABS(B14-B13)</f>
      </c>
      <c r="B14" s="514">
        <f>276.0/12</f>
      </c>
      <c r="C14" t="n" s="514">
        <v>276.0</v>
      </c>
      <c r="D14" t="n" s="515">
        <v>1.0651808977127075</v>
      </c>
      <c r="E14" t="n" s="515">
        <v>1.0692312717437744</v>
      </c>
      <c r="F14" t="n" s="515">
        <v>1.09622061252594</v>
      </c>
      <c r="G14" t="n" s="515">
        <v>1.1164137125015259</v>
      </c>
      <c r="H14" t="n" s="515">
        <v>1.127036213874817</v>
      </c>
      <c r="I14" t="n" s="515">
        <v>1.0939910411834717</v>
      </c>
      <c r="J14" t="n" s="515">
        <v>0.9642428755760193</v>
      </c>
      <c r="K14" t="n" s="515">
        <v>0.6613954901695251</v>
      </c>
      <c r="L14" t="n" s="515">
        <v>0.18010474741458893</v>
      </c>
      <c r="M14" t="n" s="515">
        <v>-0.3255581855773926</v>
      </c>
      <c r="N14" t="n" s="515">
        <v>-0.7795521020889282</v>
      </c>
      <c r="O14" t="n" s="515">
        <v>-1.0506645441055298</v>
      </c>
      <c r="P14" t="n" s="515">
        <v>-1.131088376045227</v>
      </c>
      <c r="Q14" t="n" s="515">
        <v>-1.0218124389648438</v>
      </c>
      <c r="R14" t="n" s="515">
        <v>-0.922570526599884</v>
      </c>
      <c r="S14" t="n" s="515">
        <v>-0.8236446976661682</v>
      </c>
      <c r="T14" t="n" s="515">
        <v>-0.8632919192314148</v>
      </c>
      <c r="U14" t="n" s="515">
        <v>-1.0029406547546387</v>
      </c>
      <c r="V14" t="n" s="515">
        <v>-1.2458627223968506</v>
      </c>
      <c r="W14" t="n" s="515">
        <v>-1.5979931354522705</v>
      </c>
      <c r="X14" t="n" s="515">
        <v>-2.0210115909576416</v>
      </c>
      <c r="Y14" t="n" s="515">
        <v>-2.344878911972046</v>
      </c>
      <c r="Z14" t="n" s="515">
        <v>-2.471693277359009</v>
      </c>
      <c r="AA14" t="n" s="515">
        <v>-2.4707930088043213</v>
      </c>
      <c r="AB14" t="n" s="515">
        <v>-2.32605242729187</v>
      </c>
      <c r="AC14" t="n" s="515">
        <v>-2.1540825366973877</v>
      </c>
      <c r="AD14" t="n" s="515">
        <v>-1.9110113382339478</v>
      </c>
      <c r="AE14" t="n" s="515">
        <v>-1.6316758394241333</v>
      </c>
      <c r="AF14" t="n" s="515">
        <v>-1.3409053087234497</v>
      </c>
      <c r="AG14" t="n" s="515">
        <v>-1.030203938484192</v>
      </c>
      <c r="AH14" t="n" s="515">
        <v>-0.8026061058044434</v>
      </c>
      <c r="AI14" t="n" s="515">
        <v>-0.5922202467918396</v>
      </c>
      <c r="AJ14" t="n" s="515">
        <v>-0.40041646361351013</v>
      </c>
      <c r="AK14" t="n" s="515">
        <v>-0.21240532398223877</v>
      </c>
      <c r="AL14" t="n" s="515">
        <v>-0.3513769507408142</v>
      </c>
      <c r="AM14" t="n" s="515">
        <v>-0.018562795594334602</v>
      </c>
      <c r="AN14" t="n" s="515">
        <v>-0.03787540644407272</v>
      </c>
      <c r="AO14" t="n" s="515">
        <v>-0.1937449872493744</v>
      </c>
      <c r="AP14" t="n" s="515">
        <v>-0.37281495332717896</v>
      </c>
      <c r="AQ14" t="n" s="515">
        <v>-0.5580865144729614</v>
      </c>
      <c r="AR14" t="n" s="515">
        <v>-0.6202662587165833</v>
      </c>
      <c r="AS14" t="n" s="515">
        <v>-0.6263973116874695</v>
      </c>
      <c r="AT14" t="n" s="515">
        <v>-0.5840577483177185</v>
      </c>
      <c r="AU14" t="n" s="515">
        <v>-0.6104909181594849</v>
      </c>
      <c r="AV14" t="n" s="515">
        <v>-0.6472770571708679</v>
      </c>
      <c r="AW14" t="n" s="515">
        <v>-0.6352285742759705</v>
      </c>
      <c r="AX14" t="n" s="515">
        <v>-0.17774127423763275</v>
      </c>
      <c r="AY14" t="n" s="515">
        <v>0.4198513627052307</v>
      </c>
      <c r="AZ14" t="n" s="515">
        <v>0.884922981262207</v>
      </c>
      <c r="BA14" t="n" s="515">
        <v>1.1619431972503662</v>
      </c>
      <c r="BB14" t="n" s="515">
        <v>1.2826204299926758</v>
      </c>
      <c r="BC14" t="n" s="515">
        <v>1.324039101600647</v>
      </c>
      <c r="BD14" t="n" s="515">
        <v>1.2821930646896362</v>
      </c>
      <c r="BE14" t="n" s="515">
        <v>1.1918591260910034</v>
      </c>
      <c r="BF14" t="n" s="515">
        <v>1.0673891305923462</v>
      </c>
      <c r="BG14" t="n" s="515">
        <v>0.7995818257331848</v>
      </c>
      <c r="BH14" t="n" s="515">
        <v>0.5709783434867859</v>
      </c>
      <c r="BI14" t="n" s="515">
        <v>0.5054824948310852</v>
      </c>
      <c r="BJ14" t="n" s="515">
        <v>0.5090329647064209</v>
      </c>
      <c r="BK14" t="n" s="515">
        <v>0.579353392124176</v>
      </c>
      <c r="BL14" t="n" s="515">
        <v>0.760827362537384</v>
      </c>
      <c r="BM14" t="n" s="515">
        <v>1.0819634199142456</v>
      </c>
      <c r="BN14" t="n" s="515">
        <v>1.3713650703430176</v>
      </c>
      <c r="BO14" t="n" s="515">
        <v>1.4634201526641846</v>
      </c>
      <c r="BP14" t="n" s="515">
        <v>1.6096560955047607</v>
      </c>
      <c r="BQ14" t="n" s="515">
        <v>2.0175745487213135</v>
      </c>
      <c r="BR14" t="n" s="515">
        <v>2.050804615020752</v>
      </c>
      <c r="BS14" t="n" s="515">
        <v>1.879875659942627</v>
      </c>
      <c r="BT14" t="n" s="515">
        <v>1.5430564880371094</v>
      </c>
      <c r="BU14" t="n" s="515">
        <v>1.159035325050354</v>
      </c>
      <c r="BV14" t="n" s="515">
        <v>0.22018542885780334</v>
      </c>
      <c r="BW14" t="n" s="515">
        <v>0.030839720740914345</v>
      </c>
      <c r="BX14" t="n" s="515">
        <v>-1.48770010471344</v>
      </c>
      <c r="BY14" t="n" s="515">
        <v>-1.3638514280319214</v>
      </c>
      <c r="BZ14" t="n" s="515">
        <v>-1.8844705820083618</v>
      </c>
      <c r="CA14" t="n" s="515">
        <v>-2.2262399196624756</v>
      </c>
      <c r="CB14" t="n" s="515">
        <v>-2.247751474380493</v>
      </c>
      <c r="CC14" t="n" s="515">
        <v>-2.016695737838745</v>
      </c>
      <c r="CD14" t="n" s="515">
        <v>-1.602176308631897</v>
      </c>
      <c r="CE14" t="n" s="515">
        <v>-0.9498236775398254</v>
      </c>
      <c r="CF14" t="n" s="515">
        <v>-0.16241252422332764</v>
      </c>
      <c r="CG14" t="n" s="515">
        <v>0.5609005093574524</v>
      </c>
      <c r="CH14" t="n" s="515">
        <v>1.0765233039855957</v>
      </c>
      <c r="CI14" t="n" s="515">
        <v>1.5887541770935059</v>
      </c>
      <c r="CJ14" t="n" s="515">
        <v>1.9269938468933105</v>
      </c>
      <c r="CK14" t="n" s="515">
        <v>2.225099802017212</v>
      </c>
      <c r="CL14" t="n" s="515">
        <v>2.3429207801818848</v>
      </c>
      <c r="CM14" t="n" s="515">
        <v>2.200761079788208</v>
      </c>
      <c r="CN14" t="n" s="515">
        <v>2.0211377143859863</v>
      </c>
      <c r="CO14" t="n" s="515">
        <v>1.7140216827392578</v>
      </c>
      <c r="CP14" t="n" s="515">
        <v>1.1610987186431885</v>
      </c>
      <c r="CQ14" t="n" s="515">
        <v>0.5496101379394531</v>
      </c>
      <c r="CR14" t="n" s="515">
        <v>0.1022479310631752</v>
      </c>
      <c r="CS14" t="n" s="515">
        <v>-0.7475099563598633</v>
      </c>
      <c r="CT14" t="n" s="515">
        <v>-0.302528977394104</v>
      </c>
      <c r="CU14" t="n" s="515">
        <v>-0.13568411767482758</v>
      </c>
      <c r="CV14" t="n" s="515">
        <v>0.21453535556793213</v>
      </c>
      <c r="CW14" t="n" s="515">
        <v>0.7065603137016296</v>
      </c>
      <c r="CX14" t="n" s="515">
        <v>1.213184118270874</v>
      </c>
      <c r="CY14" t="n" s="515">
        <v>1.6845945119857788</v>
      </c>
      <c r="CZ14" t="n" s="515">
        <v>2.1698601245880127</v>
      </c>
      <c r="DA14" t="n" s="515">
        <v>2.9076600074768066</v>
      </c>
      <c r="DB14" t="n" s="515">
        <v>3.372523784637451</v>
      </c>
      <c r="DC14" t="n" s="515">
        <v>3.618875503540039</v>
      </c>
      <c r="DD14" t="n" s="515">
        <v>3.668532609939575</v>
      </c>
      <c r="DE14" t="n" s="515">
        <v>3.593519926071167</v>
      </c>
      <c r="DF14" t="n" s="515">
        <v>3.370157480239868</v>
      </c>
      <c r="DG14" t="n" s="515">
        <v>3.0133159160614014</v>
      </c>
      <c r="DH14" t="n" s="515">
        <v>2.597036123275757</v>
      </c>
      <c r="DI14" t="n" s="515">
        <v>2.2340030670166016</v>
      </c>
      <c r="DJ14" t="n" s="515">
        <v>1.9154901504516602</v>
      </c>
      <c r="DK14" t="n" s="515">
        <v>1.6582355499267578</v>
      </c>
      <c r="DL14" t="n" s="515">
        <v>1.5437932014465332</v>
      </c>
      <c r="DM14" t="n" s="515">
        <v>1.5521962642669678</v>
      </c>
      <c r="DN14" t="n" s="515">
        <v>1.5664124488830566</v>
      </c>
      <c r="DO14" t="n" s="515">
        <v>0.9242080450057983</v>
      </c>
      <c r="DP14" t="n" s="515">
        <v>-1.7517049312591553</v>
      </c>
      <c r="DQ14" t="n" s="515">
        <v>0.8180909156799316</v>
      </c>
      <c r="DR14" t="n" s="515">
        <v>0.6540142297744751</v>
      </c>
      <c r="DS14" t="n" s="515">
        <v>0.7699175477027893</v>
      </c>
      <c r="DT14" t="n" s="515">
        <v>0.9839686751365662</v>
      </c>
      <c r="DU14" t="n" s="515">
        <v>1.1237220764160156</v>
      </c>
      <c r="DV14" t="n" s="515">
        <v>1.1478835344314575</v>
      </c>
      <c r="DW14" t="n" s="515">
        <v>1.0191552639007568</v>
      </c>
      <c r="DX14" t="n" s="515">
        <v>0.8038780093193054</v>
      </c>
      <c r="DY14" t="n" s="515">
        <v>0.5355563163757324</v>
      </c>
      <c r="DZ14" t="n" s="515">
        <v>0.31999775767326355</v>
      </c>
      <c r="EA14" t="n" s="515">
        <v>0.16787298023700714</v>
      </c>
      <c r="EB14" t="n" s="515">
        <v>0.07376989722251892</v>
      </c>
      <c r="EC14" t="n" s="515">
        <v>-0.7426159381866455</v>
      </c>
      <c r="ED14" t="n" s="515">
        <v>0.17429326474666595</v>
      </c>
      <c r="EE14" t="n" s="515">
        <v>0.3841547667980194</v>
      </c>
      <c r="EF14" t="n" s="515">
        <v>0.6059314012527466</v>
      </c>
      <c r="EG14" t="n" s="515">
        <v>0.9249836206436157</v>
      </c>
      <c r="EH14" t="n" s="515">
        <v>1.232064127922058</v>
      </c>
      <c r="EI14" t="n" s="515">
        <v>1.5288751125335693</v>
      </c>
      <c r="EJ14" t="n" s="515">
        <v>1.782911777496338</v>
      </c>
      <c r="EK14" t="n" s="515">
        <v>1.9080307483673096</v>
      </c>
      <c r="EL14" t="n" s="515">
        <v>1.8186843395233154</v>
      </c>
      <c r="EM14" t="n" s="515">
        <v>1.6268337965011597</v>
      </c>
      <c r="EN14" t="n" s="515">
        <v>1.4400691986083984</v>
      </c>
      <c r="EO14" t="n" s="515">
        <v>1.1993541717529297</v>
      </c>
      <c r="EP14" t="n" s="515">
        <v>0.8492466807365417</v>
      </c>
      <c r="EQ14" t="n" s="515">
        <v>0.4383813738822937</v>
      </c>
      <c r="ER14" t="n" s="515">
        <v>0.028632689267396927</v>
      </c>
      <c r="ES14" t="n" s="515">
        <v>-0.25221407413482666</v>
      </c>
      <c r="ET14" t="n" s="515">
        <v>-0.4379810094833374</v>
      </c>
      <c r="EU14" t="n" s="515">
        <v>-0.46634459495544434</v>
      </c>
      <c r="EV14" t="n" s="515">
        <v>-0.34343868494033813</v>
      </c>
      <c r="EW14" t="n" s="515">
        <v>-0.016982417553663254</v>
      </c>
      <c r="EX14" t="n" s="515">
        <v>0.38895052671432495</v>
      </c>
      <c r="EY14" t="n" s="515">
        <v>0.7639471292495728</v>
      </c>
      <c r="EZ14" t="n" s="515">
        <v>0.8428931832313538</v>
      </c>
      <c r="FA14" t="n" s="515">
        <v>1.4891901016235352</v>
      </c>
      <c r="FB14" t="n" s="515">
        <v>1.739163875579834</v>
      </c>
      <c r="FC14" t="n" s="515">
        <v>1.913183569908142</v>
      </c>
      <c r="FD14" t="n" s="515">
        <v>2.0607666969299316</v>
      </c>
      <c r="FE14" t="n" s="515">
        <v>2.06355357170105</v>
      </c>
      <c r="FF14" t="n" s="515">
        <v>1.9813966751098633</v>
      </c>
      <c r="FG14" t="n" s="515">
        <v>1.8474104404449463</v>
      </c>
      <c r="FH14" t="n" s="515">
        <v>1.643871545791626</v>
      </c>
      <c r="FI14" t="n" s="515">
        <v>1.437272548675537</v>
      </c>
      <c r="FJ14" t="n" s="515">
        <v>1.2221150398254395</v>
      </c>
      <c r="FK14" t="n" s="515">
        <v>1.072537899017334</v>
      </c>
      <c r="FL14" t="n" s="515">
        <v>0.9867289662361145</v>
      </c>
      <c r="FM14" t="n" s="515">
        <v>1.0069050788879395</v>
      </c>
      <c r="FN14" t="n" s="515">
        <v>1.1267729997634888</v>
      </c>
      <c r="FO14" t="n" s="515">
        <v>1.29706871509552</v>
      </c>
      <c r="FP14" t="n" s="515">
        <v>1.4186559915542603</v>
      </c>
      <c r="FQ14" t="n" s="515">
        <v>1.3864643573760986</v>
      </c>
      <c r="FR14" t="n" s="515">
        <v>1.2368167638778687</v>
      </c>
      <c r="FS14" t="n" s="515">
        <v>1.0047019720077515</v>
      </c>
      <c r="FT14" t="n" s="515">
        <v>0.7543041706085205</v>
      </c>
      <c r="FU14" t="n" s="515">
        <v>0.559264600276947</v>
      </c>
      <c r="FV14" t="n" s="515">
        <v>0.4786745011806488</v>
      </c>
      <c r="FW14" t="n" s="515">
        <v>0.4436480402946472</v>
      </c>
      <c r="FX14" t="n" s="515">
        <v>0.36350566148757935</v>
      </c>
      <c r="FY14" t="n" s="515">
        <v>0.26550915837287903</v>
      </c>
      <c r="FZ14" t="n" s="515">
        <v>0.05845150351524353</v>
      </c>
      <c r="GA14" t="n" s="515">
        <v>-0.2190803736448288</v>
      </c>
      <c r="GB14" t="n" s="515">
        <v>-0.47476980090141296</v>
      </c>
      <c r="GC14" t="n" s="515">
        <v>-0.7185189127922058</v>
      </c>
      <c r="GD14" t="n" s="515">
        <v>-0.8779112696647644</v>
      </c>
      <c r="GE14" t="n" s="515">
        <v>-0.9775712490081787</v>
      </c>
      <c r="GF14" t="n" s="515">
        <v>-0.8833402991294861</v>
      </c>
      <c r="GG14" t="n" s="515">
        <v>-0.592637300491333</v>
      </c>
      <c r="GH14" t="n" s="515">
        <v>-0.22873716056346893</v>
      </c>
      <c r="GI14" t="n" s="515">
        <v>0.12078949809074402</v>
      </c>
      <c r="GJ14" t="n" s="515">
        <v>0.3725774884223938</v>
      </c>
      <c r="GK14" t="n" s="515">
        <v>0.5594595074653625</v>
      </c>
      <c r="GL14" t="n" s="515">
        <v>0.7672021985054016</v>
      </c>
      <c r="GM14" t="n" s="515">
        <v>0.9919962882995605</v>
      </c>
      <c r="GN14" t="n" s="515">
        <v>0.9956942796707153</v>
      </c>
      <c r="GO14" t="n" s="515">
        <v>0.9206084609031677</v>
      </c>
      <c r="GP14" t="n" s="515">
        <v>0.8536644577980042</v>
      </c>
      <c r="GQ14" t="n" s="515">
        <v>0.6729247570037842</v>
      </c>
      <c r="GR14" t="n" s="515">
        <v>0.39412176609039307</v>
      </c>
      <c r="GS14" t="n" s="515">
        <v>0.05220146104693413</v>
      </c>
      <c r="GT14" t="n" s="515">
        <v>-0.28031930327415466</v>
      </c>
      <c r="GU14" t="n" s="515">
        <v>-0.5984011888504028</v>
      </c>
      <c r="GV14" t="n" s="515">
        <v>-0.8971012830734253</v>
      </c>
      <c r="GW14" t="n" s="515">
        <v>-1.143193244934082</v>
      </c>
      <c r="GX14" t="n" s="515">
        <v>-1.3250720500946045</v>
      </c>
      <c r="GY14" t="n" s="515">
        <v>-1.332565188407898</v>
      </c>
      <c r="GZ14" t="n" s="515">
        <v>-1.208716869354248</v>
      </c>
      <c r="HA14" t="n" s="515">
        <v>-1.076980710029602</v>
      </c>
      <c r="HB14" t="n" s="515">
        <v>-0.9248146414756775</v>
      </c>
      <c r="HC14" t="n" s="515">
        <v>-0.8135161995887756</v>
      </c>
      <c r="HD14" t="n" s="515">
        <v>-0.771898627281189</v>
      </c>
      <c r="HE14" t="n" s="515">
        <v>-0.8381462693214417</v>
      </c>
      <c r="HF14" t="n" s="515">
        <v>-0.7916889190673828</v>
      </c>
      <c r="HG14" t="n" s="515">
        <v>-0.49353915452957153</v>
      </c>
      <c r="HH14" t="n" s="515">
        <v>-0.2760219871997833</v>
      </c>
      <c r="HI14" t="n" s="515">
        <v>-0.10550173372030258</v>
      </c>
      <c r="HJ14" t="n" s="515">
        <v>-0.1739441454410553</v>
      </c>
      <c r="HK14" t="n" s="515">
        <v>-0.37302687764167786</v>
      </c>
      <c r="HL14" t="n" s="515">
        <v>-0.5607776045799255</v>
      </c>
      <c r="HM14" t="n" s="515">
        <v>-0.7900466918945312</v>
      </c>
      <c r="HN14" t="n" s="515">
        <v>-0.8936310410499573</v>
      </c>
      <c r="HO14" t="n" s="515">
        <v>-0.8945090174674988</v>
      </c>
      <c r="HP14" t="n" s="515">
        <v>-0.8236528635025024</v>
      </c>
      <c r="HQ14" t="n" s="515">
        <v>-0.7021956443786621</v>
      </c>
      <c r="HR14" t="n" s="515">
        <v>-0.6533809304237366</v>
      </c>
      <c r="HS14" t="n" s="515">
        <v>-0.6977638602256775</v>
      </c>
      <c r="HT14" t="n" s="515">
        <v>-0.6772232055664062</v>
      </c>
      <c r="HU14" t="n" s="515">
        <v>-0.6782820224761963</v>
      </c>
      <c r="HV14" t="n" s="515">
        <v>-0.46235910058021545</v>
      </c>
      <c r="HW14" t="n" s="515">
        <v>0.059820447117090225</v>
      </c>
      <c r="HX14" t="n" s="515">
        <v>0.7001709938049316</v>
      </c>
      <c r="HY14" t="n" s="515">
        <v>1.4087213277816772</v>
      </c>
      <c r="HZ14" t="n" s="515">
        <v>1.987673282623291</v>
      </c>
      <c r="IA14" t="n" s="515">
        <v>2.2345454692840576</v>
      </c>
      <c r="IB14" t="n" s="515">
        <v>2.0768303871154785</v>
      </c>
      <c r="IC14" t="n" s="515">
        <v>1.7267876863479614</v>
      </c>
    </row>
    <row r="15">
      <c r="A15" s="514">
        <f>A14+ABS(B15-B14)</f>
      </c>
      <c r="B15" s="514">
        <f>300.0/12</f>
      </c>
      <c r="C15" t="n" s="514">
        <v>300.0</v>
      </c>
      <c r="D15" t="n" s="515">
        <v>0.997782289981842</v>
      </c>
      <c r="E15" t="n" s="515">
        <v>0.932742714881897</v>
      </c>
      <c r="F15" t="n" s="515">
        <v>0.9229382276535034</v>
      </c>
      <c r="G15" t="n" s="515">
        <v>0.9340968132019043</v>
      </c>
      <c r="H15" t="n" s="515">
        <v>0.9833599328994751</v>
      </c>
      <c r="I15" t="n" s="515">
        <v>0.9118156433105469</v>
      </c>
      <c r="J15" t="n" s="515">
        <v>0.7129393815994263</v>
      </c>
      <c r="K15" t="n" s="515">
        <v>0.3774157166481018</v>
      </c>
      <c r="L15" t="n" s="515">
        <v>-0.03705921769142151</v>
      </c>
      <c r="M15" t="n" s="515">
        <v>-0.35881638526916504</v>
      </c>
      <c r="N15" t="n" s="515">
        <v>-0.5871307253837585</v>
      </c>
      <c r="O15" t="n" s="515">
        <v>-0.7551290392875671</v>
      </c>
      <c r="P15" t="n" s="515">
        <v>-0.8333805799484253</v>
      </c>
      <c r="Q15" t="n" s="515">
        <v>-0.8051225543022156</v>
      </c>
      <c r="R15" t="n" s="515">
        <v>-0.8112235069274902</v>
      </c>
      <c r="S15" t="n" s="515">
        <v>-0.821500301361084</v>
      </c>
      <c r="T15" t="n" s="515">
        <v>-0.8984302282333374</v>
      </c>
      <c r="U15" t="n" s="515">
        <v>-1.0125569105148315</v>
      </c>
      <c r="V15" t="n" s="515">
        <v>-1.1689640283584595</v>
      </c>
      <c r="W15" t="n" s="515">
        <v>-1.4102637767791748</v>
      </c>
      <c r="X15" t="n" s="515">
        <v>-1.7680779695510864</v>
      </c>
      <c r="Y15" t="n" s="515">
        <v>-2.097715377807617</v>
      </c>
      <c r="Z15" t="n" s="515">
        <v>-2.389477014541626</v>
      </c>
      <c r="AA15" t="n" s="515">
        <v>-2.61281156539917</v>
      </c>
      <c r="AB15" t="n" s="515">
        <v>-2.7018885612487793</v>
      </c>
      <c r="AC15" t="n" s="515">
        <v>-2.674140214920044</v>
      </c>
      <c r="AD15" t="n" s="515">
        <v>-2.469874382019043</v>
      </c>
      <c r="AE15" t="n" s="515">
        <v>-2.0871615409851074</v>
      </c>
      <c r="AF15" t="n" s="515">
        <v>-1.600380539894104</v>
      </c>
      <c r="AG15" t="n" s="515">
        <v>-1.100939393043518</v>
      </c>
      <c r="AH15" t="n" s="515">
        <v>-0.7072243094444275</v>
      </c>
      <c r="AI15" t="n" s="515">
        <v>-0.38701653480529785</v>
      </c>
      <c r="AJ15" t="n" s="515">
        <v>-0.16656602919101715</v>
      </c>
      <c r="AK15" t="n" s="515">
        <v>-0.0512252077460289</v>
      </c>
      <c r="AL15" t="n" s="515">
        <v>-0.30218252539634705</v>
      </c>
      <c r="AM15" t="n" s="515">
        <v>-0.029468314722180367</v>
      </c>
      <c r="AN15" t="n" s="515">
        <v>-0.0448073148727417</v>
      </c>
      <c r="AO15" t="n" s="515">
        <v>-0.11585310101509094</v>
      </c>
      <c r="AP15" t="n" s="515">
        <v>-0.1540127396583557</v>
      </c>
      <c r="AQ15" t="n" s="515">
        <v>-0.20887111127376556</v>
      </c>
      <c r="AR15" t="n" s="515">
        <v>-0.23640921711921692</v>
      </c>
      <c r="AS15" t="n" s="515">
        <v>-0.29815641045570374</v>
      </c>
      <c r="AT15" t="n" s="515">
        <v>-0.37652650475502014</v>
      </c>
      <c r="AU15" t="n" s="515">
        <v>-0.4855034649372101</v>
      </c>
      <c r="AV15" t="n" s="515">
        <v>-0.4781765639781952</v>
      </c>
      <c r="AW15" t="n" s="515">
        <v>-0.24000179767608643</v>
      </c>
      <c r="AX15" t="n" s="515">
        <v>0.31055256724357605</v>
      </c>
      <c r="AY15" t="n" s="515">
        <v>0.878642737865448</v>
      </c>
      <c r="AZ15" t="n" s="515">
        <v>1.3188865184783936</v>
      </c>
      <c r="BA15" t="n" s="515">
        <v>1.565474271774292</v>
      </c>
      <c r="BB15" t="n" s="515">
        <v>1.628361463546753</v>
      </c>
      <c r="BC15" t="n" s="515">
        <v>1.5734446048736572</v>
      </c>
      <c r="BD15" t="n" s="515">
        <v>1.4935868978500366</v>
      </c>
      <c r="BE15" t="n" s="515">
        <v>1.3834869861602783</v>
      </c>
      <c r="BF15" t="n" s="515">
        <v>1.2748481035232544</v>
      </c>
      <c r="BG15" t="n" s="515">
        <v>1.023111343383789</v>
      </c>
      <c r="BH15" t="n" s="515">
        <v>0.7869170904159546</v>
      </c>
      <c r="BI15" t="n" s="515">
        <v>0.7065078020095825</v>
      </c>
      <c r="BJ15" t="n" s="515">
        <v>0.6229951977729797</v>
      </c>
      <c r="BK15" t="n" s="515">
        <v>0.5949589610099792</v>
      </c>
      <c r="BL15" t="n" s="515">
        <v>0.7071642875671387</v>
      </c>
      <c r="BM15" t="n" s="515">
        <v>1.000981092453003</v>
      </c>
      <c r="BN15" t="n" s="515">
        <v>1.277961015701294</v>
      </c>
      <c r="BO15" t="n" s="515">
        <v>1.4143359661102295</v>
      </c>
      <c r="BP15" t="n" s="515">
        <v>1.6652802228927612</v>
      </c>
      <c r="BQ15" t="n" s="515">
        <v>2.071154832839966</v>
      </c>
      <c r="BR15" t="n" s="515">
        <v>2.1188786029815674</v>
      </c>
      <c r="BS15" t="n" s="515">
        <v>1.9610378742218018</v>
      </c>
      <c r="BT15" t="n" s="515">
        <v>1.6227375268936157</v>
      </c>
      <c r="BU15" t="n" s="515">
        <v>1.2105035781860352</v>
      </c>
      <c r="BV15" t="n" s="515">
        <v>0.6794988512992859</v>
      </c>
      <c r="BW15" t="n" s="515">
        <v>0.026080871000885963</v>
      </c>
      <c r="BX15" t="n" s="515">
        <v>-1.0685436725616455</v>
      </c>
      <c r="BY15" t="n" s="515">
        <v>-1.2497191429138184</v>
      </c>
      <c r="BZ15" t="n" s="515">
        <v>-1.746271014213562</v>
      </c>
      <c r="CA15" t="n" s="515">
        <v>-2.06109356880188</v>
      </c>
      <c r="CB15" t="n" s="515">
        <v>-2.129197597503662</v>
      </c>
      <c r="CC15" t="n" s="515">
        <v>-1.9920810461044312</v>
      </c>
      <c r="CD15" t="n" s="515">
        <v>-1.7140477895736694</v>
      </c>
      <c r="CE15" t="n" s="515">
        <v>-1.1305079460144043</v>
      </c>
      <c r="CF15" t="n" s="515">
        <v>-0.3380104899406433</v>
      </c>
      <c r="CG15" t="n" s="515">
        <v>0.4915260672569275</v>
      </c>
      <c r="CH15" t="n" s="515">
        <v>1.1464754343032837</v>
      </c>
      <c r="CI15" t="n" s="515">
        <v>1.698297381401062</v>
      </c>
      <c r="CJ15" t="n" s="515">
        <v>2.05643892288208</v>
      </c>
      <c r="CK15" t="n" s="515">
        <v>2.3691182136535645</v>
      </c>
      <c r="CL15" t="n" s="515">
        <v>2.4705753326416016</v>
      </c>
      <c r="CM15" t="n" s="515">
        <v>2.2763071060180664</v>
      </c>
      <c r="CN15" t="n" s="515">
        <v>2.051095724105835</v>
      </c>
      <c r="CO15" t="n" s="515">
        <v>1.7121522426605225</v>
      </c>
      <c r="CP15" t="n" s="515">
        <v>1.1421810388565063</v>
      </c>
      <c r="CQ15" t="n" s="515">
        <v>0.5589438080787659</v>
      </c>
      <c r="CR15" t="n" s="515">
        <v>0.1798781454563141</v>
      </c>
      <c r="CS15" t="n" s="515">
        <v>-0.6363447308540344</v>
      </c>
      <c r="CT15" t="n" s="515">
        <v>-0.1867787092924118</v>
      </c>
      <c r="CU15" t="n" s="515">
        <v>-0.10770636796951294</v>
      </c>
      <c r="CV15" t="n" s="515">
        <v>0.05329187586903572</v>
      </c>
      <c r="CW15" t="n" s="515">
        <v>0.35546445846557617</v>
      </c>
      <c r="CX15" t="n" s="515">
        <v>0.7322102189064026</v>
      </c>
      <c r="CY15" t="n" s="515">
        <v>1.179960012435913</v>
      </c>
      <c r="CZ15" t="n" s="515">
        <v>1.715011715888977</v>
      </c>
      <c r="DA15" t="n" s="515">
        <v>2.5435128211975098</v>
      </c>
      <c r="DB15" t="n" s="515">
        <v>3.1001675128936768</v>
      </c>
      <c r="DC15" t="n" s="515">
        <v>3.4229848384857178</v>
      </c>
      <c r="DD15" t="n" s="515">
        <v>3.5370490550994873</v>
      </c>
      <c r="DE15" t="n" s="515">
        <v>3.471552848815918</v>
      </c>
      <c r="DF15" t="n" s="515">
        <v>3.262995958328247</v>
      </c>
      <c r="DG15" t="n" s="515">
        <v>2.8922622203826904</v>
      </c>
      <c r="DH15" t="n" s="515">
        <v>2.506117582321167</v>
      </c>
      <c r="DI15" t="n" s="515">
        <v>2.1923022270202637</v>
      </c>
      <c r="DJ15" t="n" s="515">
        <v>1.9438211917877197</v>
      </c>
      <c r="DK15" t="n" s="515">
        <v>1.7532336711883545</v>
      </c>
      <c r="DL15" t="n" s="515">
        <v>1.6073662042617798</v>
      </c>
      <c r="DM15" t="n" s="515">
        <v>1.4912513494491577</v>
      </c>
      <c r="DN15" t="n" s="515">
        <v>0.6926437020301819</v>
      </c>
      <c r="DO15" t="n" s="515">
        <v>-2.055507183074951</v>
      </c>
      <c r="DP15" t="n" s="515">
        <v>0.4752015769481659</v>
      </c>
      <c r="DQ15" t="n" s="515">
        <v>0.3018372058868408</v>
      </c>
      <c r="DR15" t="n" s="515">
        <v>0.15191657841205597</v>
      </c>
      <c r="DS15" t="n" s="515">
        <v>0.43720564246177673</v>
      </c>
      <c r="DT15" t="n" s="515">
        <v>0.8257973194122314</v>
      </c>
      <c r="DU15" t="n" s="515">
        <v>1.102327823638916</v>
      </c>
      <c r="DV15" t="n" s="515">
        <v>1.1967726945877075</v>
      </c>
      <c r="DW15" t="n" s="515">
        <v>1.0567383766174316</v>
      </c>
      <c r="DX15" t="n" s="515">
        <v>0.7959107756614685</v>
      </c>
      <c r="DY15" t="n" s="515">
        <v>0.5314570069313049</v>
      </c>
      <c r="DZ15" t="n" s="515">
        <v>0.33696386218070984</v>
      </c>
      <c r="EA15" t="n" s="515">
        <v>0.2592466175556183</v>
      </c>
      <c r="EB15" t="n" s="515">
        <v>0.16439227759838104</v>
      </c>
      <c r="EC15" t="n" s="515">
        <v>-0.7970654368400574</v>
      </c>
      <c r="ED15" t="n" s="515">
        <v>0.14688323438167572</v>
      </c>
      <c r="EE15" t="n" s="515">
        <v>0.152853861451149</v>
      </c>
      <c r="EF15" t="n" s="515">
        <v>0.1675555258989334</v>
      </c>
      <c r="EG15" t="n" s="515">
        <v>0.33001628518104553</v>
      </c>
      <c r="EH15" t="n" s="515">
        <v>0.6137288212776184</v>
      </c>
      <c r="EI15" t="n" s="515">
        <v>0.9780809879302979</v>
      </c>
      <c r="EJ15" t="n" s="515">
        <v>1.4189757108688354</v>
      </c>
      <c r="EK15" t="n" s="515">
        <v>1.6871598958969116</v>
      </c>
      <c r="EL15" t="n" s="515">
        <v>1.692160725593567</v>
      </c>
      <c r="EM15" t="n" s="515">
        <v>1.5918807983398438</v>
      </c>
      <c r="EN15" t="n" s="515">
        <v>1.4374232292175293</v>
      </c>
      <c r="EO15" t="n" s="515">
        <v>1.1880146265029907</v>
      </c>
      <c r="EP15" t="n" s="515">
        <v>0.7836472392082214</v>
      </c>
      <c r="EQ15" t="n" s="515">
        <v>0.3089805841445923</v>
      </c>
      <c r="ER15" t="n" s="515">
        <v>-0.1139746606349945</v>
      </c>
      <c r="ES15" t="n" s="515">
        <v>-0.368306428194046</v>
      </c>
      <c r="ET15" t="n" s="515">
        <v>-0.45572105050086975</v>
      </c>
      <c r="EU15" t="n" s="515">
        <v>-0.41128429770469666</v>
      </c>
      <c r="EV15" t="n" s="515">
        <v>-0.290907084941864</v>
      </c>
      <c r="EW15" t="n" s="515">
        <v>-0.08440856635570526</v>
      </c>
      <c r="EX15" t="n" s="515">
        <v>0.13500003516674042</v>
      </c>
      <c r="EY15" t="n" s="515">
        <v>0.35645371675491333</v>
      </c>
      <c r="EZ15" t="n" s="515">
        <v>0.40050944685935974</v>
      </c>
      <c r="FA15" t="n" s="515">
        <v>1.0418896675109863</v>
      </c>
      <c r="FB15" t="n" s="515">
        <v>1.3927651643753052</v>
      </c>
      <c r="FC15" t="n" s="515">
        <v>1.7692688703536987</v>
      </c>
      <c r="FD15" t="n" s="515">
        <v>2.0953450202941895</v>
      </c>
      <c r="FE15" t="n" s="515">
        <v>2.243903398513794</v>
      </c>
      <c r="FF15" t="n" s="515">
        <v>2.2100961208343506</v>
      </c>
      <c r="FG15" t="n" s="515">
        <v>2.0493602752685547</v>
      </c>
      <c r="FH15" t="n" s="515">
        <v>1.7522342205047607</v>
      </c>
      <c r="FI15" t="n" s="515">
        <v>1.4652622938156128</v>
      </c>
      <c r="FJ15" t="n" s="515">
        <v>1.2249155044555664</v>
      </c>
      <c r="FK15" t="n" s="515">
        <v>1.0904881954193115</v>
      </c>
      <c r="FL15" t="n" s="515">
        <v>1.0723234415054321</v>
      </c>
      <c r="FM15" t="n" s="515">
        <v>1.1312276124954224</v>
      </c>
      <c r="FN15" t="n" s="515">
        <v>1.252590537071228</v>
      </c>
      <c r="FO15" t="n" s="515">
        <v>1.3312782049179077</v>
      </c>
      <c r="FP15" t="n" s="515">
        <v>1.3257625102996826</v>
      </c>
      <c r="FQ15" t="n" s="515">
        <v>1.1455564498901367</v>
      </c>
      <c r="FR15" t="n" s="515">
        <v>0.8475492000579834</v>
      </c>
      <c r="FS15" t="n" s="515">
        <v>0.5143738985061646</v>
      </c>
      <c r="FT15" t="n" s="515">
        <v>0.19698397815227509</v>
      </c>
      <c r="FU15" t="n" s="515">
        <v>0.10757527500391006</v>
      </c>
      <c r="FV15" t="n" s="515">
        <v>0.1930711418390274</v>
      </c>
      <c r="FW15" t="n" s="515">
        <v>0.26888778805732727</v>
      </c>
      <c r="FX15" t="n" s="515">
        <v>0.2880050539970398</v>
      </c>
      <c r="FY15" t="n" s="515">
        <v>0.19885437190532684</v>
      </c>
      <c r="FZ15" t="n" s="515">
        <v>-0.025938844308257103</v>
      </c>
      <c r="GA15" t="n" s="515">
        <v>-0.33030232787132263</v>
      </c>
      <c r="GB15" t="n" s="515">
        <v>-0.5400246977806091</v>
      </c>
      <c r="GC15" t="n" s="515">
        <v>-0.6852440237998962</v>
      </c>
      <c r="GD15" t="n" s="515">
        <v>-0.7149726748466492</v>
      </c>
      <c r="GE15" t="n" s="515">
        <v>-0.7357637882232666</v>
      </c>
      <c r="GF15" t="n" s="515">
        <v>-0.6894453167915344</v>
      </c>
      <c r="GG15" t="n" s="515">
        <v>-0.5466108322143555</v>
      </c>
      <c r="GH15" t="n" s="515">
        <v>-0.42329809069633484</v>
      </c>
      <c r="GI15" t="n" s="515">
        <v>-0.27756768465042114</v>
      </c>
      <c r="GJ15" t="n" s="515">
        <v>-0.1524491161108017</v>
      </c>
      <c r="GK15" t="n" s="515">
        <v>0.07709845155477524</v>
      </c>
      <c r="GL15" t="n" s="515">
        <v>0.4928831458091736</v>
      </c>
      <c r="GM15" t="n" s="515">
        <v>0.9629499912261963</v>
      </c>
      <c r="GN15" t="n" s="515">
        <v>1.2077679634094238</v>
      </c>
      <c r="GO15" t="n" s="515">
        <v>1.3313664197921753</v>
      </c>
      <c r="GP15" t="n" s="515">
        <v>1.3040486574172974</v>
      </c>
      <c r="GQ15" t="n" s="515">
        <v>1.0494937896728516</v>
      </c>
      <c r="GR15" t="n" s="515">
        <v>0.6030882000923157</v>
      </c>
      <c r="GS15" t="n" s="515">
        <v>0.11501012742519379</v>
      </c>
      <c r="GT15" t="n" s="515">
        <v>-0.2632739543914795</v>
      </c>
      <c r="GU15" t="n" s="515">
        <v>-0.5444933772087097</v>
      </c>
      <c r="GV15" t="n" s="515">
        <v>-0.7569694519042969</v>
      </c>
      <c r="GW15" t="n" s="515">
        <v>-0.9420403242111206</v>
      </c>
      <c r="GX15" t="n" s="515">
        <v>-1.1196885108947754</v>
      </c>
      <c r="GY15" t="n" s="515">
        <v>-1.2331064939498901</v>
      </c>
      <c r="GZ15" t="n" s="515">
        <v>-1.272608757019043</v>
      </c>
      <c r="HA15" t="n" s="515">
        <v>-1.3158807754516602</v>
      </c>
      <c r="HB15" t="n" s="515">
        <v>-1.2964204549789429</v>
      </c>
      <c r="HC15" t="n" s="515">
        <v>-1.2474288940429688</v>
      </c>
      <c r="HD15" t="n" s="515">
        <v>-1.1782209873199463</v>
      </c>
      <c r="HE15" t="n" s="515">
        <v>-1.1562522649765015</v>
      </c>
      <c r="HF15" t="n" s="515">
        <v>-0.9915243983268738</v>
      </c>
      <c r="HG15" t="n" s="515">
        <v>-0.5391098260879517</v>
      </c>
      <c r="HH15" t="n" s="515">
        <v>-0.16295987367630005</v>
      </c>
      <c r="HI15" t="n" s="515">
        <v>0.12153109163045883</v>
      </c>
      <c r="HJ15" t="n" s="515">
        <v>0.0632779523730278</v>
      </c>
      <c r="HK15" t="n" s="515">
        <v>-0.11834017932415009</v>
      </c>
      <c r="HL15" t="n" s="515">
        <v>-0.3055936396121979</v>
      </c>
      <c r="HM15" t="n" s="515">
        <v>-0.5148563385009766</v>
      </c>
      <c r="HN15" t="n" s="515">
        <v>-0.6087623238563538</v>
      </c>
      <c r="HO15" t="n" s="515">
        <v>-0.6059593558311462</v>
      </c>
      <c r="HP15" t="n" s="515">
        <v>-0.5612038969993591</v>
      </c>
      <c r="HQ15" t="n" s="515">
        <v>-0.5255961418151855</v>
      </c>
      <c r="HR15" t="n" s="515">
        <v>-0.5645610094070435</v>
      </c>
      <c r="HS15" t="n" s="515">
        <v>-0.7041112184524536</v>
      </c>
      <c r="HT15" t="n" s="515">
        <v>-0.7405464053153992</v>
      </c>
      <c r="HU15" t="n" s="515">
        <v>-0.6936038136482239</v>
      </c>
      <c r="HV15" t="n" s="515">
        <v>-0.33650869131088257</v>
      </c>
      <c r="HW15" t="n" s="515">
        <v>0.3729296922683716</v>
      </c>
      <c r="HX15" t="n" s="515">
        <v>1.2067222595214844</v>
      </c>
      <c r="HY15" t="n" s="515">
        <v>1.9716808795928955</v>
      </c>
      <c r="HZ15" t="n" s="515">
        <v>2.4994592666625977</v>
      </c>
      <c r="IA15" t="n" s="515">
        <v>2.661252975463867</v>
      </c>
      <c r="IB15" t="n" s="515">
        <v>2.397338390350342</v>
      </c>
      <c r="IC15" t="n" s="515">
        <v>1.9228769540786743</v>
      </c>
    </row>
    <row r="16">
      <c r="A16" s="514">
        <f>A15+ABS(B16-B15)</f>
      </c>
      <c r="B16" s="514">
        <f>324.0/12</f>
      </c>
      <c r="C16" t="n" s="514">
        <v>324.0</v>
      </c>
      <c r="D16" t="n" s="515">
        <v>1.0090967416763306</v>
      </c>
      <c r="E16" t="n" s="515">
        <v>0.8807975649833679</v>
      </c>
      <c r="F16" t="n" s="515">
        <v>0.8355106711387634</v>
      </c>
      <c r="G16" t="n" s="515">
        <v>0.8334634304046631</v>
      </c>
      <c r="H16" t="n" s="515">
        <v>0.8759772181510925</v>
      </c>
      <c r="I16" t="n" s="515">
        <v>0.7801703214645386</v>
      </c>
      <c r="J16" t="n" s="515">
        <v>0.5524330735206604</v>
      </c>
      <c r="K16" t="n" s="515">
        <v>0.21529948711395264</v>
      </c>
      <c r="L16" t="n" s="515">
        <v>-0.1510561853647232</v>
      </c>
      <c r="M16" t="n" s="515">
        <v>-0.34638503193855286</v>
      </c>
      <c r="N16" t="n" s="515">
        <v>-0.3808121681213379</v>
      </c>
      <c r="O16" t="n" s="515">
        <v>-0.41277316212654114</v>
      </c>
      <c r="P16" t="n" s="515">
        <v>-0.4512791335582733</v>
      </c>
      <c r="Q16" t="n" s="515">
        <v>-0.4864346981048584</v>
      </c>
      <c r="R16" t="n" s="515">
        <v>-0.6136952042579651</v>
      </c>
      <c r="S16" t="n" s="515">
        <v>-0.7625839114189148</v>
      </c>
      <c r="T16" t="n" s="515">
        <v>-0.8822638988494873</v>
      </c>
      <c r="U16" t="n" s="515">
        <v>-0.977002739906311</v>
      </c>
      <c r="V16" t="n" s="515">
        <v>-1.046428918838501</v>
      </c>
      <c r="W16" t="n" s="515">
        <v>-1.1996902227401733</v>
      </c>
      <c r="X16" t="n" s="515">
        <v>-1.5014722347259521</v>
      </c>
      <c r="Y16" t="n" s="515">
        <v>-1.8492889404296875</v>
      </c>
      <c r="Z16" t="n" s="515">
        <v>-2.2674005031585693</v>
      </c>
      <c r="AA16" t="n" s="515">
        <v>-2.6648242473602295</v>
      </c>
      <c r="AB16" t="n" s="515">
        <v>-2.967862844467163</v>
      </c>
      <c r="AC16" t="n" s="515">
        <v>-3.1065175533294678</v>
      </c>
      <c r="AD16" t="n" s="515">
        <v>-2.9660816192626953</v>
      </c>
      <c r="AE16" t="n" s="515">
        <v>-2.486442804336548</v>
      </c>
      <c r="AF16" t="n" s="515">
        <v>-1.7267024517059326</v>
      </c>
      <c r="AG16" t="n" s="515">
        <v>-1.0386353731155396</v>
      </c>
      <c r="AH16" t="n" s="515">
        <v>-0.4440489709377289</v>
      </c>
      <c r="AI16" t="n" s="515">
        <v>0.002161650452762842</v>
      </c>
      <c r="AJ16" t="n" s="515">
        <v>0.2099696695804596</v>
      </c>
      <c r="AK16" t="n" s="515">
        <v>0.22312533855438232</v>
      </c>
      <c r="AL16" t="n" s="515">
        <v>-0.19995610415935516</v>
      </c>
      <c r="AM16" t="n" s="515">
        <v>0.02186759188771248</v>
      </c>
      <c r="AN16" t="n" s="515">
        <v>0.03711375594139099</v>
      </c>
      <c r="AO16" t="n" s="515">
        <v>0.030350571498274803</v>
      </c>
      <c r="AP16" t="n" s="515">
        <v>0.1452976018190384</v>
      </c>
      <c r="AQ16" t="n" s="515">
        <v>0.19106285274028778</v>
      </c>
      <c r="AR16" t="n" s="515">
        <v>0.1596996784210205</v>
      </c>
      <c r="AS16" t="n" s="515">
        <v>0.04353649914264679</v>
      </c>
      <c r="AT16" t="n" s="515">
        <v>-0.12513090670108795</v>
      </c>
      <c r="AU16" t="n" s="515">
        <v>-0.27426114678382874</v>
      </c>
      <c r="AV16" t="n" s="515">
        <v>-0.22674095630645752</v>
      </c>
      <c r="AW16" t="n" s="515">
        <v>0.1268971562385559</v>
      </c>
      <c r="AX16" t="n" s="515">
        <v>0.7883499264717102</v>
      </c>
      <c r="AY16" t="n" s="515">
        <v>1.4667969942092896</v>
      </c>
      <c r="AZ16" t="n" s="515">
        <v>1.9947999715805054</v>
      </c>
      <c r="BA16" t="n" s="515">
        <v>2.1994006633758545</v>
      </c>
      <c r="BB16" t="n" s="515">
        <v>2.1348791122436523</v>
      </c>
      <c r="BC16" t="n" s="515">
        <v>1.92386794090271</v>
      </c>
      <c r="BD16" t="n" s="515">
        <v>1.7773160934448242</v>
      </c>
      <c r="BE16" t="n" s="515">
        <v>1.6338621377944946</v>
      </c>
      <c r="BF16" t="n" s="515">
        <v>1.517758846282959</v>
      </c>
      <c r="BG16" t="n" s="515">
        <v>1.3057631254196167</v>
      </c>
      <c r="BH16" t="n" s="515">
        <v>1.0458711385726929</v>
      </c>
      <c r="BI16" t="n" s="515">
        <v>0.9177517890930176</v>
      </c>
      <c r="BJ16" t="n" s="515">
        <v>0.7559221386909485</v>
      </c>
      <c r="BK16" t="n" s="515">
        <v>0.6413303017616272</v>
      </c>
      <c r="BL16" t="n" s="515">
        <v>0.6977028250694275</v>
      </c>
      <c r="BM16" t="n" s="515">
        <v>0.971085250377655</v>
      </c>
      <c r="BN16" t="n" s="515">
        <v>1.255833387374878</v>
      </c>
      <c r="BO16" t="n" s="515">
        <v>1.451014757156372</v>
      </c>
      <c r="BP16" t="n" s="515">
        <v>1.739997386932373</v>
      </c>
      <c r="BQ16" t="n" s="515">
        <v>2.2027652263641357</v>
      </c>
      <c r="BR16" t="n" s="515">
        <v>2.376659870147705</v>
      </c>
      <c r="BS16" t="n" s="515">
        <v>2.2642223834991455</v>
      </c>
      <c r="BT16" t="n" s="515">
        <v>1.8867368698120117</v>
      </c>
      <c r="BU16" t="n" s="515">
        <v>1.335967779159546</v>
      </c>
      <c r="BV16" t="n" s="515">
        <v>0.7061333656311035</v>
      </c>
      <c r="BW16" t="n" s="515">
        <v>0.048262376338243484</v>
      </c>
      <c r="BX16" t="n" s="515">
        <v>-0.9907448887825012</v>
      </c>
      <c r="BY16" t="n" s="515">
        <v>-1.1963223218917847</v>
      </c>
      <c r="BZ16" t="n" s="515">
        <v>-1.604345440864563</v>
      </c>
      <c r="CA16" t="n" s="515">
        <v>-1.860121488571167</v>
      </c>
      <c r="CB16" t="n" s="515">
        <v>-1.9604078531265259</v>
      </c>
      <c r="CC16" t="n" s="515">
        <v>-1.9278404712677002</v>
      </c>
      <c r="CD16" t="n" s="515">
        <v>-1.7917158603668213</v>
      </c>
      <c r="CE16" t="n" s="515">
        <v>-1.280092716217041</v>
      </c>
      <c r="CF16" t="n" s="515">
        <v>-0.5261339545249939</v>
      </c>
      <c r="CG16" t="n" s="515">
        <v>0.3384872078895569</v>
      </c>
      <c r="CH16" t="n" s="515">
        <v>1.1918145418167114</v>
      </c>
      <c r="CI16" t="n" s="515">
        <v>1.8084845542907715</v>
      </c>
      <c r="CJ16" t="n" s="515">
        <v>2.2112739086151123</v>
      </c>
      <c r="CK16" t="n" s="515">
        <v>2.5584075450897217</v>
      </c>
      <c r="CL16" t="n" s="515">
        <v>2.632935047149658</v>
      </c>
      <c r="CM16" t="n" s="515">
        <v>2.3663618564605713</v>
      </c>
      <c r="CN16" t="n" s="515">
        <v>2.0861897468566895</v>
      </c>
      <c r="CO16" t="n" s="515">
        <v>1.684304118156433</v>
      </c>
      <c r="CP16" t="n" s="515">
        <v>1.1155259609222412</v>
      </c>
      <c r="CQ16" t="n" s="515">
        <v>0.6060997843742371</v>
      </c>
      <c r="CR16" t="n" s="515">
        <v>0.27562040090560913</v>
      </c>
      <c r="CS16" t="n" s="515">
        <v>-0.424871027469635</v>
      </c>
      <c r="CT16" t="n" s="515">
        <v>-0.0678422749042511</v>
      </c>
      <c r="CU16" t="n" s="515">
        <v>-0.06636933237314224</v>
      </c>
      <c r="CV16" t="n" s="515">
        <v>-0.043159838765859604</v>
      </c>
      <c r="CW16" t="n" s="515">
        <v>0.08039965480566025</v>
      </c>
      <c r="CX16" t="n" s="515">
        <v>0.2539811134338379</v>
      </c>
      <c r="CY16" t="n" s="515">
        <v>0.5877292156219482</v>
      </c>
      <c r="CZ16" t="n" s="515">
        <v>1.1754094362258911</v>
      </c>
      <c r="DA16" t="n" s="515">
        <v>2.117645025253296</v>
      </c>
      <c r="DB16" t="n" s="515">
        <v>2.85153865814209</v>
      </c>
      <c r="DC16" t="n" s="515">
        <v>3.3261616230010986</v>
      </c>
      <c r="DD16" t="n" s="515">
        <v>3.5097997188568115</v>
      </c>
      <c r="DE16" t="n" s="515">
        <v>3.4426722526550293</v>
      </c>
      <c r="DF16" t="n" s="515">
        <v>3.1881532669067383</v>
      </c>
      <c r="DG16" t="n" s="515">
        <v>2.801970958709717</v>
      </c>
      <c r="DH16" t="n" s="515">
        <v>2.4549179077148438</v>
      </c>
      <c r="DI16" t="n" s="515">
        <v>2.173976421356201</v>
      </c>
      <c r="DJ16" t="n" s="515">
        <v>2.0225298404693604</v>
      </c>
      <c r="DK16" t="n" s="515">
        <v>1.9413175582885742</v>
      </c>
      <c r="DL16" t="n" s="515">
        <v>1.7793011665344238</v>
      </c>
      <c r="DM16" t="n" s="515">
        <v>0.9073953032493591</v>
      </c>
      <c r="DN16" t="n" s="515">
        <v>-1.9366339445114136</v>
      </c>
      <c r="DO16" t="n" s="515">
        <v>0.3981034755706787</v>
      </c>
      <c r="DP16" t="n" s="515">
        <v>0.05279655009508133</v>
      </c>
      <c r="DQ16" t="n" s="515">
        <v>-0.10392443835735321</v>
      </c>
      <c r="DR16" t="n" s="515">
        <v>-0.02987491711974144</v>
      </c>
      <c r="DS16" t="n" s="515">
        <v>0.3549697697162628</v>
      </c>
      <c r="DT16" t="n" s="515">
        <v>0.8771718740463257</v>
      </c>
      <c r="DU16" t="n" s="515">
        <v>1.2684532403945923</v>
      </c>
      <c r="DV16" t="n" s="515">
        <v>1.4404832124710083</v>
      </c>
      <c r="DW16" t="n" s="515">
        <v>1.2258220911026</v>
      </c>
      <c r="DX16" t="n" s="515">
        <v>0.8590016961097717</v>
      </c>
      <c r="DY16" t="n" s="515">
        <v>0.5705472230911255</v>
      </c>
      <c r="DZ16" t="n" s="515">
        <v>0.39763760566711426</v>
      </c>
      <c r="EA16" t="n" s="515">
        <v>0.3821280896663666</v>
      </c>
      <c r="EB16" t="n" s="515">
        <v>0.34048953652381897</v>
      </c>
      <c r="EC16" t="n" s="515">
        <v>-0.578970193862915</v>
      </c>
      <c r="ED16" t="n" s="515">
        <v>0.1411023586988449</v>
      </c>
      <c r="EE16" t="n" s="515">
        <v>-0.021577177569270134</v>
      </c>
      <c r="EF16" t="n" s="515">
        <v>-0.18597570061683655</v>
      </c>
      <c r="EG16" t="n" s="515">
        <v>-0.17800751328468323</v>
      </c>
      <c r="EH16" t="n" s="515">
        <v>0.03768743574619293</v>
      </c>
      <c r="EI16" t="n" s="515">
        <v>0.3821525275707245</v>
      </c>
      <c r="EJ16" t="n" s="515">
        <v>0.9515697956085205</v>
      </c>
      <c r="EK16" t="n" s="515">
        <v>1.3945099115371704</v>
      </c>
      <c r="EL16" t="n" s="515">
        <v>1.5776464939117432</v>
      </c>
      <c r="EM16" t="n" s="515">
        <v>1.6099936962127686</v>
      </c>
      <c r="EN16" t="n" s="515">
        <v>1.492715835571289</v>
      </c>
      <c r="EO16" t="n" s="515">
        <v>1.2215279340744019</v>
      </c>
      <c r="EP16" t="n" s="515">
        <v>0.7459115982055664</v>
      </c>
      <c r="EQ16" t="n" s="515">
        <v>0.21007902920246124</v>
      </c>
      <c r="ER16" t="n" s="515">
        <v>-0.23114122450351715</v>
      </c>
      <c r="ES16" t="n" s="515">
        <v>-0.45811784267425537</v>
      </c>
      <c r="ET16" t="n" s="515">
        <v>-0.4552134871482849</v>
      </c>
      <c r="EU16" t="n" s="515">
        <v>-0.34239569306373596</v>
      </c>
      <c r="EV16" t="n" s="515">
        <v>-0.20624376833438873</v>
      </c>
      <c r="EW16" t="n" s="515">
        <v>-0.1130494549870491</v>
      </c>
      <c r="EX16" t="n" s="515">
        <v>-0.04810292273759842</v>
      </c>
      <c r="EY16" t="n" s="515">
        <v>0.02842334657907486</v>
      </c>
      <c r="EZ16" t="n" s="515">
        <v>0.1084185391664505</v>
      </c>
      <c r="FA16" t="n" s="515">
        <v>0.718131959438324</v>
      </c>
      <c r="FB16" t="n" s="515">
        <v>1.1761763095855713</v>
      </c>
      <c r="FC16" t="n" s="515">
        <v>1.74672269821167</v>
      </c>
      <c r="FD16" t="n" s="515">
        <v>2.283838987350464</v>
      </c>
      <c r="FE16" t="n" s="515">
        <v>2.582972288131714</v>
      </c>
      <c r="FF16" t="n" s="515">
        <v>2.5858848094940186</v>
      </c>
      <c r="FG16" t="n" s="515">
        <v>2.378617763519287</v>
      </c>
      <c r="FH16" t="n" s="515">
        <v>1.9514052867889404</v>
      </c>
      <c r="FI16" t="n" s="515">
        <v>1.5330970287322998</v>
      </c>
      <c r="FJ16" t="n" s="515">
        <v>1.2442244291305542</v>
      </c>
      <c r="FK16" t="n" s="515">
        <v>1.1182291507720947</v>
      </c>
      <c r="FL16" t="n" s="515">
        <v>1.1789711713790894</v>
      </c>
      <c r="FM16" t="n" s="515">
        <v>1.2830456495285034</v>
      </c>
      <c r="FN16" t="n" s="515">
        <v>1.400720238685608</v>
      </c>
      <c r="FO16" t="n" s="515">
        <v>1.3900154829025269</v>
      </c>
      <c r="FP16" t="n" s="515">
        <v>1.2617844343185425</v>
      </c>
      <c r="FQ16" t="n" s="515">
        <v>0.9525470733642578</v>
      </c>
      <c r="FR16" t="n" s="515">
        <v>0.5150206089019775</v>
      </c>
      <c r="FS16" t="n" s="515">
        <v>0.053805019706487656</v>
      </c>
      <c r="FT16" t="n" s="515">
        <v>-0.36010703444480896</v>
      </c>
      <c r="FU16" t="n" s="515">
        <v>-0.3253787159919739</v>
      </c>
      <c r="FV16" t="n" s="515">
        <v>-0.03226590156555176</v>
      </c>
      <c r="FW16" t="n" s="515">
        <v>0.19070491194725037</v>
      </c>
      <c r="FX16" t="n" s="515">
        <v>0.3175855278968811</v>
      </c>
      <c r="FY16" t="n" s="515">
        <v>0.24162966012954712</v>
      </c>
      <c r="FZ16" t="n" s="515">
        <v>-0.026371687650680542</v>
      </c>
      <c r="GA16" t="n" s="515">
        <v>-0.37462860345840454</v>
      </c>
      <c r="GB16" t="n" s="515">
        <v>-0.5528373718261719</v>
      </c>
      <c r="GC16" t="n" s="515">
        <v>-0.6231315732002258</v>
      </c>
      <c r="GD16" t="n" s="515">
        <v>-0.5552909970283508</v>
      </c>
      <c r="GE16" t="n" s="515">
        <v>-0.48620888590812683</v>
      </c>
      <c r="GF16" t="n" s="515">
        <v>-0.4610828459262848</v>
      </c>
      <c r="GG16" t="n" s="515">
        <v>-0.45222973823547363</v>
      </c>
      <c r="GH16" t="n" s="515">
        <v>-0.5322049260139465</v>
      </c>
      <c r="GI16" t="n" s="515">
        <v>-0.5779063701629639</v>
      </c>
      <c r="GJ16" t="n" s="515">
        <v>-0.5910638570785522</v>
      </c>
      <c r="GK16" t="n" s="515">
        <v>-0.355689138174057</v>
      </c>
      <c r="GL16" t="n" s="515">
        <v>0.23050518333911896</v>
      </c>
      <c r="GM16" t="n" s="515">
        <v>1.0468331575393677</v>
      </c>
      <c r="GN16" t="n" s="515">
        <v>1.6326394081115723</v>
      </c>
      <c r="GO16" t="n" s="515">
        <v>1.9583349227905273</v>
      </c>
      <c r="GP16" t="n" s="515">
        <v>1.963581919670105</v>
      </c>
      <c r="GQ16" t="n" s="515">
        <v>1.6240071058273315</v>
      </c>
      <c r="GR16" t="n" s="515">
        <v>0.9431513547897339</v>
      </c>
      <c r="GS16" t="n" s="515">
        <v>0.25595495104789734</v>
      </c>
      <c r="GT16" t="n" s="515">
        <v>-0.21047146618366241</v>
      </c>
      <c r="GU16" t="n" s="515">
        <v>-0.4724935293197632</v>
      </c>
      <c r="GV16" t="n" s="515">
        <v>-0.5985601544380188</v>
      </c>
      <c r="GW16" t="n" s="515">
        <v>-0.720988929271698</v>
      </c>
      <c r="GX16" t="n" s="515">
        <v>-0.8921371102333069</v>
      </c>
      <c r="GY16" t="n" s="515">
        <v>-1.0996475219726562</v>
      </c>
      <c r="GZ16" t="n" s="515">
        <v>-1.2924597263336182</v>
      </c>
      <c r="HA16" t="n" s="515">
        <v>-1.5045498609542847</v>
      </c>
      <c r="HB16" t="n" s="515">
        <v>-1.6146879196166992</v>
      </c>
      <c r="HC16" t="n" s="515">
        <v>-1.6395806074142456</v>
      </c>
      <c r="HD16" t="n" s="515">
        <v>-1.6044106483459473</v>
      </c>
      <c r="HE16" t="n" s="515">
        <v>-1.4873812198638916</v>
      </c>
      <c r="HF16" t="n" s="515">
        <v>-1.0240132808685303</v>
      </c>
      <c r="HG16" t="n" s="515">
        <v>-0.42885926365852356</v>
      </c>
      <c r="HH16" t="n" s="515">
        <v>0.15740267932415009</v>
      </c>
      <c r="HI16" t="n" s="515">
        <v>0.5611388683319092</v>
      </c>
      <c r="HJ16" t="n" s="515">
        <v>0.4705716669559479</v>
      </c>
      <c r="HK16" t="n" s="515">
        <v>0.2559939920902252</v>
      </c>
      <c r="HL16" t="n" s="515">
        <v>0.011310895904898643</v>
      </c>
      <c r="HM16" t="n" s="515">
        <v>-0.1950760930776596</v>
      </c>
      <c r="HN16" t="n" s="515">
        <v>-0.2921283543109894</v>
      </c>
      <c r="HO16" t="n" s="515">
        <v>-0.28538793325424194</v>
      </c>
      <c r="HP16" t="n" s="515">
        <v>-0.2418888807296753</v>
      </c>
      <c r="HQ16" t="n" s="515">
        <v>-0.29034754633903503</v>
      </c>
      <c r="HR16" t="n" s="515">
        <v>-0.4251460134983063</v>
      </c>
      <c r="HS16" t="n" s="515">
        <v>-0.6490666270256042</v>
      </c>
      <c r="HT16" t="n" s="515">
        <v>-0.7275237441062927</v>
      </c>
      <c r="HU16" t="n" s="515">
        <v>-0.6277795433998108</v>
      </c>
      <c r="HV16" t="n" s="515">
        <v>-0.13219918310642242</v>
      </c>
      <c r="HW16" t="n" s="515">
        <v>0.7259475588798523</v>
      </c>
      <c r="HX16" t="n" s="515">
        <v>1.861467957496643</v>
      </c>
      <c r="HY16" t="n" s="515">
        <v>2.7106947898864746</v>
      </c>
      <c r="HZ16" t="n" s="515">
        <v>3.165400505065918</v>
      </c>
      <c r="IA16" t="n" s="515">
        <v>3.215660810470581</v>
      </c>
      <c r="IB16" t="n" s="515">
        <v>2.8021628856658936</v>
      </c>
      <c r="IC16" t="n" s="515">
        <v>2.182535171508789</v>
      </c>
    </row>
    <row r="17">
      <c r="A17" s="514">
        <f>A16+ABS(B17-B16)</f>
      </c>
      <c r="B17" s="514">
        <f>348.0/12</f>
      </c>
      <c r="C17" t="n" s="514">
        <v>348.0</v>
      </c>
      <c r="D17" t="n" s="515">
        <v>1.069446325302124</v>
      </c>
      <c r="E17" t="n" s="515">
        <v>0.8924952149391174</v>
      </c>
      <c r="F17" t="n" s="515">
        <v>0.810728907585144</v>
      </c>
      <c r="G17" t="n" s="515">
        <v>0.8136028051376343</v>
      </c>
      <c r="H17" t="n" s="515">
        <v>0.8174738883972168</v>
      </c>
      <c r="I17" t="n" s="515">
        <v>0.7257320880889893</v>
      </c>
      <c r="J17" t="n" s="515">
        <v>0.5195433497428894</v>
      </c>
      <c r="K17" t="n" s="515">
        <v>0.23348474502563477</v>
      </c>
      <c r="L17" t="n" s="515">
        <v>-0.1017613336443901</v>
      </c>
      <c r="M17" t="n" s="515">
        <v>-0.2602114975452423</v>
      </c>
      <c r="N17" t="n" s="515">
        <v>-0.20423391461372375</v>
      </c>
      <c r="O17" t="n" s="515">
        <v>-0.08542081713676453</v>
      </c>
      <c r="P17" t="n" s="515">
        <v>-0.06839529424905777</v>
      </c>
      <c r="Q17" t="n" s="515">
        <v>-0.1510678380727768</v>
      </c>
      <c r="R17" t="n" s="515">
        <v>-0.36434638500213623</v>
      </c>
      <c r="S17" t="n" s="515">
        <v>-0.5702845454216003</v>
      </c>
      <c r="T17" t="n" s="515">
        <v>-0.7065331339836121</v>
      </c>
      <c r="U17" t="n" s="515">
        <v>-0.7566913366317749</v>
      </c>
      <c r="V17" t="n" s="515">
        <v>-0.8132548928260803</v>
      </c>
      <c r="W17" t="n" s="515">
        <v>-0.9307143688201904</v>
      </c>
      <c r="X17" t="n" s="515">
        <v>-1.1763107776641846</v>
      </c>
      <c r="Y17" t="n" s="515">
        <v>-1.5121346712112427</v>
      </c>
      <c r="Z17" t="n" s="515">
        <v>-2.0097317695617676</v>
      </c>
      <c r="AA17" t="n" s="515">
        <v>-2.5171711444854736</v>
      </c>
      <c r="AB17" t="n" s="515">
        <v>-2.966095209121704</v>
      </c>
      <c r="AC17" t="n" s="515">
        <v>-3.241316556930542</v>
      </c>
      <c r="AD17" t="n" s="515">
        <v>-3.152064323425293</v>
      </c>
      <c r="AE17" t="n" s="515">
        <v>-2.6123297214508057</v>
      </c>
      <c r="AF17" t="n" s="515">
        <v>-1.8047049045562744</v>
      </c>
      <c r="AG17" t="n" s="515">
        <v>-0.9465993046760559</v>
      </c>
      <c r="AH17" t="n" s="515">
        <v>-0.15308472514152527</v>
      </c>
      <c r="AI17" t="n" s="515">
        <v>0.42039743065834045</v>
      </c>
      <c r="AJ17" t="n" s="515">
        <v>0.6322473883628845</v>
      </c>
      <c r="AK17" t="n" s="515">
        <v>0.5644306540489197</v>
      </c>
      <c r="AL17" t="n" s="515">
        <v>0.11090419441461563</v>
      </c>
      <c r="AM17" t="n" s="515">
        <v>0.3736688494682312</v>
      </c>
      <c r="AN17" t="n" s="515">
        <v>0.38327574729919434</v>
      </c>
      <c r="AO17" t="n" s="515">
        <v>0.4594883620738983</v>
      </c>
      <c r="AP17" t="n" s="515">
        <v>0.5948307514190674</v>
      </c>
      <c r="AQ17" t="n" s="515">
        <v>0.6526017189025879</v>
      </c>
      <c r="AR17" t="n" s="515">
        <v>0.6179235577583313</v>
      </c>
      <c r="AS17" t="n" s="515">
        <v>0.42680272459983826</v>
      </c>
      <c r="AT17" t="n" s="515">
        <v>0.22717274725437164</v>
      </c>
      <c r="AU17" t="n" s="515">
        <v>0.1285439431667328</v>
      </c>
      <c r="AV17" t="n" s="515">
        <v>0.2523465156555176</v>
      </c>
      <c r="AW17" t="n" s="515">
        <v>0.640577495098114</v>
      </c>
      <c r="AX17" t="n" s="515">
        <v>1.2534091472625732</v>
      </c>
      <c r="AY17" t="n" s="515">
        <v>2.0143680572509766</v>
      </c>
      <c r="AZ17" t="n" s="515">
        <v>2.656048536300659</v>
      </c>
      <c r="BA17" t="n" s="515">
        <v>2.8670527935028076</v>
      </c>
      <c r="BB17" t="n" s="515">
        <v>2.7353646755218506</v>
      </c>
      <c r="BC17" t="n" s="515">
        <v>2.446399688720703</v>
      </c>
      <c r="BD17" t="n" s="515">
        <v>2.2089624404907227</v>
      </c>
      <c r="BE17" t="n" s="515">
        <v>2.1731226444244385</v>
      </c>
      <c r="BF17" t="n" s="515">
        <v>1.9983060359954834</v>
      </c>
      <c r="BG17" t="n" s="515">
        <v>1.7359493970870972</v>
      </c>
      <c r="BH17" t="n" s="515">
        <v>1.4241104125976562</v>
      </c>
      <c r="BI17" t="n" s="515">
        <v>1.1823722124099731</v>
      </c>
      <c r="BJ17" t="n" s="515">
        <v>0.95094233751297</v>
      </c>
      <c r="BK17" t="n" s="515">
        <v>0.8251290321350098</v>
      </c>
      <c r="BL17" t="n" s="515">
        <v>0.8032695055007935</v>
      </c>
      <c r="BM17" t="n" s="515">
        <v>0.9348875284194946</v>
      </c>
      <c r="BN17" t="n" s="515">
        <v>1.235123634338379</v>
      </c>
      <c r="BO17" t="n" s="515">
        <v>1.4737213850021362</v>
      </c>
      <c r="BP17" t="n" s="515">
        <v>1.8030853271484375</v>
      </c>
      <c r="BQ17" t="n" s="515">
        <v>2.212934970855713</v>
      </c>
      <c r="BR17" t="n" s="515">
        <v>2.5022084712982178</v>
      </c>
      <c r="BS17" t="n" s="515">
        <v>2.4393198490142822</v>
      </c>
      <c r="BT17" t="n" s="515">
        <v>2.031414270401001</v>
      </c>
      <c r="BU17" t="n" s="515">
        <v>1.4692355394363403</v>
      </c>
      <c r="BV17" t="n" s="515">
        <v>0.7832120060920715</v>
      </c>
      <c r="BW17" t="n" s="515">
        <v>0.11371360719203949</v>
      </c>
      <c r="BX17" t="n" s="515">
        <v>-0.8831875920295715</v>
      </c>
      <c r="BY17" t="n" s="515">
        <v>-1.031485676765442</v>
      </c>
      <c r="BZ17" t="n" s="515">
        <v>-1.4042372703552246</v>
      </c>
      <c r="CA17" t="n" s="515">
        <v>-1.587638258934021</v>
      </c>
      <c r="CB17" t="n" s="515">
        <v>-1.7382618188858032</v>
      </c>
      <c r="CC17" t="n" s="515">
        <v>-1.786771297454834</v>
      </c>
      <c r="CD17" t="n" s="515">
        <v>-1.667647123336792</v>
      </c>
      <c r="CE17" t="n" s="515">
        <v>-1.2257264852523804</v>
      </c>
      <c r="CF17" t="n" s="515">
        <v>-0.5013071298599243</v>
      </c>
      <c r="CG17" t="n" s="515">
        <v>0.37024638056755066</v>
      </c>
      <c r="CH17" t="n" s="515">
        <v>1.1231540441513062</v>
      </c>
      <c r="CI17" t="n" s="515">
        <v>1.7092154026031494</v>
      </c>
      <c r="CJ17" t="n" s="515">
        <v>2.1987898349761963</v>
      </c>
      <c r="CK17" t="n" s="515">
        <v>2.5217790603637695</v>
      </c>
      <c r="CL17" t="n" s="515">
        <v>2.669389009475708</v>
      </c>
      <c r="CM17" t="n" s="515">
        <v>2.6024320125579834</v>
      </c>
      <c r="CN17" t="n" s="515">
        <v>2.254854202270508</v>
      </c>
      <c r="CO17" t="n" s="515">
        <v>1.7617908716201782</v>
      </c>
      <c r="CP17" t="n" s="515">
        <v>1.2699617147445679</v>
      </c>
      <c r="CQ17" t="n" s="515">
        <v>0.9013384580612183</v>
      </c>
      <c r="CR17" t="n" s="515">
        <v>0.6145123243331909</v>
      </c>
      <c r="CS17" t="n" s="515">
        <v>-0.19306223094463348</v>
      </c>
      <c r="CT17" t="n" s="515">
        <v>0.1715777963399887</v>
      </c>
      <c r="CU17" t="n" s="515">
        <v>0.08416549861431122</v>
      </c>
      <c r="CV17" t="n" s="515">
        <v>0.04727541655302048</v>
      </c>
      <c r="CW17" t="n" s="515">
        <v>0.08279106020927429</v>
      </c>
      <c r="CX17" t="n" s="515">
        <v>0.14608603715896606</v>
      </c>
      <c r="CY17" t="n" s="515">
        <v>0.40127551555633545</v>
      </c>
      <c r="CZ17" t="n" s="515">
        <v>0.9380053877830505</v>
      </c>
      <c r="DA17" t="n" s="515">
        <v>1.7706983089447021</v>
      </c>
      <c r="DB17" t="n" s="515">
        <v>2.4832777976989746</v>
      </c>
      <c r="DC17" t="n" s="515">
        <v>3.0240039825439453</v>
      </c>
      <c r="DD17" t="n" s="515">
        <v>3.2716941833496094</v>
      </c>
      <c r="DE17" t="n" s="515">
        <v>3.324415445327759</v>
      </c>
      <c r="DF17" t="n" s="515">
        <v>3.1433475017547607</v>
      </c>
      <c r="DG17" t="n" s="515">
        <v>2.807222366333008</v>
      </c>
      <c r="DH17" t="n" s="515">
        <v>2.5290400981903076</v>
      </c>
      <c r="DI17" t="n" s="515">
        <v>2.305263042449951</v>
      </c>
      <c r="DJ17" t="n" s="515">
        <v>2.168478012084961</v>
      </c>
      <c r="DK17" t="n" s="515">
        <v>2.0803205966949463</v>
      </c>
      <c r="DL17" t="n" s="515">
        <v>1.4615341424942017</v>
      </c>
      <c r="DM17" t="n" s="515">
        <v>-1.4525892734527588</v>
      </c>
      <c r="DN17" t="n" s="515">
        <v>0.8153488636016846</v>
      </c>
      <c r="DO17" t="n" s="515">
        <v>0.3863857686519623</v>
      </c>
      <c r="DP17" t="n" s="515">
        <v>-0.0012557313311845064</v>
      </c>
      <c r="DQ17" t="n" s="515">
        <v>-0.044327277690172195</v>
      </c>
      <c r="DR17" t="n" s="515">
        <v>0.08614250272512436</v>
      </c>
      <c r="DS17" t="n" s="515">
        <v>0.42098161578178406</v>
      </c>
      <c r="DT17" t="n" s="515">
        <v>0.8281487226486206</v>
      </c>
      <c r="DU17" t="n" s="515">
        <v>1.1921387910842896</v>
      </c>
      <c r="DV17" t="n" s="515">
        <v>1.3777961730957031</v>
      </c>
      <c r="DW17" t="n" s="515">
        <v>1.2004529237747192</v>
      </c>
      <c r="DX17" t="n" s="515">
        <v>0.7968375086784363</v>
      </c>
      <c r="DY17" t="n" s="515">
        <v>0.551188588142395</v>
      </c>
      <c r="DZ17" t="n" s="515">
        <v>0.4771478474140167</v>
      </c>
      <c r="EA17" t="n" s="515">
        <v>0.5074617862701416</v>
      </c>
      <c r="EB17" t="n" s="515">
        <v>0.4871009588241577</v>
      </c>
      <c r="EC17" t="n" s="515">
        <v>-0.4780638813972473</v>
      </c>
      <c r="ED17" t="n" s="515">
        <v>0.1654197722673416</v>
      </c>
      <c r="EE17" t="n" s="515">
        <v>-0.08131611347198486</v>
      </c>
      <c r="EF17" t="n" s="515">
        <v>-0.31155288219451904</v>
      </c>
      <c r="EG17" t="n" s="515">
        <v>-0.3653123080730438</v>
      </c>
      <c r="EH17" t="n" s="515">
        <v>-0.19594942033290863</v>
      </c>
      <c r="EI17" t="n" s="515">
        <v>0.15228410065174103</v>
      </c>
      <c r="EJ17" t="n" s="515">
        <v>0.676227331161499</v>
      </c>
      <c r="EK17" t="n" s="515">
        <v>1.1107913255691528</v>
      </c>
      <c r="EL17" t="n" s="515">
        <v>1.3300881385803223</v>
      </c>
      <c r="EM17" t="n" s="515">
        <v>1.4037766456604004</v>
      </c>
      <c r="EN17" t="n" s="515">
        <v>1.3321465253829956</v>
      </c>
      <c r="EO17" t="n" s="515">
        <v>1.0612365007400513</v>
      </c>
      <c r="EP17" t="n" s="515">
        <v>0.5780669450759888</v>
      </c>
      <c r="EQ17" t="n" s="515">
        <v>0.0430813692510128</v>
      </c>
      <c r="ER17" t="n" s="515">
        <v>-0.3207481801509857</v>
      </c>
      <c r="ES17" t="n" s="515">
        <v>-0.532115638256073</v>
      </c>
      <c r="ET17" t="n" s="515">
        <v>-0.49103033542633057</v>
      </c>
      <c r="EU17" t="n" s="515">
        <v>-0.34753721952438354</v>
      </c>
      <c r="EV17" t="n" s="515">
        <v>-0.2505635917186737</v>
      </c>
      <c r="EW17" t="n" s="515">
        <v>-0.17792768776416779</v>
      </c>
      <c r="EX17" t="n" s="515">
        <v>-0.17017516493797302</v>
      </c>
      <c r="EY17" t="n" s="515">
        <v>-0.05925633758306503</v>
      </c>
      <c r="EZ17" t="n" s="515">
        <v>-0.06830818951129913</v>
      </c>
      <c r="FA17" t="n" s="515">
        <v>0.6340538859367371</v>
      </c>
      <c r="FB17" t="n" s="515">
        <v>1.1992082595825195</v>
      </c>
      <c r="FC17" t="n" s="515">
        <v>1.7782548666000366</v>
      </c>
      <c r="FD17" t="n" s="515">
        <v>2.343585729598999</v>
      </c>
      <c r="FE17" t="n" s="515">
        <v>2.7076773643493652</v>
      </c>
      <c r="FF17" t="n" s="515">
        <v>2.766655206680298</v>
      </c>
      <c r="FG17" t="n" s="515">
        <v>2.5393030643463135</v>
      </c>
      <c r="FH17" t="n" s="515">
        <v>2.115701913833618</v>
      </c>
      <c r="FI17" t="n" s="515">
        <v>1.6888203620910645</v>
      </c>
      <c r="FJ17" t="n" s="515">
        <v>1.4358938932418823</v>
      </c>
      <c r="FK17" t="n" s="515">
        <v>1.3495999574661255</v>
      </c>
      <c r="FL17" t="n" s="515">
        <v>1.4468704462051392</v>
      </c>
      <c r="FM17" t="n" s="515">
        <v>1.57663094997406</v>
      </c>
      <c r="FN17" t="n" s="515">
        <v>1.63137686252594</v>
      </c>
      <c r="FO17" t="n" s="515">
        <v>1.5662696361541748</v>
      </c>
      <c r="FP17" t="n" s="515">
        <v>1.3551312685012817</v>
      </c>
      <c r="FQ17" t="n" s="515">
        <v>0.9913463592529297</v>
      </c>
      <c r="FR17" t="n" s="515">
        <v>0.4902283251285553</v>
      </c>
      <c r="FS17" t="n" s="515">
        <v>-0.07032471895217896</v>
      </c>
      <c r="FT17" t="n" s="515">
        <v>-0.44932496547698975</v>
      </c>
      <c r="FU17" t="n" s="515">
        <v>-0.44764646887779236</v>
      </c>
      <c r="FV17" t="n" s="515">
        <v>-0.15999093651771545</v>
      </c>
      <c r="FW17" t="n" s="515">
        <v>0.1456989198923111</v>
      </c>
      <c r="FX17" t="n" s="515">
        <v>0.34757891297340393</v>
      </c>
      <c r="FY17" t="n" s="515">
        <v>0.3315550982952118</v>
      </c>
      <c r="FZ17" t="n" s="515">
        <v>0.12944045662879944</v>
      </c>
      <c r="GA17" t="n" s="515">
        <v>-0.20950695872306824</v>
      </c>
      <c r="GB17" t="n" s="515">
        <v>-0.39107638597488403</v>
      </c>
      <c r="GC17" t="n" s="515">
        <v>-0.4143078923225403</v>
      </c>
      <c r="GD17" t="n" s="515">
        <v>-0.30993834137916565</v>
      </c>
      <c r="GE17" t="n" s="515">
        <v>-0.21434514224529266</v>
      </c>
      <c r="GF17" t="n" s="515">
        <v>-0.1943504512310028</v>
      </c>
      <c r="GG17" t="n" s="515">
        <v>-0.2936345040798187</v>
      </c>
      <c r="GH17" t="n" s="515">
        <v>-0.49219223856925964</v>
      </c>
      <c r="GI17" t="n" s="515">
        <v>-0.6557936072349548</v>
      </c>
      <c r="GJ17" t="n" s="515">
        <v>-0.6943631172180176</v>
      </c>
      <c r="GK17" t="n" s="515">
        <v>-0.45911362767219543</v>
      </c>
      <c r="GL17" t="n" s="515">
        <v>0.19157110154628754</v>
      </c>
      <c r="GM17" t="n" s="515">
        <v>1.1428661346435547</v>
      </c>
      <c r="GN17" t="n" s="515">
        <v>1.9800955057144165</v>
      </c>
      <c r="GO17" t="n" s="515">
        <v>2.4975292682647705</v>
      </c>
      <c r="GP17" t="n" s="515">
        <v>2.5012834072113037</v>
      </c>
      <c r="GQ17" t="n" s="515">
        <v>2.124950408935547</v>
      </c>
      <c r="GR17" t="n" s="515">
        <v>1.2614052295684814</v>
      </c>
      <c r="GS17" t="n" s="515">
        <v>0.4753188192844391</v>
      </c>
      <c r="GT17" t="n" s="515">
        <v>0.0670873150229454</v>
      </c>
      <c r="GU17" t="n" s="515">
        <v>-0.2249109447002411</v>
      </c>
      <c r="GV17" t="n" s="515">
        <v>-0.2936412990093231</v>
      </c>
      <c r="GW17" t="n" s="515">
        <v>-0.3811904788017273</v>
      </c>
      <c r="GX17" t="n" s="515">
        <v>-0.5694108009338379</v>
      </c>
      <c r="GY17" t="n" s="515">
        <v>-0.8759971261024475</v>
      </c>
      <c r="GZ17" t="n" s="515">
        <v>-1.2168247699737549</v>
      </c>
      <c r="HA17" t="n" s="515">
        <v>-1.5462849140167236</v>
      </c>
      <c r="HB17" t="n" s="515">
        <v>-1.773097038269043</v>
      </c>
      <c r="HC17" t="n" s="515">
        <v>-1.8753440380096436</v>
      </c>
      <c r="HD17" t="n" s="515">
        <v>-1.848819613456726</v>
      </c>
      <c r="HE17" t="n" s="515">
        <v>-1.6517010927200317</v>
      </c>
      <c r="HF17" t="n" s="515">
        <v>-1.0845553874969482</v>
      </c>
      <c r="HG17" t="n" s="515">
        <v>-0.24402976036071777</v>
      </c>
      <c r="HH17" t="n" s="515">
        <v>0.5336940288543701</v>
      </c>
      <c r="HI17" t="n" s="515">
        <v>1.0342891216278076</v>
      </c>
      <c r="HJ17" t="n" s="515">
        <v>0.9910287261009216</v>
      </c>
      <c r="HK17" t="n" s="515">
        <v>0.6451947093009949</v>
      </c>
      <c r="HL17" t="n" s="515">
        <v>0.3809360861778259</v>
      </c>
      <c r="HM17" t="n" s="515">
        <v>0.186988964676857</v>
      </c>
      <c r="HN17" t="n" s="515">
        <v>0.0967688336968422</v>
      </c>
      <c r="HO17" t="n" s="515">
        <v>0.12663322687149048</v>
      </c>
      <c r="HP17" t="n" s="515">
        <v>0.13408750295639038</v>
      </c>
      <c r="HQ17" t="n" s="515">
        <v>0.01898159831762314</v>
      </c>
      <c r="HR17" t="n" s="515">
        <v>-0.19228775799274445</v>
      </c>
      <c r="HS17" t="n" s="515">
        <v>-0.4403124749660492</v>
      </c>
      <c r="HT17" t="n" s="515">
        <v>-0.5494574308395386</v>
      </c>
      <c r="HU17" t="n" s="515">
        <v>-0.4111470580101013</v>
      </c>
      <c r="HV17" t="n" s="515">
        <v>0.1537720113992691</v>
      </c>
      <c r="HW17" t="n" s="515">
        <v>1.003164291381836</v>
      </c>
      <c r="HX17" t="n" s="515">
        <v>2.3084893226623535</v>
      </c>
      <c r="HY17" t="n" s="515">
        <v>3.289466142654419</v>
      </c>
      <c r="HZ17" t="n" s="515">
        <v>3.7125353813171387</v>
      </c>
      <c r="IA17" t="n" s="515">
        <v>3.698420763015747</v>
      </c>
      <c r="IB17" t="n" s="515">
        <v>3.2354001998901367</v>
      </c>
      <c r="IC17" t="n" s="515">
        <v>2.4717445373535156</v>
      </c>
    </row>
    <row r="18">
      <c r="A18" s="514">
        <f>A17+ABS(B18-B17)</f>
      </c>
      <c r="B18" s="514">
        <f>372.0/12</f>
      </c>
      <c r="C18" t="n" s="514">
        <v>372.0</v>
      </c>
      <c r="D18" t="n" s="515">
        <v>1.1231906414031982</v>
      </c>
      <c r="E18" t="n" s="515">
        <v>0.9167457222938538</v>
      </c>
      <c r="F18" t="n" s="515">
        <v>0.8240678310394287</v>
      </c>
      <c r="G18" t="n" s="515">
        <v>0.7989053726196289</v>
      </c>
      <c r="H18" t="n" s="515">
        <v>0.7651224732398987</v>
      </c>
      <c r="I18" t="n" s="515">
        <v>0.7175736427307129</v>
      </c>
      <c r="J18" t="n" s="515">
        <v>0.580581545829773</v>
      </c>
      <c r="K18" t="n" s="515">
        <v>0.40075811743736267</v>
      </c>
      <c r="L18" t="n" s="515">
        <v>0.17588478326797485</v>
      </c>
      <c r="M18" t="n" s="515">
        <v>0.03464203700423241</v>
      </c>
      <c r="N18" t="n" s="515">
        <v>-0.04246737062931061</v>
      </c>
      <c r="O18" t="n" s="515">
        <v>-0.19113491475582123</v>
      </c>
      <c r="P18" t="n" s="515">
        <v>-0.38301384449005127</v>
      </c>
      <c r="Q18" t="n" s="515">
        <v>-0.544647753238678</v>
      </c>
      <c r="R18" t="n" s="515">
        <v>-0.649306058883667</v>
      </c>
      <c r="S18" t="n" s="515">
        <v>-0.5724905729293823</v>
      </c>
      <c r="T18" t="n" s="515">
        <v>-0.5533658266067505</v>
      </c>
      <c r="U18" t="n" s="515">
        <v>-0.5243991613388062</v>
      </c>
      <c r="V18" t="n" s="515">
        <v>-0.5932098031044006</v>
      </c>
      <c r="W18" t="n" s="515">
        <v>-0.733262836933136</v>
      </c>
      <c r="X18" t="n" s="515">
        <v>-0.9748204350471497</v>
      </c>
      <c r="Y18" t="n" s="515">
        <v>-1.3438522815704346</v>
      </c>
      <c r="Z18" t="n" s="515">
        <v>-1.861914873123169</v>
      </c>
      <c r="AA18" t="n" s="515">
        <v>-2.429340362548828</v>
      </c>
      <c r="AB18" t="n" s="515">
        <v>-2.839120626449585</v>
      </c>
      <c r="AC18" t="n" s="515">
        <v>-3.08012318611145</v>
      </c>
      <c r="AD18" t="n" s="515">
        <v>-2.9931881427764893</v>
      </c>
      <c r="AE18" t="n" s="515">
        <v>-2.615328550338745</v>
      </c>
      <c r="AF18" t="n" s="515">
        <v>-2.028668165206909</v>
      </c>
      <c r="AG18" t="n" s="515">
        <v>-1.348879098892212</v>
      </c>
      <c r="AH18" t="n" s="515">
        <v>-0.7574253678321838</v>
      </c>
      <c r="AI18" t="n" s="515">
        <v>-0.26018840074539185</v>
      </c>
      <c r="AJ18" t="n" s="515">
        <v>0.09847778081893921</v>
      </c>
      <c r="AK18" t="n" s="515">
        <v>0.45593371987342834</v>
      </c>
      <c r="AL18" t="n" s="515">
        <v>0.44167494773864746</v>
      </c>
      <c r="AM18" t="n" s="515">
        <v>0.9579355120658875</v>
      </c>
      <c r="AN18" t="n" s="515">
        <v>1.014156460762024</v>
      </c>
      <c r="AO18" t="n" s="515">
        <v>1.0572395324707031</v>
      </c>
      <c r="AP18" t="n" s="515">
        <v>1.1219109296798706</v>
      </c>
      <c r="AQ18" t="n" s="515">
        <v>1.024153709411621</v>
      </c>
      <c r="AR18" t="n" s="515">
        <v>0.8562304973602295</v>
      </c>
      <c r="AS18" t="n" s="515">
        <v>0.5680481195449829</v>
      </c>
      <c r="AT18" t="n" s="515">
        <v>0.3686947822570801</v>
      </c>
      <c r="AU18" t="n" s="515">
        <v>0.33183538913726807</v>
      </c>
      <c r="AV18" t="n" s="515">
        <v>0.452731728553772</v>
      </c>
      <c r="AW18" t="n" s="515">
        <v>0.6889882683753967</v>
      </c>
      <c r="AX18" t="n" s="515">
        <v>1.075769066810608</v>
      </c>
      <c r="AY18" t="n" s="515">
        <v>1.600403904914856</v>
      </c>
      <c r="AZ18" t="n" s="515">
        <v>2.029315948486328</v>
      </c>
      <c r="BA18" t="n" s="515">
        <v>2.2964425086975098</v>
      </c>
      <c r="BB18" t="n" s="515">
        <v>2.4062533378601074</v>
      </c>
      <c r="BC18" t="n" s="515">
        <v>2.3574161529541016</v>
      </c>
      <c r="BD18" t="n" s="515">
        <v>2.353992462158203</v>
      </c>
      <c r="BE18" t="n" s="515">
        <v>2.5286190509796143</v>
      </c>
      <c r="BF18" t="n" s="515">
        <v>2.351529359817505</v>
      </c>
      <c r="BG18" t="n" s="515">
        <v>2.026715040206909</v>
      </c>
      <c r="BH18" t="n" s="515">
        <v>1.6552889347076416</v>
      </c>
      <c r="BI18" t="n" s="515">
        <v>1.3591278791427612</v>
      </c>
      <c r="BJ18" t="n" s="515">
        <v>1.0383274555206299</v>
      </c>
      <c r="BK18" t="n" s="515">
        <v>0.8195517659187317</v>
      </c>
      <c r="BL18" t="n" s="515">
        <v>0.7270869612693787</v>
      </c>
      <c r="BM18" t="n" s="515">
        <v>0.7391229867935181</v>
      </c>
      <c r="BN18" t="n" s="515">
        <v>0.939264714717865</v>
      </c>
      <c r="BO18" t="n" s="515">
        <v>1.1710082292556763</v>
      </c>
      <c r="BP18" t="n" s="515">
        <v>1.4827736616134644</v>
      </c>
      <c r="BQ18" t="n" s="515">
        <v>1.676437497138977</v>
      </c>
      <c r="BR18" t="n" s="515">
        <v>1.7180917263031006</v>
      </c>
      <c r="BS18" t="n" s="515">
        <v>1.6032634973526</v>
      </c>
      <c r="BT18" t="n" s="515">
        <v>1.3150919675827026</v>
      </c>
      <c r="BU18" t="n" s="515">
        <v>1.0630462169647217</v>
      </c>
      <c r="BV18" t="n" s="515">
        <v>0.6984224915504456</v>
      </c>
      <c r="BW18" t="n" s="515">
        <v>0.1914491504430771</v>
      </c>
      <c r="BX18" t="n" s="515">
        <v>-0.6717299818992615</v>
      </c>
      <c r="BY18" t="n" s="515">
        <v>-0.7594512104988098</v>
      </c>
      <c r="BZ18" t="n" s="515">
        <v>-1.127273440361023</v>
      </c>
      <c r="CA18" t="n" s="515">
        <v>-1.3722102642059326</v>
      </c>
      <c r="CB18" t="n" s="515">
        <v>-1.636293888092041</v>
      </c>
      <c r="CC18" t="n" s="515">
        <v>-1.6772527694702148</v>
      </c>
      <c r="CD18" t="n" s="515">
        <v>-1.5391266345977783</v>
      </c>
      <c r="CE18" t="n" s="515">
        <v>-1.143984317779541</v>
      </c>
      <c r="CF18" t="n" s="515">
        <v>-0.4739680588245392</v>
      </c>
      <c r="CG18" t="n" s="515">
        <v>0.24965421855449677</v>
      </c>
      <c r="CH18" t="n" s="515">
        <v>0.7089347839355469</v>
      </c>
      <c r="CI18" t="n" s="515">
        <v>1.0419374704360962</v>
      </c>
      <c r="CJ18" t="n" s="515">
        <v>1.4114733934402466</v>
      </c>
      <c r="CK18" t="n" s="515">
        <v>1.73964524269104</v>
      </c>
      <c r="CL18" t="n" s="515">
        <v>2.0860133171081543</v>
      </c>
      <c r="CM18" t="n" s="515">
        <v>2.327822208404541</v>
      </c>
      <c r="CN18" t="n" s="515">
        <v>2.1935818195343018</v>
      </c>
      <c r="CO18" t="n" s="515">
        <v>1.7821093797683716</v>
      </c>
      <c r="CP18" t="n" s="515">
        <v>1.3781425952911377</v>
      </c>
      <c r="CQ18" t="n" s="515">
        <v>1.0540831089019775</v>
      </c>
      <c r="CR18" t="n" s="515">
        <v>0.7621657252311707</v>
      </c>
      <c r="CS18" t="n" s="515">
        <v>-0.15709275007247925</v>
      </c>
      <c r="CT18" t="n" s="515">
        <v>0.0984327495098114</v>
      </c>
      <c r="CU18" t="n" s="515">
        <v>-0.07654143869876862</v>
      </c>
      <c r="CV18" t="n" s="515">
        <v>-0.1310863047838211</v>
      </c>
      <c r="CW18" t="n" s="515">
        <v>-0.018120434135198593</v>
      </c>
      <c r="CX18" t="n" s="515">
        <v>0.17112202942371368</v>
      </c>
      <c r="CY18" t="n" s="515">
        <v>0.5030727982521057</v>
      </c>
      <c r="CZ18" t="n" s="515">
        <v>0.9622795581817627</v>
      </c>
      <c r="DA18" t="n" s="515">
        <v>1.5008211135864258</v>
      </c>
      <c r="DB18" t="n" s="515">
        <v>1.8724111318588257</v>
      </c>
      <c r="DC18" t="n" s="515">
        <v>2.1436517238616943</v>
      </c>
      <c r="DD18" t="n" s="515">
        <v>2.3652656078338623</v>
      </c>
      <c r="DE18" t="n" s="515">
        <v>2.6619341373443604</v>
      </c>
      <c r="DF18" t="n" s="515">
        <v>2.819885730743408</v>
      </c>
      <c r="DG18" t="n" s="515">
        <v>2.6996374130249023</v>
      </c>
      <c r="DH18" t="n" s="515">
        <v>2.5658133029937744</v>
      </c>
      <c r="DI18" t="n" s="515">
        <v>2.3761420249938965</v>
      </c>
      <c r="DJ18" t="n" s="515">
        <v>2.150919198989868</v>
      </c>
      <c r="DK18" t="n" s="515">
        <v>1.4006050825119019</v>
      </c>
      <c r="DL18" t="n" s="515">
        <v>-1.4996193647384644</v>
      </c>
      <c r="DM18" t="n" s="515">
        <v>1.1340399980545044</v>
      </c>
      <c r="DN18" t="n" s="515">
        <v>0.7736823558807373</v>
      </c>
      <c r="DO18" t="n" s="515">
        <v>0.39121976494789124</v>
      </c>
      <c r="DP18" t="n" s="515">
        <v>0.0924200564622879</v>
      </c>
      <c r="DQ18" t="n" s="515">
        <v>-0.014217730611562729</v>
      </c>
      <c r="DR18" t="n" s="515">
        <v>-0.0682378038764</v>
      </c>
      <c r="DS18" t="n" s="515">
        <v>0.04077918827533722</v>
      </c>
      <c r="DT18" t="n" s="515">
        <v>0.2078063189983368</v>
      </c>
      <c r="DU18" t="n" s="515">
        <v>0.30621975660324097</v>
      </c>
      <c r="DV18" t="n" s="515">
        <v>0.4084055423736572</v>
      </c>
      <c r="DW18" t="n" s="515">
        <v>0.4346330761909485</v>
      </c>
      <c r="DX18" t="n" s="515">
        <v>0.3704639971256256</v>
      </c>
      <c r="DY18" t="n" s="515">
        <v>0.3390105366706848</v>
      </c>
      <c r="DZ18" t="n" s="515">
        <v>0.3880349099636078</v>
      </c>
      <c r="EA18" t="n" s="515">
        <v>0.4433434009552002</v>
      </c>
      <c r="EB18" t="n" s="515">
        <v>0.43278515338897705</v>
      </c>
      <c r="EC18" t="n" s="515">
        <v>-0.5418741106987</v>
      </c>
      <c r="ED18" t="n" s="515">
        <v>0.08305759727954865</v>
      </c>
      <c r="EE18" t="n" s="515">
        <v>-0.17733833193778992</v>
      </c>
      <c r="EF18" t="n" s="515">
        <v>-0.36460649967193604</v>
      </c>
      <c r="EG18" t="n" s="515">
        <v>-0.40790092945098877</v>
      </c>
      <c r="EH18" t="n" s="515">
        <v>-0.2562996745109558</v>
      </c>
      <c r="EI18" t="n" s="515">
        <v>0.07104834169149399</v>
      </c>
      <c r="EJ18" t="n" s="515">
        <v>0.4377615451812744</v>
      </c>
      <c r="EK18" t="n" s="515">
        <v>0.7322069406509399</v>
      </c>
      <c r="EL18" t="n" s="515">
        <v>0.7772533893585205</v>
      </c>
      <c r="EM18" t="n" s="515">
        <v>0.7454212307929993</v>
      </c>
      <c r="EN18" t="n" s="515">
        <v>0.6333281993865967</v>
      </c>
      <c r="EO18" t="n" s="515">
        <v>0.4311826527118683</v>
      </c>
      <c r="EP18" t="n" s="515">
        <v>0.10129299759864807</v>
      </c>
      <c r="EQ18" t="n" s="515">
        <v>-0.25386863946914673</v>
      </c>
      <c r="ER18" t="n" s="515">
        <v>-0.4528418183326721</v>
      </c>
      <c r="ES18" t="n" s="515">
        <v>-0.5900506377220154</v>
      </c>
      <c r="ET18" t="n" s="515">
        <v>-0.6090987324714661</v>
      </c>
      <c r="EU18" t="n" s="515">
        <v>-0.5577636957168579</v>
      </c>
      <c r="EV18" t="n" s="515">
        <v>-0.5680720210075378</v>
      </c>
      <c r="EW18" t="n" s="515">
        <v>-0.4444408416748047</v>
      </c>
      <c r="EX18" t="n" s="515">
        <v>-0.3056381940841675</v>
      </c>
      <c r="EY18" t="n" s="515">
        <v>-0.004222425166517496</v>
      </c>
      <c r="EZ18" t="n" s="515">
        <v>0.13179273903369904</v>
      </c>
      <c r="FA18" t="n" s="515">
        <v>0.6999474167823792</v>
      </c>
      <c r="FB18" t="n" s="515">
        <v>1.1098530292510986</v>
      </c>
      <c r="FC18" t="n" s="515">
        <v>1.456506371498108</v>
      </c>
      <c r="FD18" t="n" s="515">
        <v>1.7661802768707275</v>
      </c>
      <c r="FE18" t="n" s="515">
        <v>1.9041804075241089</v>
      </c>
      <c r="FF18" t="n" s="515">
        <v>1.9342615604400635</v>
      </c>
      <c r="FG18" t="n" s="515">
        <v>1.7612518072128296</v>
      </c>
      <c r="FH18" t="n" s="515">
        <v>1.6253917217254639</v>
      </c>
      <c r="FI18" t="n" s="515">
        <v>1.508048415184021</v>
      </c>
      <c r="FJ18" t="n" s="515">
        <v>1.483405351638794</v>
      </c>
      <c r="FK18" t="n" s="515">
        <v>1.5502663850784302</v>
      </c>
      <c r="FL18" t="n" s="515">
        <v>1.6231508255004883</v>
      </c>
      <c r="FM18" t="n" s="515">
        <v>1.6790225505828857</v>
      </c>
      <c r="FN18" t="n" s="515">
        <v>1.6162388324737549</v>
      </c>
      <c r="FO18" t="n" s="515">
        <v>1.4956496953964233</v>
      </c>
      <c r="FP18" t="n" s="515">
        <v>1.2998934984207153</v>
      </c>
      <c r="FQ18" t="n" s="515">
        <v>1.0042556524276733</v>
      </c>
      <c r="FR18" t="n" s="515">
        <v>0.5683879256248474</v>
      </c>
      <c r="FS18" t="n" s="515">
        <v>0.045253120362758636</v>
      </c>
      <c r="FT18" t="n" s="515">
        <v>-0.327844500541687</v>
      </c>
      <c r="FU18" t="n" s="515">
        <v>-0.502797544002533</v>
      </c>
      <c r="FV18" t="n" s="515">
        <v>-0.4857141375541687</v>
      </c>
      <c r="FW18" t="n" s="515">
        <v>-0.4191009998321533</v>
      </c>
      <c r="FX18" t="n" s="515">
        <v>-0.32429417967796326</v>
      </c>
      <c r="FY18" t="n" s="515">
        <v>-0.24506740272045135</v>
      </c>
      <c r="FZ18" t="n" s="515">
        <v>-0.15796791017055511</v>
      </c>
      <c r="GA18" t="n" s="515">
        <v>-0.17952121794223785</v>
      </c>
      <c r="GB18" t="n" s="515">
        <v>-0.26826831698417664</v>
      </c>
      <c r="GC18" t="n" s="515">
        <v>-0.2322089970111847</v>
      </c>
      <c r="GD18" t="n" s="515">
        <v>-0.1258368045091629</v>
      </c>
      <c r="GE18" t="n" s="515">
        <v>-0.08921952545642853</v>
      </c>
      <c r="GF18" t="n" s="515">
        <v>-0.15294654667377472</v>
      </c>
      <c r="GG18" t="n" s="515">
        <v>-0.3450945317745209</v>
      </c>
      <c r="GH18" t="n" s="515">
        <v>-0.5073582530021667</v>
      </c>
      <c r="GI18" t="n" s="515">
        <v>-0.6306933164596558</v>
      </c>
      <c r="GJ18" t="n" s="515">
        <v>-0.5871158838272095</v>
      </c>
      <c r="GK18" t="n" s="515">
        <v>-0.3363181948661804</v>
      </c>
      <c r="GL18" t="n" s="515">
        <v>0.09522497653961182</v>
      </c>
      <c r="GM18" t="n" s="515">
        <v>0.6491284966468811</v>
      </c>
      <c r="GN18" t="n" s="515">
        <v>1.2023617029190063</v>
      </c>
      <c r="GO18" t="n" s="515">
        <v>1.5848584175109863</v>
      </c>
      <c r="GP18" t="n" s="515">
        <v>1.5443195104599</v>
      </c>
      <c r="GQ18" t="n" s="515">
        <v>1.181653618812561</v>
      </c>
      <c r="GR18" t="n" s="515">
        <v>0.6477916836738586</v>
      </c>
      <c r="GS18" t="n" s="515">
        <v>0.292830228805542</v>
      </c>
      <c r="GT18" t="n" s="515">
        <v>0.184404194355011</v>
      </c>
      <c r="GU18" t="n" s="515">
        <v>0.033070798963308334</v>
      </c>
      <c r="GV18" t="n" s="515">
        <v>0.03967887908220291</v>
      </c>
      <c r="GW18" t="n" s="515">
        <v>-0.014521121047437191</v>
      </c>
      <c r="GX18" t="n" s="515">
        <v>-0.2725764214992523</v>
      </c>
      <c r="GY18" t="n" s="515">
        <v>-0.7025448083877563</v>
      </c>
      <c r="GZ18" t="n" s="515">
        <v>-1.1710370779037476</v>
      </c>
      <c r="HA18" t="n" s="515">
        <v>-1.5013670921325684</v>
      </c>
      <c r="HB18" t="n" s="515">
        <v>-1.7028707265853882</v>
      </c>
      <c r="HC18" t="n" s="515">
        <v>-1.7541131973266602</v>
      </c>
      <c r="HD18" t="n" s="515">
        <v>-1.7012524604797363</v>
      </c>
      <c r="HE18" t="n" s="515">
        <v>-1.558426022529602</v>
      </c>
      <c r="HF18" t="n" s="515">
        <v>-1.1004515886306763</v>
      </c>
      <c r="HG18" t="n" s="515">
        <v>-0.46476566791534424</v>
      </c>
      <c r="HH18" t="n" s="515">
        <v>0.02675566077232361</v>
      </c>
      <c r="HI18" t="n" s="515">
        <v>0.33953961730003357</v>
      </c>
      <c r="HJ18" t="n" s="515">
        <v>0.5213697552680969</v>
      </c>
      <c r="HK18" t="n" s="515">
        <v>0.5616660118103027</v>
      </c>
      <c r="HL18" t="n" s="515">
        <v>0.4852619767189026</v>
      </c>
      <c r="HM18" t="n" s="515">
        <v>0.4953297972679138</v>
      </c>
      <c r="HN18" t="n" s="515">
        <v>0.48322010040283203</v>
      </c>
      <c r="HO18" t="n" s="515">
        <v>0.5299506187438965</v>
      </c>
      <c r="HP18" t="n" s="515">
        <v>0.47079944610595703</v>
      </c>
      <c r="HQ18" t="n" s="515">
        <v>0.29499542713165283</v>
      </c>
      <c r="HR18" t="n" s="515">
        <v>0.02251066267490387</v>
      </c>
      <c r="HS18" t="n" s="515">
        <v>-0.20296502113342285</v>
      </c>
      <c r="HT18" t="n" s="515">
        <v>-0.3090091049671173</v>
      </c>
      <c r="HU18" t="n" s="515">
        <v>-0.22228282690048218</v>
      </c>
      <c r="HV18" t="n" s="515">
        <v>0.13751250505447388</v>
      </c>
      <c r="HW18" t="n" s="515">
        <v>0.6715047359466553</v>
      </c>
      <c r="HX18" t="n" s="515">
        <v>1.6829993724822998</v>
      </c>
      <c r="HY18" t="n" s="515">
        <v>2.611091375350952</v>
      </c>
      <c r="HZ18" t="n" s="515">
        <v>3.261823892593384</v>
      </c>
      <c r="IA18" t="n" s="515">
        <v>3.515528678894043</v>
      </c>
      <c r="IB18" t="n" s="515">
        <v>3.1623198986053467</v>
      </c>
      <c r="IC18" t="n" s="515">
        <v>2.477851390838623</v>
      </c>
    </row>
    <row r="19">
      <c r="A19" s="514">
        <f>A18+ABS(B19-B18)</f>
      </c>
      <c r="B19" s="514">
        <f>396.0/12</f>
      </c>
      <c r="C19" t="n" s="514">
        <v>396.0</v>
      </c>
      <c r="D19" t="n" s="515">
        <v>1.185237169265747</v>
      </c>
      <c r="E19" t="n" s="515">
        <v>0.9687590003013611</v>
      </c>
      <c r="F19" t="n" s="515">
        <v>0.8301389813423157</v>
      </c>
      <c r="G19" t="n" s="515">
        <v>0.7595898509025574</v>
      </c>
      <c r="H19" t="n" s="515">
        <v>0.6685353517532349</v>
      </c>
      <c r="I19" t="n" s="515">
        <v>0.6403281688690186</v>
      </c>
      <c r="J19" t="n" s="515">
        <v>0.6007672548294067</v>
      </c>
      <c r="K19" t="n" s="515">
        <v>0.5351863503456116</v>
      </c>
      <c r="L19" t="n" s="515">
        <v>0.4119378328323364</v>
      </c>
      <c r="M19" t="n" s="515">
        <v>0.2961036264896393</v>
      </c>
      <c r="N19" t="n" s="515">
        <v>0.1261635720729828</v>
      </c>
      <c r="O19" t="n" s="515">
        <v>-0.18249838054180145</v>
      </c>
      <c r="P19" t="n" s="515">
        <v>-0.5373280644416809</v>
      </c>
      <c r="Q19" t="n" s="515">
        <v>-0.8662239909172058</v>
      </c>
      <c r="R19" t="n" s="515">
        <v>-0.9318129420280457</v>
      </c>
      <c r="S19" t="n" s="515">
        <v>-0.722865104675293</v>
      </c>
      <c r="T19" t="n" s="515">
        <v>-0.4944904148578644</v>
      </c>
      <c r="U19" t="n" s="515">
        <v>-0.3819262981414795</v>
      </c>
      <c r="V19" t="n" s="515">
        <v>-0.41804662346839905</v>
      </c>
      <c r="W19" t="n" s="515">
        <v>-0.5802168250083923</v>
      </c>
      <c r="X19" t="n" s="515">
        <v>-0.8681699633598328</v>
      </c>
      <c r="Y19" t="n" s="515">
        <v>-1.2837165594100952</v>
      </c>
      <c r="Z19" t="n" s="515">
        <v>-1.8146467208862305</v>
      </c>
      <c r="AA19" t="n" s="515">
        <v>-2.3740897178649902</v>
      </c>
      <c r="AB19" t="n" s="515">
        <v>-2.736494779586792</v>
      </c>
      <c r="AC19" t="n" s="515">
        <v>-2.934278726577759</v>
      </c>
      <c r="AD19" t="n" s="515">
        <v>-2.863898515701294</v>
      </c>
      <c r="AE19" t="n" s="515">
        <v>-2.566242218017578</v>
      </c>
      <c r="AF19" t="n" s="515">
        <v>-2.155277729034424</v>
      </c>
      <c r="AG19" t="n" s="515">
        <v>-1.651179313659668</v>
      </c>
      <c r="AH19" t="n" s="515">
        <v>-1.2206535339355469</v>
      </c>
      <c r="AI19" t="n" s="515">
        <v>-0.769460141658783</v>
      </c>
      <c r="AJ19" t="n" s="515">
        <v>-0.2851044237613678</v>
      </c>
      <c r="AK19" t="n" s="515">
        <v>0.39402884244918823</v>
      </c>
      <c r="AL19" t="n" s="515">
        <v>0.5792032480239868</v>
      </c>
      <c r="AM19" t="n" s="515">
        <v>1.3302499055862427</v>
      </c>
      <c r="AN19" t="n" s="515">
        <v>1.5319674015045166</v>
      </c>
      <c r="AO19" t="n" s="515">
        <v>1.5308871269226074</v>
      </c>
      <c r="AP19" t="n" s="515">
        <v>1.4563950300216675</v>
      </c>
      <c r="AQ19" t="n" s="515">
        <v>1.241240382194519</v>
      </c>
      <c r="AR19" t="n" s="515">
        <v>0.9521320462226868</v>
      </c>
      <c r="AS19" t="n" s="515">
        <v>0.6463273763656616</v>
      </c>
      <c r="AT19" t="n" s="515">
        <v>0.44388100504875183</v>
      </c>
      <c r="AU19" t="n" s="515">
        <v>0.41642630100250244</v>
      </c>
      <c r="AV19" t="n" s="515">
        <v>0.5114006996154785</v>
      </c>
      <c r="AW19" t="n" s="515">
        <v>0.6915709972381592</v>
      </c>
      <c r="AX19" t="n" s="515">
        <v>0.9820907711982727</v>
      </c>
      <c r="AY19" t="n" s="515">
        <v>1.3465511798858643</v>
      </c>
      <c r="AZ19" t="n" s="515">
        <v>1.6766691207885742</v>
      </c>
      <c r="BA19" t="n" s="515">
        <v>1.9130057096481323</v>
      </c>
      <c r="BB19" t="n" s="515">
        <v>2.0858325958251953</v>
      </c>
      <c r="BC19" t="n" s="515">
        <v>2.212573528289795</v>
      </c>
      <c r="BD19" t="n" s="515">
        <v>2.4169018268585205</v>
      </c>
      <c r="BE19" t="n" s="515">
        <v>2.632847309112549</v>
      </c>
      <c r="BF19" t="n" s="515">
        <v>2.550025463104248</v>
      </c>
      <c r="BG19" t="n" s="515">
        <v>2.3035948276519775</v>
      </c>
      <c r="BH19" t="n" s="515">
        <v>1.918872594833374</v>
      </c>
      <c r="BI19" t="n" s="515">
        <v>1.5570074319839478</v>
      </c>
      <c r="BJ19" t="n" s="515">
        <v>1.1518869400024414</v>
      </c>
      <c r="BK19" t="n" s="515">
        <v>0.8101107478141785</v>
      </c>
      <c r="BL19" t="n" s="515">
        <v>0.633993923664093</v>
      </c>
      <c r="BM19" t="n" s="515">
        <v>0.59280925989151</v>
      </c>
      <c r="BN19" t="n" s="515">
        <v>0.7731731534004211</v>
      </c>
      <c r="BO19" t="n" s="515">
        <v>0.9835630655288696</v>
      </c>
      <c r="BP19" t="n" s="515">
        <v>1.2408955097198486</v>
      </c>
      <c r="BQ19" t="n" s="515">
        <v>1.3053768873214722</v>
      </c>
      <c r="BR19" t="n" s="515">
        <v>1.2250182628631592</v>
      </c>
      <c r="BS19" t="n" s="515">
        <v>1.0554964542388916</v>
      </c>
      <c r="BT19" t="n" s="515">
        <v>0.8299329876899719</v>
      </c>
      <c r="BU19" t="n" s="515">
        <v>0.7726826071739197</v>
      </c>
      <c r="BV19" t="n" s="515">
        <v>0.6715855002403259</v>
      </c>
      <c r="BW19" t="n" s="515">
        <v>0.33981257677078247</v>
      </c>
      <c r="BX19" t="n" s="515">
        <v>-0.3447268307209015</v>
      </c>
      <c r="BY19" t="n" s="515">
        <v>-0.3994044065475464</v>
      </c>
      <c r="BZ19" t="n" s="515">
        <v>-0.8089451789855957</v>
      </c>
      <c r="CA19" t="n" s="515">
        <v>-1.1746069192886353</v>
      </c>
      <c r="CB19" t="n" s="515">
        <v>-1.4834758043289185</v>
      </c>
      <c r="CC19" t="n" s="515">
        <v>-1.5117818117141724</v>
      </c>
      <c r="CD19" t="n" s="515">
        <v>-1.3391474485397339</v>
      </c>
      <c r="CE19" t="n" s="515">
        <v>-0.9639186859130859</v>
      </c>
      <c r="CF19" t="n" s="515">
        <v>-0.4635220468044281</v>
      </c>
      <c r="CG19" t="n" s="515">
        <v>0.01862148381769657</v>
      </c>
      <c r="CH19" t="n" s="515">
        <v>0.292522132396698</v>
      </c>
      <c r="CI19" t="n" s="515">
        <v>0.44299787282943726</v>
      </c>
      <c r="CJ19" t="n" s="515">
        <v>0.6966502070426941</v>
      </c>
      <c r="CK19" t="n" s="515">
        <v>1.0682423114776611</v>
      </c>
      <c r="CL19" t="n" s="515">
        <v>1.535377025604248</v>
      </c>
      <c r="CM19" t="n" s="515">
        <v>1.9703513383865356</v>
      </c>
      <c r="CN19" t="n" s="515">
        <v>2.091519594192505</v>
      </c>
      <c r="CO19" t="n" s="515">
        <v>1.8801971673965454</v>
      </c>
      <c r="CP19" t="n" s="515">
        <v>1.55810546875</v>
      </c>
      <c r="CQ19" t="n" s="515">
        <v>1.2637503147125244</v>
      </c>
      <c r="CR19" t="n" s="515">
        <v>0.9578835964202881</v>
      </c>
      <c r="CS19" t="n" s="515">
        <v>-0.3660506010055542</v>
      </c>
      <c r="CT19" t="n" s="515">
        <v>0.10756350308656693</v>
      </c>
      <c r="CU19" t="n" s="515">
        <v>-0.16002821922302246</v>
      </c>
      <c r="CV19" t="n" s="515">
        <v>-0.2230405956506729</v>
      </c>
      <c r="CW19" t="n" s="515">
        <v>-0.03990916907787323</v>
      </c>
      <c r="CX19" t="n" s="515">
        <v>0.28404638171195984</v>
      </c>
      <c r="CY19" t="n" s="515">
        <v>0.6702925562858582</v>
      </c>
      <c r="CZ19" t="n" s="515">
        <v>1.0488649606704712</v>
      </c>
      <c r="DA19" t="n" s="515">
        <v>1.3718899488449097</v>
      </c>
      <c r="DB19" t="n" s="515">
        <v>1.5079587697982788</v>
      </c>
      <c r="DC19" t="n" s="515">
        <v>1.5058152675628662</v>
      </c>
      <c r="DD19" t="n" s="515">
        <v>1.5585224628448486</v>
      </c>
      <c r="DE19" t="n" s="515">
        <v>1.8815028667449951</v>
      </c>
      <c r="DF19" t="n" s="515">
        <v>2.3343210220336914</v>
      </c>
      <c r="DG19" t="n" s="515">
        <v>2.536829948425293</v>
      </c>
      <c r="DH19" t="n" s="515">
        <v>2.607095241546631</v>
      </c>
      <c r="DI19" t="n" s="515">
        <v>2.4927315711975098</v>
      </c>
      <c r="DJ19" t="n" s="515">
        <v>1.6233656406402588</v>
      </c>
      <c r="DK19" t="n" s="515">
        <v>-1.250458836555481</v>
      </c>
      <c r="DL19" t="n" s="515">
        <v>1.41340172290802</v>
      </c>
      <c r="DM19" t="n" s="515">
        <v>1.069982647895813</v>
      </c>
      <c r="DN19" t="n" s="515">
        <v>0.6955170631408691</v>
      </c>
      <c r="DO19" t="n" s="515">
        <v>0.4661974608898163</v>
      </c>
      <c r="DP19" t="n" s="515">
        <v>0.23855853080749512</v>
      </c>
      <c r="DQ19" t="n" s="515">
        <v>0.05601189285516739</v>
      </c>
      <c r="DR19" t="n" s="515">
        <v>-0.13062334060668945</v>
      </c>
      <c r="DS19" t="n" s="515">
        <v>-0.25360193848609924</v>
      </c>
      <c r="DT19" t="n" s="515">
        <v>-0.3113352358341217</v>
      </c>
      <c r="DU19" t="n" s="515">
        <v>-0.3879188001155853</v>
      </c>
      <c r="DV19" t="n" s="515">
        <v>-0.31508928537368774</v>
      </c>
      <c r="DW19" t="n" s="515">
        <v>-0.13731510937213898</v>
      </c>
      <c r="DX19" t="n" s="515">
        <v>0.12459371238946915</v>
      </c>
      <c r="DY19" t="n" s="515">
        <v>0.36247801780700684</v>
      </c>
      <c r="DZ19" t="n" s="515">
        <v>0.46903321146965027</v>
      </c>
      <c r="EA19" t="n" s="515">
        <v>0.536757230758667</v>
      </c>
      <c r="EB19" t="n" s="515">
        <v>0.49160993099212646</v>
      </c>
      <c r="EC19" t="n" s="515">
        <v>-0.5526001453399658</v>
      </c>
      <c r="ED19" t="n" s="515">
        <v>0.09267859905958176</v>
      </c>
      <c r="EE19" t="n" s="515">
        <v>-0.17269180715084076</v>
      </c>
      <c r="EF19" t="n" s="515">
        <v>-0.30290985107421875</v>
      </c>
      <c r="EG19" t="n" s="515">
        <v>-0.3667141795158386</v>
      </c>
      <c r="EH19" t="n" s="515">
        <v>-0.24672114849090576</v>
      </c>
      <c r="EI19" t="n" s="515">
        <v>-0.014289898797869682</v>
      </c>
      <c r="EJ19" t="n" s="515">
        <v>0.2544565498828888</v>
      </c>
      <c r="EK19" t="n" s="515">
        <v>0.4418787360191345</v>
      </c>
      <c r="EL19" t="n" s="515">
        <v>0.3937268853187561</v>
      </c>
      <c r="EM19" t="n" s="515">
        <v>0.322181761264801</v>
      </c>
      <c r="EN19" t="n" s="515">
        <v>0.16905751824378967</v>
      </c>
      <c r="EO19" t="n" s="515">
        <v>0.04206890985369682</v>
      </c>
      <c r="EP19" t="n" s="515">
        <v>-0.09204448014497757</v>
      </c>
      <c r="EQ19" t="n" s="515">
        <v>-0.2696495056152344</v>
      </c>
      <c r="ER19" t="n" s="515">
        <v>-0.4386979937553406</v>
      </c>
      <c r="ES19" t="n" s="515">
        <v>-0.5342941284179688</v>
      </c>
      <c r="ET19" t="n" s="515">
        <v>-0.6221730709075928</v>
      </c>
      <c r="EU19" t="n" s="515">
        <v>-0.7087122201919556</v>
      </c>
      <c r="EV19" t="n" s="515">
        <v>-0.7883636355400085</v>
      </c>
      <c r="EW19" t="n" s="515">
        <v>-0.6705071330070496</v>
      </c>
      <c r="EX19" t="n" s="515">
        <v>-0.36570602655410767</v>
      </c>
      <c r="EY19" t="n" s="515">
        <v>-0.017444618046283722</v>
      </c>
      <c r="EZ19" t="n" s="515">
        <v>0.19547875225543976</v>
      </c>
      <c r="FA19" t="n" s="515">
        <v>0.8856245279312134</v>
      </c>
      <c r="FB19" t="n" s="515">
        <v>1.2329691648483276</v>
      </c>
      <c r="FC19" t="n" s="515">
        <v>1.4543204307556152</v>
      </c>
      <c r="FD19" t="n" s="515">
        <v>1.5570735931396484</v>
      </c>
      <c r="FE19" t="n" s="515">
        <v>1.5184649229049683</v>
      </c>
      <c r="FF19" t="n" s="515">
        <v>1.4307039976119995</v>
      </c>
      <c r="FG19" t="n" s="515">
        <v>1.326935052871704</v>
      </c>
      <c r="FH19" t="n" s="515">
        <v>1.4000086784362793</v>
      </c>
      <c r="FI19" t="n" s="515">
        <v>1.5097488164901733</v>
      </c>
      <c r="FJ19" t="n" s="515">
        <v>1.6885366439819336</v>
      </c>
      <c r="FK19" t="n" s="515">
        <v>1.8475244045257568</v>
      </c>
      <c r="FL19" t="n" s="515">
        <v>1.8837112188339233</v>
      </c>
      <c r="FM19" t="n" s="515">
        <v>1.8171041011810303</v>
      </c>
      <c r="FN19" t="n" s="515">
        <v>1.6193312406539917</v>
      </c>
      <c r="FO19" t="n" s="515">
        <v>1.4267336130142212</v>
      </c>
      <c r="FP19" t="n" s="515">
        <v>1.2132970094680786</v>
      </c>
      <c r="FQ19" t="n" s="515">
        <v>0.9974423050880432</v>
      </c>
      <c r="FR19" t="n" s="515">
        <v>0.6513371467590332</v>
      </c>
      <c r="FS19" t="n" s="515">
        <v>0.23252929747104645</v>
      </c>
      <c r="FT19" t="n" s="515">
        <v>-0.13519616425037384</v>
      </c>
      <c r="FU19" t="n" s="515">
        <v>-0.4766538441181183</v>
      </c>
      <c r="FV19" t="n" s="515">
        <v>-0.6803873181343079</v>
      </c>
      <c r="FW19" t="n" s="515">
        <v>-0.8220531344413757</v>
      </c>
      <c r="FX19" t="n" s="515">
        <v>-0.8060374855995178</v>
      </c>
      <c r="FY19" t="n" s="515">
        <v>-0.7177793383598328</v>
      </c>
      <c r="FZ19" t="n" s="515">
        <v>-0.45184943079948425</v>
      </c>
      <c r="GA19" t="n" s="515">
        <v>-0.15744075179100037</v>
      </c>
      <c r="GB19" t="n" s="515">
        <v>-0.09397504478693008</v>
      </c>
      <c r="GC19" t="n" s="515">
        <v>0.0021841805428266525</v>
      </c>
      <c r="GD19" t="n" s="515">
        <v>0.10691708326339722</v>
      </c>
      <c r="GE19" t="n" s="515">
        <v>0.053362831473350525</v>
      </c>
      <c r="GF19" t="n" s="515">
        <v>-0.10356950759887695</v>
      </c>
      <c r="GG19" t="n" s="515">
        <v>-0.37989333271980286</v>
      </c>
      <c r="GH19" t="n" s="515">
        <v>-0.5459751486778259</v>
      </c>
      <c r="GI19" t="n" s="515">
        <v>-0.5937495231628418</v>
      </c>
      <c r="GJ19" t="n" s="515">
        <v>-0.4955778121948242</v>
      </c>
      <c r="GK19" t="n" s="515">
        <v>-0.2415890395641327</v>
      </c>
      <c r="GL19" t="n" s="515">
        <v>0.08179937303066254</v>
      </c>
      <c r="GM19" t="n" s="515">
        <v>0.466887503862381</v>
      </c>
      <c r="GN19" t="n" s="515">
        <v>0.7979488968849182</v>
      </c>
      <c r="GO19" t="n" s="515">
        <v>0.9939510822296143</v>
      </c>
      <c r="GP19" t="n" s="515">
        <v>0.8582773804664612</v>
      </c>
      <c r="GQ19" t="n" s="515">
        <v>0.5501095056533813</v>
      </c>
      <c r="GR19" t="n" s="515">
        <v>0.2846076488494873</v>
      </c>
      <c r="GS19" t="n" s="515">
        <v>0.1977447271347046</v>
      </c>
      <c r="GT19" t="n" s="515">
        <v>0.22135548293590546</v>
      </c>
      <c r="GU19" t="n" s="515">
        <v>0.27277258038520813</v>
      </c>
      <c r="GV19" t="n" s="515">
        <v>0.3612746000289917</v>
      </c>
      <c r="GW19" t="n" s="515">
        <v>0.2870728075504303</v>
      </c>
      <c r="GX19" t="n" s="515">
        <v>-0.05334319546818733</v>
      </c>
      <c r="GY19" t="n" s="515">
        <v>-0.581075131893158</v>
      </c>
      <c r="GZ19" t="n" s="515">
        <v>-1.1302169561386108</v>
      </c>
      <c r="HA19" t="n" s="515">
        <v>-1.532004952430725</v>
      </c>
      <c r="HB19" t="n" s="515">
        <v>-1.751813530921936</v>
      </c>
      <c r="HC19" t="n" s="515">
        <v>-1.764342188835144</v>
      </c>
      <c r="HD19" t="n" s="515">
        <v>-1.612120509147644</v>
      </c>
      <c r="HE19" t="n" s="515">
        <v>-1.4138933420181274</v>
      </c>
      <c r="HF19" t="n" s="515">
        <v>-1.0417439937591553</v>
      </c>
      <c r="HG19" t="n" s="515">
        <v>-0.638548731803894</v>
      </c>
      <c r="HH19" t="n" s="515">
        <v>-0.39305922389030457</v>
      </c>
      <c r="HI19" t="n" s="515">
        <v>-0.19872738420963287</v>
      </c>
      <c r="HJ19" t="n" s="515">
        <v>0.15319091081619263</v>
      </c>
      <c r="HK19" t="n" s="515">
        <v>0.48825493454933167</v>
      </c>
      <c r="HL19" t="n" s="515">
        <v>0.6466494202613831</v>
      </c>
      <c r="HM19" t="n" s="515">
        <v>0.8796338438987732</v>
      </c>
      <c r="HN19" t="n" s="515">
        <v>1.0045080184936523</v>
      </c>
      <c r="HO19" t="n" s="515">
        <v>1.029288411140442</v>
      </c>
      <c r="HP19" t="n" s="515">
        <v>0.9058705568313599</v>
      </c>
      <c r="HQ19" t="n" s="515">
        <v>0.6172143220901489</v>
      </c>
      <c r="HR19" t="n" s="515">
        <v>0.29940927028656006</v>
      </c>
      <c r="HS19" t="n" s="515">
        <v>0.07196293026208878</v>
      </c>
      <c r="HT19" t="n" s="515">
        <v>-0.0010657681850716472</v>
      </c>
      <c r="HU19" t="n" s="515">
        <v>0.06354987621307373</v>
      </c>
      <c r="HV19" t="n" s="515">
        <v>0.29569536447525024</v>
      </c>
      <c r="HW19" t="n" s="515">
        <v>0.6980207562446594</v>
      </c>
      <c r="HX19" t="n" s="515">
        <v>1.370801329612732</v>
      </c>
      <c r="HY19" t="n" s="515">
        <v>2.1024653911590576</v>
      </c>
      <c r="HZ19" t="n" s="515">
        <v>2.675614595413208</v>
      </c>
      <c r="IA19" t="n" s="515">
        <v>2.881885528564453</v>
      </c>
      <c r="IB19" t="n" s="515">
        <v>2.6561474800109863</v>
      </c>
      <c r="IC19" t="n" s="515">
        <v>2.3228743076324463</v>
      </c>
    </row>
    <row r="20">
      <c r="A20" s="514">
        <f>A19+ABS(B20-B19)</f>
      </c>
      <c r="B20" s="514">
        <f>420.0/12</f>
      </c>
      <c r="C20" t="n" s="514">
        <v>420.0</v>
      </c>
      <c r="D20" t="n" s="515">
        <v>1.3148398399353027</v>
      </c>
      <c r="E20" t="n" s="515">
        <v>1.0798805952072144</v>
      </c>
      <c r="F20" t="n" s="515">
        <v>0.9120292067527771</v>
      </c>
      <c r="G20" t="n" s="515">
        <v>0.7839037179946899</v>
      </c>
      <c r="H20" t="n" s="515">
        <v>0.6451385617256165</v>
      </c>
      <c r="I20" t="n" s="515">
        <v>0.6351943612098694</v>
      </c>
      <c r="J20" t="n" s="515">
        <v>0.6893614530563354</v>
      </c>
      <c r="K20" t="n" s="515">
        <v>0.7526967525482178</v>
      </c>
      <c r="L20" t="n" s="515">
        <v>0.7491773962974548</v>
      </c>
      <c r="M20" t="n" s="515">
        <v>0.6681441068649292</v>
      </c>
      <c r="N20" t="n" s="515">
        <v>0.42567095160484314</v>
      </c>
      <c r="O20" t="n" s="515">
        <v>-0.048168014734983444</v>
      </c>
      <c r="P20" t="n" s="515">
        <v>-0.5741915106773376</v>
      </c>
      <c r="Q20" t="n" s="515">
        <v>-1.0491259098052979</v>
      </c>
      <c r="R20" t="n" s="515">
        <v>-1.1490647792816162</v>
      </c>
      <c r="S20" t="n" s="515">
        <v>-0.8393483757972717</v>
      </c>
      <c r="T20" t="n" s="515">
        <v>-0.3767501711845398</v>
      </c>
      <c r="U20" t="n" s="515">
        <v>-0.1397216022014618</v>
      </c>
      <c r="V20" t="n" s="515">
        <v>-0.11794472485780716</v>
      </c>
      <c r="W20" t="n" s="515">
        <v>-0.29966896772384644</v>
      </c>
      <c r="X20" t="n" s="515">
        <v>-0.6501368284225464</v>
      </c>
      <c r="Y20" t="n" s="515">
        <v>-1.1597189903259277</v>
      </c>
      <c r="Z20" t="n" s="515">
        <v>-1.7099666595458984</v>
      </c>
      <c r="AA20" t="n" s="515">
        <v>-2.2452783584594727</v>
      </c>
      <c r="AB20" t="n" s="515">
        <v>-2.5577445030212402</v>
      </c>
      <c r="AC20" t="n" s="515">
        <v>-2.732055425643921</v>
      </c>
      <c r="AD20" t="n" s="515">
        <v>-2.670034885406494</v>
      </c>
      <c r="AE20" t="n" s="515">
        <v>-2.419893741607666</v>
      </c>
      <c r="AF20" t="n" s="515">
        <v>-2.142909049987793</v>
      </c>
      <c r="AG20" t="n" s="515">
        <v>-1.8091508150100708</v>
      </c>
      <c r="AH20" t="n" s="515">
        <v>-1.5580726861953735</v>
      </c>
      <c r="AI20" t="n" s="515">
        <v>-1.1274340152740479</v>
      </c>
      <c r="AJ20" t="n" s="515">
        <v>-0.4765593409538269</v>
      </c>
      <c r="AK20" t="n" s="515">
        <v>0.4739079177379608</v>
      </c>
      <c r="AL20" t="n" s="515">
        <v>0.32727470993995667</v>
      </c>
      <c r="AM20" t="n" s="515">
        <v>1.9112496376037598</v>
      </c>
      <c r="AN20" t="n" s="515">
        <v>2.2073473930358887</v>
      </c>
      <c r="AO20" t="n" s="515">
        <v>2.176643133163452</v>
      </c>
      <c r="AP20" t="n" s="515">
        <v>1.9520982503890991</v>
      </c>
      <c r="AQ20" t="n" s="515">
        <v>1.5646344423294067</v>
      </c>
      <c r="AR20" t="n" s="515">
        <v>1.1334168910980225</v>
      </c>
      <c r="AS20" t="n" s="515">
        <v>0.7779940366744995</v>
      </c>
      <c r="AT20" t="n" s="515">
        <v>0.5991109013557434</v>
      </c>
      <c r="AU20" t="n" s="515">
        <v>0.5697187781333923</v>
      </c>
      <c r="AV20" t="n" s="515">
        <v>0.6306208372116089</v>
      </c>
      <c r="AW20" t="n" s="515">
        <v>0.742824912071228</v>
      </c>
      <c r="AX20" t="n" s="515">
        <v>0.960803747177124</v>
      </c>
      <c r="AY20" t="n" s="515">
        <v>1.2211235761642456</v>
      </c>
      <c r="AZ20" t="n" s="515">
        <v>1.4708514213562012</v>
      </c>
      <c r="BA20" t="n" s="515">
        <v>1.6734203100204468</v>
      </c>
      <c r="BB20" t="n" s="515">
        <v>1.8346498012542725</v>
      </c>
      <c r="BC20" t="n" s="515">
        <v>2.022230625152588</v>
      </c>
      <c r="BD20" t="n" s="515">
        <v>2.4524741172790527</v>
      </c>
      <c r="BE20" t="n" s="515">
        <v>2.8389108180999756</v>
      </c>
      <c r="BF20" t="n" s="515">
        <v>2.8909800052642822</v>
      </c>
      <c r="BG20" t="n" s="515">
        <v>2.7109122276306152</v>
      </c>
      <c r="BH20" t="n" s="515">
        <v>2.3076744079589844</v>
      </c>
      <c r="BI20" t="n" s="515">
        <v>1.8572648763656616</v>
      </c>
      <c r="BJ20" t="n" s="515">
        <v>1.324422836303711</v>
      </c>
      <c r="BK20" t="n" s="515">
        <v>0.8668960928916931</v>
      </c>
      <c r="BL20" t="n" s="515">
        <v>0.5892660021781921</v>
      </c>
      <c r="BM20" t="n" s="515">
        <v>0.5282479524612427</v>
      </c>
      <c r="BN20" t="n" s="515">
        <v>0.6821877956390381</v>
      </c>
      <c r="BO20" t="n" s="515">
        <v>0.8951480984687805</v>
      </c>
      <c r="BP20" t="n" s="515">
        <v>1.1033036708831787</v>
      </c>
      <c r="BQ20" t="n" s="515">
        <v>1.0647426843643188</v>
      </c>
      <c r="BR20" t="n" s="515">
        <v>0.8565306663513184</v>
      </c>
      <c r="BS20" t="n" s="515">
        <v>0.5983465909957886</v>
      </c>
      <c r="BT20" t="n" s="515">
        <v>0.45192646980285645</v>
      </c>
      <c r="BU20" t="n" s="515">
        <v>0.5685132741928101</v>
      </c>
      <c r="BV20" t="n" s="515">
        <v>0.7708570957183838</v>
      </c>
      <c r="BW20" t="n" s="515">
        <v>0.687517523765564</v>
      </c>
      <c r="BX20" t="n" s="515">
        <v>0.16590526700019836</v>
      </c>
      <c r="BY20" t="n" s="515">
        <v>0.11497443169355392</v>
      </c>
      <c r="BZ20" t="n" s="515">
        <v>-0.4062221348285675</v>
      </c>
      <c r="CA20" t="n" s="515">
        <v>-0.933159351348877</v>
      </c>
      <c r="CB20" t="n" s="515">
        <v>-1.3252054452896118</v>
      </c>
      <c r="CC20" t="n" s="515">
        <v>-1.3000164031982422</v>
      </c>
      <c r="CD20" t="n" s="515">
        <v>-1.0617249011993408</v>
      </c>
      <c r="CE20" t="n" s="515">
        <v>-0.6774255037307739</v>
      </c>
      <c r="CF20" t="n" s="515">
        <v>-0.30050474405288696</v>
      </c>
      <c r="CG20" t="n" s="515">
        <v>-0.036795809864997864</v>
      </c>
      <c r="CH20" t="n" s="515">
        <v>0.028804780915379524</v>
      </c>
      <c r="CI20" t="n" s="515">
        <v>-0.08405409008264542</v>
      </c>
      <c r="CJ20" t="n" s="515">
        <v>0.047809045761823654</v>
      </c>
      <c r="CK20" t="n" s="515">
        <v>0.503020167350769</v>
      </c>
      <c r="CL20" t="n" s="515">
        <v>1.1444602012634277</v>
      </c>
      <c r="CM20" t="n" s="515">
        <v>1.7419308423995972</v>
      </c>
      <c r="CN20" t="n" s="515">
        <v>2.164715051651001</v>
      </c>
      <c r="CO20" t="n" s="515">
        <v>2.1841917037963867</v>
      </c>
      <c r="CP20" t="n" s="515">
        <v>1.9554344415664673</v>
      </c>
      <c r="CQ20" t="n" s="515">
        <v>1.6322740316390991</v>
      </c>
      <c r="CR20" t="n" s="515">
        <v>1.2000864744186401</v>
      </c>
      <c r="CS20" t="n" s="515">
        <v>0.14227594435214996</v>
      </c>
      <c r="CT20" t="n" s="515">
        <v>0.1961929202079773</v>
      </c>
      <c r="CU20" t="n" s="515">
        <v>-0.1758882999420166</v>
      </c>
      <c r="CV20" t="n" s="515">
        <v>-0.23859903216362</v>
      </c>
      <c r="CW20" t="n" s="515">
        <v>0.002679109340533614</v>
      </c>
      <c r="CX20" t="n" s="515">
        <v>0.4387286901473999</v>
      </c>
      <c r="CY20" t="n" s="515">
        <v>0.8936957120895386</v>
      </c>
      <c r="CZ20" t="n" s="515">
        <v>1.2396737337112427</v>
      </c>
      <c r="DA20" t="n" s="515">
        <v>1.4098759889602661</v>
      </c>
      <c r="DB20" t="n" s="515">
        <v>1.3186310529708862</v>
      </c>
      <c r="DC20" t="n" s="515">
        <v>1.030159831047058</v>
      </c>
      <c r="DD20" t="n" s="515">
        <v>0.8346790075302124</v>
      </c>
      <c r="DE20" t="n" s="515">
        <v>1.066443920135498</v>
      </c>
      <c r="DF20" t="n" s="515">
        <v>1.8017985820770264</v>
      </c>
      <c r="DG20" t="n" s="515">
        <v>2.4183640480041504</v>
      </c>
      <c r="DH20" t="n" s="515">
        <v>2.745380163192749</v>
      </c>
      <c r="DI20" t="n" s="515">
        <v>2.02166485786438</v>
      </c>
      <c r="DJ20" t="n" s="515">
        <v>-0.832629919052124</v>
      </c>
      <c r="DK20" t="n" s="515">
        <v>1.9139553308486938</v>
      </c>
      <c r="DL20" t="n" s="515">
        <v>1.4223253726959229</v>
      </c>
      <c r="DM20" t="n" s="515">
        <v>0.9380607008934021</v>
      </c>
      <c r="DN20" t="n" s="515">
        <v>0.6613714694976807</v>
      </c>
      <c r="DO20" t="n" s="515">
        <v>0.5739473104476929</v>
      </c>
      <c r="DP20" t="n" s="515">
        <v>0.4375855326652527</v>
      </c>
      <c r="DQ20" t="n" s="515">
        <v>0.2425234615802765</v>
      </c>
      <c r="DR20" t="n" s="515">
        <v>-0.08138178288936615</v>
      </c>
      <c r="DS20" t="n" s="515">
        <v>-0.4130874276161194</v>
      </c>
      <c r="DT20" t="n" s="515">
        <v>-0.7153002023696899</v>
      </c>
      <c r="DU20" t="n" s="515">
        <v>-0.9736267328262329</v>
      </c>
      <c r="DV20" t="n" s="515">
        <v>-0.9494852423667908</v>
      </c>
      <c r="DW20" t="n" s="515">
        <v>-0.6891329884529114</v>
      </c>
      <c r="DX20" t="n" s="515">
        <v>-0.201963409781456</v>
      </c>
      <c r="DY20" t="n" s="515">
        <v>0.40788131952285767</v>
      </c>
      <c r="DZ20" t="n" s="515">
        <v>0.6725406050682068</v>
      </c>
      <c r="EA20" t="n" s="515">
        <v>0.7450695633888245</v>
      </c>
      <c r="EB20" t="n" s="515">
        <v>0.6086980700492859</v>
      </c>
      <c r="EC20" t="n" s="515">
        <v>-0.595657467842102</v>
      </c>
      <c r="ED20" t="n" s="515">
        <v>0.14071623980998993</v>
      </c>
      <c r="EE20" t="n" s="515">
        <v>-0.10446525365114212</v>
      </c>
      <c r="EF20" t="n" s="515">
        <v>-0.20478907227516174</v>
      </c>
      <c r="EG20" t="n" s="515">
        <v>-0.25593316555023193</v>
      </c>
      <c r="EH20" t="n" s="515">
        <v>-0.19795289635658264</v>
      </c>
      <c r="EI20" t="n" s="515">
        <v>-0.028024030849337578</v>
      </c>
      <c r="EJ20" t="n" s="515">
        <v>0.153801828622818</v>
      </c>
      <c r="EK20" t="n" s="515">
        <v>0.2516801953315735</v>
      </c>
      <c r="EL20" t="n" s="515">
        <v>0.14561520516872406</v>
      </c>
      <c r="EM20" t="n" s="515">
        <v>0.005506546702235937</v>
      </c>
      <c r="EN20" t="n" s="515">
        <v>-0.15958374738693237</v>
      </c>
      <c r="EO20" t="n" s="515">
        <v>-0.31052541732788086</v>
      </c>
      <c r="EP20" t="n" s="515">
        <v>-0.33695662021636963</v>
      </c>
      <c r="EQ20" t="n" s="515">
        <v>-0.2800042927265167</v>
      </c>
      <c r="ER20" t="n" s="515">
        <v>-0.336182177066803</v>
      </c>
      <c r="ES20" t="n" s="515">
        <v>-0.42912614345550537</v>
      </c>
      <c r="ET20" t="n" s="515">
        <v>-0.5944688320159912</v>
      </c>
      <c r="EU20" t="n" s="515">
        <v>-0.834747850894928</v>
      </c>
      <c r="EV20" t="n" s="515">
        <v>-0.9886215925216675</v>
      </c>
      <c r="EW20" t="n" s="515">
        <v>-0.860313355922699</v>
      </c>
      <c r="EX20" t="n" s="515">
        <v>-0.3901354968547821</v>
      </c>
      <c r="EY20" t="n" s="515">
        <v>0.16932494938373566</v>
      </c>
      <c r="EZ20" t="n" s="515">
        <v>0.5733540058135986</v>
      </c>
      <c r="FA20" t="n" s="515">
        <v>1.187869906425476</v>
      </c>
      <c r="FB20" t="n" s="515">
        <v>1.4733096361160278</v>
      </c>
      <c r="FC20" t="n" s="515">
        <v>1.5765008926391602</v>
      </c>
      <c r="FD20" t="n" s="515">
        <v>1.4628756046295166</v>
      </c>
      <c r="FE20" t="n" s="515">
        <v>1.2666101455688477</v>
      </c>
      <c r="FF20" t="n" s="515">
        <v>1.0787650346755981</v>
      </c>
      <c r="FG20" t="n" s="515">
        <v>1.052689790725708</v>
      </c>
      <c r="FH20" t="n" s="515">
        <v>1.355181336402893</v>
      </c>
      <c r="FI20" t="n" s="515">
        <v>1.8064136505126953</v>
      </c>
      <c r="FJ20" t="n" s="515">
        <v>2.1278140544891357</v>
      </c>
      <c r="FK20" t="n" s="515">
        <v>2.310117244720459</v>
      </c>
      <c r="FL20" t="n" s="515">
        <v>2.2548089027404785</v>
      </c>
      <c r="FM20" t="n" s="515">
        <v>2.0479557514190674</v>
      </c>
      <c r="FN20" t="n" s="515">
        <v>1.6985325813293457</v>
      </c>
      <c r="FO20" t="n" s="515">
        <v>1.3920942544937134</v>
      </c>
      <c r="FP20" t="n" s="515">
        <v>1.1903172731399536</v>
      </c>
      <c r="FQ20" t="n" s="515">
        <v>1.0646371841430664</v>
      </c>
      <c r="FR20" t="n" s="515">
        <v>0.8502379655838013</v>
      </c>
      <c r="FS20" t="n" s="515">
        <v>0.4943823218345642</v>
      </c>
      <c r="FT20" t="n" s="515">
        <v>0.10612786561250687</v>
      </c>
      <c r="FU20" t="n" s="515">
        <v>-0.36222606897354126</v>
      </c>
      <c r="FV20" t="n" s="515">
        <v>-0.7778739333152771</v>
      </c>
      <c r="FW20" t="n" s="515">
        <v>-1.1119638681411743</v>
      </c>
      <c r="FX20" t="n" s="515">
        <v>-1.2015281915664673</v>
      </c>
      <c r="FY20" t="n" s="515">
        <v>-1.0765565633773804</v>
      </c>
      <c r="FZ20" t="n" s="515">
        <v>-0.6850870251655579</v>
      </c>
      <c r="GA20" t="n" s="515">
        <v>-0.1552598476409912</v>
      </c>
      <c r="GB20" t="n" s="515">
        <v>0.1568256914615631</v>
      </c>
      <c r="GC20" t="n" s="515">
        <v>0.3823803663253784</v>
      </c>
      <c r="GD20" t="n" s="515">
        <v>0.46509772539138794</v>
      </c>
      <c r="GE20" t="n" s="515">
        <v>0.340475857257843</v>
      </c>
      <c r="GF20" t="n" s="515">
        <v>0.033026617020368576</v>
      </c>
      <c r="GG20" t="n" s="515">
        <v>-0.3454032838344574</v>
      </c>
      <c r="GH20" t="n" s="515">
        <v>-0.5081956386566162</v>
      </c>
      <c r="GI20" t="n" s="515">
        <v>-0.5075944066047668</v>
      </c>
      <c r="GJ20" t="n" s="515">
        <v>-0.3608173727989197</v>
      </c>
      <c r="GK20" t="n" s="515">
        <v>-0.10969317704439163</v>
      </c>
      <c r="GL20" t="n" s="515">
        <v>0.18085774779319763</v>
      </c>
      <c r="GM20" t="n" s="515">
        <v>0.4541013240814209</v>
      </c>
      <c r="GN20" t="n" s="515">
        <v>0.6485720276832581</v>
      </c>
      <c r="GO20" t="n" s="515">
        <v>0.6956192255020142</v>
      </c>
      <c r="GP20" t="n" s="515">
        <v>0.45123445987701416</v>
      </c>
      <c r="GQ20" t="n" s="515">
        <v>0.149184450507164</v>
      </c>
      <c r="GR20" t="n" s="515">
        <v>0.028252558782696724</v>
      </c>
      <c r="GS20" t="n" s="515">
        <v>0.18041887879371643</v>
      </c>
      <c r="GT20" t="n" s="515">
        <v>0.4631340801715851</v>
      </c>
      <c r="GU20" t="n" s="515">
        <v>0.7230920195579529</v>
      </c>
      <c r="GV20" t="n" s="515">
        <v>0.8354259133338928</v>
      </c>
      <c r="GW20" t="n" s="515">
        <v>0.7381148934364319</v>
      </c>
      <c r="GX20" t="n" s="515">
        <v>0.2987070679664612</v>
      </c>
      <c r="GY20" t="n" s="515">
        <v>-0.3382152318954468</v>
      </c>
      <c r="GZ20" t="n" s="515">
        <v>-0.975216269493103</v>
      </c>
      <c r="HA20" t="n" s="515">
        <v>-1.4781872034072876</v>
      </c>
      <c r="HB20" t="n" s="515">
        <v>-1.7265524864196777</v>
      </c>
      <c r="HC20" t="n" s="515">
        <v>-1.676182508468628</v>
      </c>
      <c r="HD20" t="n" s="515">
        <v>-1.4042444229125977</v>
      </c>
      <c r="HE20" t="n" s="515">
        <v>-1.175371766090393</v>
      </c>
      <c r="HF20" t="n" s="515">
        <v>-1.305326223373413</v>
      </c>
      <c r="HG20" t="n" s="515">
        <v>-0.6401503086090088</v>
      </c>
      <c r="HH20" t="n" s="515">
        <v>-0.6081055402755737</v>
      </c>
      <c r="HI20" t="n" s="515">
        <v>-0.5675325393676758</v>
      </c>
      <c r="HJ20" t="n" s="515">
        <v>-0.1349697858095169</v>
      </c>
      <c r="HK20" t="n" s="515">
        <v>0.4891330599784851</v>
      </c>
      <c r="HL20" t="n" s="515">
        <v>0.9840912818908691</v>
      </c>
      <c r="HM20" t="n" s="515">
        <v>1.4278984069824219</v>
      </c>
      <c r="HN20" t="n" s="515">
        <v>1.6571967601776123</v>
      </c>
      <c r="HO20" t="n" s="515">
        <v>1.6495667695999146</v>
      </c>
      <c r="HP20" t="n" s="515">
        <v>1.4357478618621826</v>
      </c>
      <c r="HQ20" t="n" s="515">
        <v>1.01308274269104</v>
      </c>
      <c r="HR20" t="n" s="515">
        <v>0.6386284232139587</v>
      </c>
      <c r="HS20" t="n" s="515">
        <v>0.41081586480140686</v>
      </c>
      <c r="HT20" t="n" s="515">
        <v>0.3650892972946167</v>
      </c>
      <c r="HU20" t="n" s="515">
        <v>0.4191027283668518</v>
      </c>
      <c r="HV20" t="n" s="515">
        <v>0.5627668499946594</v>
      </c>
      <c r="HW20" t="n" s="515">
        <v>0.8290054798126221</v>
      </c>
      <c r="HX20" t="n" s="515">
        <v>1.2845275402069092</v>
      </c>
      <c r="HY20" t="n" s="515">
        <v>1.8717265129089355</v>
      </c>
      <c r="HZ20" t="n" s="515">
        <v>2.3817107677459717</v>
      </c>
      <c r="IA20" t="n" s="515">
        <v>2.586423397064209</v>
      </c>
      <c r="IB20" t="n" s="515">
        <v>2.465308666229248</v>
      </c>
      <c r="IC20" t="n" s="515">
        <v>2.287233591079712</v>
      </c>
    </row>
    <row r="21">
      <c r="A21" s="514">
        <f>A20+ABS(B21-B20)</f>
      </c>
      <c r="B21" s="514">
        <f>444.0/12</f>
      </c>
      <c r="C21" t="n" s="514">
        <v>444.0</v>
      </c>
      <c r="D21" t="n" s="515">
        <v>1.5684154033660889</v>
      </c>
      <c r="E21" t="n" s="515">
        <v>1.3632985353469849</v>
      </c>
      <c r="F21" t="n" s="515">
        <v>1.1051301956176758</v>
      </c>
      <c r="G21" t="n" s="515">
        <v>0.8913262486457825</v>
      </c>
      <c r="H21" t="n" s="515">
        <v>0.7159225344657898</v>
      </c>
      <c r="I21" t="n" s="515">
        <v>0.7036359310150146</v>
      </c>
      <c r="J21" t="n" s="515">
        <v>0.8787814974784851</v>
      </c>
      <c r="K21" t="n" s="515">
        <v>1.1498422622680664</v>
      </c>
      <c r="L21" t="n" s="515">
        <v>1.3840371370315552</v>
      </c>
      <c r="M21" t="n" s="515">
        <v>1.327852725982666</v>
      </c>
      <c r="N21" t="n" s="515">
        <v>0.9445357322692871</v>
      </c>
      <c r="O21" t="n" s="515">
        <v>0.24136431515216827</v>
      </c>
      <c r="P21" t="n" s="515">
        <v>-0.4809127151966095</v>
      </c>
      <c r="Q21" t="n" s="515">
        <v>-1.079318642616272</v>
      </c>
      <c r="R21" t="n" s="515">
        <v>-1.2496556043624878</v>
      </c>
      <c r="S21" t="n" s="515">
        <v>-0.8894023299217224</v>
      </c>
      <c r="T21" t="n" s="515">
        <v>-0.09130112826824188</v>
      </c>
      <c r="U21" t="n" s="515">
        <v>0.4000293016433716</v>
      </c>
      <c r="V21" t="n" s="515">
        <v>0.4805148243904114</v>
      </c>
      <c r="W21" t="n" s="515">
        <v>0.22080378234386444</v>
      </c>
      <c r="X21" t="n" s="515">
        <v>-0.28656715154647827</v>
      </c>
      <c r="Y21" t="n" s="515">
        <v>-0.9437997341156006</v>
      </c>
      <c r="Z21" t="n" s="515">
        <v>-1.5623699426651</v>
      </c>
      <c r="AA21" t="n" s="515">
        <v>-2.033234119415283</v>
      </c>
      <c r="AB21" t="n" s="515">
        <v>-2.2852630615234375</v>
      </c>
      <c r="AC21" t="n" s="515">
        <v>-2.4620821475982666</v>
      </c>
      <c r="AD21" t="n" s="515">
        <v>-2.4311468601226807</v>
      </c>
      <c r="AE21" t="n" s="515">
        <v>-2.258354425430298</v>
      </c>
      <c r="AF21" t="n" s="515">
        <v>-2.0802359580993652</v>
      </c>
      <c r="AG21" t="n" s="515">
        <v>-1.8717085123062134</v>
      </c>
      <c r="AH21" t="n" s="515">
        <v>-1.7656025886535645</v>
      </c>
      <c r="AI21" t="n" s="515">
        <v>-1.312555193901062</v>
      </c>
      <c r="AJ21" t="n" s="515">
        <v>-0.4111737012863159</v>
      </c>
      <c r="AK21" t="n" s="515">
        <v>0.7948232293128967</v>
      </c>
      <c r="AL21" t="n" s="515">
        <v>1.4953588247299194</v>
      </c>
      <c r="AM21" t="n" s="515">
        <v>2.913424491882324</v>
      </c>
      <c r="AN21" t="n" s="515">
        <v>3.2209267616271973</v>
      </c>
      <c r="AO21" t="n" s="515">
        <v>3.032583713531494</v>
      </c>
      <c r="AP21" t="n" s="515">
        <v>2.60258412361145</v>
      </c>
      <c r="AQ21" t="n" s="515">
        <v>2.050351858139038</v>
      </c>
      <c r="AR21" t="n" s="515">
        <v>1.4771186113357544</v>
      </c>
      <c r="AS21" t="n" s="515">
        <v>1.0342965126037598</v>
      </c>
      <c r="AT21" t="n" s="515">
        <v>0.8185962438583374</v>
      </c>
      <c r="AU21" t="n" s="515">
        <v>0.783464252948761</v>
      </c>
      <c r="AV21" t="n" s="515">
        <v>0.7940320372581482</v>
      </c>
      <c r="AW21" t="n" s="515">
        <v>0.8760455846786499</v>
      </c>
      <c r="AX21" t="n" s="515">
        <v>1.0499612092971802</v>
      </c>
      <c r="AY21" t="n" s="515">
        <v>1.2245001792907715</v>
      </c>
      <c r="AZ21" t="n" s="515">
        <v>1.3888444900512695</v>
      </c>
      <c r="BA21" t="n" s="515">
        <v>1.555679440498352</v>
      </c>
      <c r="BB21" t="n" s="515">
        <v>1.6667218208312988</v>
      </c>
      <c r="BC21" t="n" s="515">
        <v>1.8599570989608765</v>
      </c>
      <c r="BD21" t="n" s="515">
        <v>2.5364737510681152</v>
      </c>
      <c r="BE21" t="n" s="515">
        <v>3.243790864944458</v>
      </c>
      <c r="BF21" t="n" s="515">
        <v>3.5430328845977783</v>
      </c>
      <c r="BG21" t="n" s="515">
        <v>3.405670404434204</v>
      </c>
      <c r="BH21" t="n" s="515">
        <v>2.9782845973968506</v>
      </c>
      <c r="BI21" t="n" s="515">
        <v>2.4294955730438232</v>
      </c>
      <c r="BJ21" t="n" s="515">
        <v>1.671627163887024</v>
      </c>
      <c r="BK21" t="n" s="515">
        <v>1.0335770845413208</v>
      </c>
      <c r="BL21" t="n" s="515">
        <v>0.6839458346366882</v>
      </c>
      <c r="BM21" t="n" s="515">
        <v>0.640826404094696</v>
      </c>
      <c r="BN21" t="n" s="515">
        <v>0.7975505590438843</v>
      </c>
      <c r="BO21" t="n" s="515">
        <v>0.9685322046279907</v>
      </c>
      <c r="BP21" t="n" s="515">
        <v>1.0870168209075928</v>
      </c>
      <c r="BQ21" t="n" s="515">
        <v>1.0035332441329956</v>
      </c>
      <c r="BR21" t="n" s="515">
        <v>0.7123992443084717</v>
      </c>
      <c r="BS21" t="n" s="515">
        <v>0.4349084198474884</v>
      </c>
      <c r="BT21" t="n" s="515">
        <v>0.3659195899963379</v>
      </c>
      <c r="BU21" t="n" s="515">
        <v>0.6420376300811768</v>
      </c>
      <c r="BV21" t="n" s="515">
        <v>1.2505325078964233</v>
      </c>
      <c r="BW21" t="n" s="515">
        <v>1.6092180013656616</v>
      </c>
      <c r="BX21" t="n" s="515">
        <v>1.1684741973876953</v>
      </c>
      <c r="BY21" t="n" s="515">
        <v>1.1164659261703491</v>
      </c>
      <c r="BZ21" t="n" s="515">
        <v>0.4063221216201782</v>
      </c>
      <c r="CA21" t="n" s="515">
        <v>-0.3512379229068756</v>
      </c>
      <c r="CB21" t="n" s="515">
        <v>-0.9125475883483887</v>
      </c>
      <c r="CC21" t="n" s="515">
        <v>-0.8565197587013245</v>
      </c>
      <c r="CD21" t="n" s="515">
        <v>-0.5863238573074341</v>
      </c>
      <c r="CE21" t="n" s="515">
        <v>-0.10739965736865997</v>
      </c>
      <c r="CF21" t="n" s="515">
        <v>0.22210951149463654</v>
      </c>
      <c r="CG21" t="n" s="515">
        <v>0.21211764216423035</v>
      </c>
      <c r="CH21" t="n" s="515">
        <v>-0.0888286605477333</v>
      </c>
      <c r="CI21" t="n" s="515">
        <v>-0.4401054382324219</v>
      </c>
      <c r="CJ21" t="n" s="515">
        <v>-0.41898390650749207</v>
      </c>
      <c r="CK21" t="n" s="515">
        <v>0.21876123547554016</v>
      </c>
      <c r="CL21" t="n" s="515">
        <v>1.1217339038848877</v>
      </c>
      <c r="CM21" t="n" s="515">
        <v>1.8239611387252808</v>
      </c>
      <c r="CN21" t="n" s="515">
        <v>2.5636818408966064</v>
      </c>
      <c r="CO21" t="n" s="515">
        <v>2.855478525161743</v>
      </c>
      <c r="CP21" t="n" s="515">
        <v>2.6668217182159424</v>
      </c>
      <c r="CQ21" t="n" s="515">
        <v>2.197620153427124</v>
      </c>
      <c r="CR21" t="n" s="515">
        <v>1.4316943883895874</v>
      </c>
      <c r="CS21" t="n" s="515">
        <v>0.11086951941251755</v>
      </c>
      <c r="CT21" t="n" s="515">
        <v>0.2952386438846588</v>
      </c>
      <c r="CU21" t="n" s="515">
        <v>-0.16620971262454987</v>
      </c>
      <c r="CV21" t="n" s="515">
        <v>-0.18631771206855774</v>
      </c>
      <c r="CW21" t="n" s="515">
        <v>0.06063644960522652</v>
      </c>
      <c r="CX21" t="n" s="515">
        <v>0.5438811779022217</v>
      </c>
      <c r="CY21" t="n" s="515">
        <v>1.0806605815887451</v>
      </c>
      <c r="CZ21" t="n" s="515">
        <v>1.4527747631072998</v>
      </c>
      <c r="DA21" t="n" s="515">
        <v>1.471651554107666</v>
      </c>
      <c r="DB21" t="n" s="515">
        <v>1.1897081136703491</v>
      </c>
      <c r="DC21" t="n" s="515">
        <v>0.711916983127594</v>
      </c>
      <c r="DD21" t="n" s="515">
        <v>0.32267919182777405</v>
      </c>
      <c r="DE21" t="n" s="515">
        <v>0.420678973197937</v>
      </c>
      <c r="DF21" t="n" s="515">
        <v>1.3906888961791992</v>
      </c>
      <c r="DG21" t="n" s="515">
        <v>2.5179708003997803</v>
      </c>
      <c r="DH21" t="n" s="515">
        <v>2.4187231063842773</v>
      </c>
      <c r="DI21" t="n" s="515">
        <v>-0.21611179411411285</v>
      </c>
      <c r="DJ21" t="n" s="515">
        <v>2.7689707279205322</v>
      </c>
      <c r="DK21" t="n" s="515">
        <v>2.3181493282318115</v>
      </c>
      <c r="DL21" t="n" s="515">
        <v>1.6121790409088135</v>
      </c>
      <c r="DM21" t="n" s="515">
        <v>0.9382226467132568</v>
      </c>
      <c r="DN21" t="n" s="515">
        <v>0.7286834716796875</v>
      </c>
      <c r="DO21" t="n" s="515">
        <v>0.7493031024932861</v>
      </c>
      <c r="DP21" t="n" s="515">
        <v>0.7815092206001282</v>
      </c>
      <c r="DQ21" t="n" s="515">
        <v>0.6373132467269897</v>
      </c>
      <c r="DR21" t="n" s="515">
        <v>0.11738075315952301</v>
      </c>
      <c r="DS21" t="n" s="515">
        <v>-0.46665218472480774</v>
      </c>
      <c r="DT21" t="n" s="515">
        <v>-0.98720383644104</v>
      </c>
      <c r="DU21" t="n" s="515">
        <v>-1.4098923206329346</v>
      </c>
      <c r="DV21" t="n" s="515">
        <v>-1.4584709405899048</v>
      </c>
      <c r="DW21" t="n" s="515">
        <v>-1.207336187362671</v>
      </c>
      <c r="DX21" t="n" s="515">
        <v>-0.5738523006439209</v>
      </c>
      <c r="DY21" t="n" s="515">
        <v>0.4887586534023285</v>
      </c>
      <c r="DZ21" t="n" s="515">
        <v>1.0576863288879395</v>
      </c>
      <c r="EA21" t="n" s="515">
        <v>1.1888213157653809</v>
      </c>
      <c r="EB21" t="n" s="515">
        <v>0.9407342672348022</v>
      </c>
      <c r="EC21" t="n" s="515">
        <v>-0.30459433794021606</v>
      </c>
      <c r="ED21" t="n" s="515">
        <v>0.2908516824245453</v>
      </c>
      <c r="EE21" t="n" s="515">
        <v>0.03982777148485184</v>
      </c>
      <c r="EF21" t="n" s="515">
        <v>-0.04511858895421028</v>
      </c>
      <c r="EG21" t="n" s="515">
        <v>-0.1059052050113678</v>
      </c>
      <c r="EH21" t="n" s="515">
        <v>-0.12467961758375168</v>
      </c>
      <c r="EI21" t="n" s="515">
        <v>-0.015342511236667633</v>
      </c>
      <c r="EJ21" t="n" s="515">
        <v>0.0890161395072937</v>
      </c>
      <c r="EK21" t="n" s="515">
        <v>0.126592218875885</v>
      </c>
      <c r="EL21" t="n" s="515">
        <v>-0.006180459633469582</v>
      </c>
      <c r="EM21" t="n" s="515">
        <v>-0.20419897139072418</v>
      </c>
      <c r="EN21" t="n" s="515">
        <v>-0.3872621953487396</v>
      </c>
      <c r="EO21" t="n" s="515">
        <v>-0.5726912021636963</v>
      </c>
      <c r="EP21" t="n" s="515">
        <v>-0.6494892835617065</v>
      </c>
      <c r="EQ21" t="n" s="515">
        <v>-0.25096356868743896</v>
      </c>
      <c r="ER21" t="n" s="515">
        <v>0.020043974742293358</v>
      </c>
      <c r="ES21" t="n" s="515">
        <v>-0.011977188289165497</v>
      </c>
      <c r="ET21" t="n" s="515">
        <v>-0.3648531138896942</v>
      </c>
      <c r="EU21" t="n" s="515">
        <v>-0.7084587216377258</v>
      </c>
      <c r="EV21" t="n" s="515">
        <v>-0.9475399255752563</v>
      </c>
      <c r="EW21" t="n" s="515">
        <v>-0.7609274387359619</v>
      </c>
      <c r="EX21" t="n" s="515">
        <v>-0.19767817854881287</v>
      </c>
      <c r="EY21" t="n" s="515">
        <v>0.520122766494751</v>
      </c>
      <c r="EZ21" t="n" s="515">
        <v>1.082495927810669</v>
      </c>
      <c r="FA21" t="n" s="515">
        <v>1.7576977014541626</v>
      </c>
      <c r="FB21" t="n" s="515">
        <v>1.8990455865859985</v>
      </c>
      <c r="FC21" t="n" s="515">
        <v>1.8387384414672852</v>
      </c>
      <c r="FD21" t="n" s="515">
        <v>1.56317138671875</v>
      </c>
      <c r="FE21" t="n" s="515">
        <v>1.231948971748352</v>
      </c>
      <c r="FF21" t="n" s="515">
        <v>0.9567776322364807</v>
      </c>
      <c r="FG21" t="n" s="515">
        <v>0.9257166385650635</v>
      </c>
      <c r="FH21" t="n" s="515">
        <v>1.3754520416259766</v>
      </c>
      <c r="FI21" t="n" s="515">
        <v>2.296095371246338</v>
      </c>
      <c r="FJ21" t="n" s="515">
        <v>2.850663423538208</v>
      </c>
      <c r="FK21" t="n" s="515">
        <v>3.0581841468811035</v>
      </c>
      <c r="FL21" t="n" s="515">
        <v>2.8629982471466064</v>
      </c>
      <c r="FM21" t="n" s="515">
        <v>2.4304211139678955</v>
      </c>
      <c r="FN21" t="n" s="515">
        <v>1.9567601680755615</v>
      </c>
      <c r="FO21" t="n" s="515">
        <v>1.5179444551467896</v>
      </c>
      <c r="FP21" t="n" s="515">
        <v>1.3081032037734985</v>
      </c>
      <c r="FQ21" t="n" s="515">
        <v>1.2281253337860107</v>
      </c>
      <c r="FR21" t="n" s="515">
        <v>1.09748113155365</v>
      </c>
      <c r="FS21" t="n" s="515">
        <v>0.7903032898902893</v>
      </c>
      <c r="FT21" t="n" s="515">
        <v>0.3424074947834015</v>
      </c>
      <c r="FU21" t="n" s="515">
        <v>-0.21016071736812592</v>
      </c>
      <c r="FV21" t="n" s="515">
        <v>-0.7916182279586792</v>
      </c>
      <c r="FW21" t="n" s="515">
        <v>-1.2775933742523193</v>
      </c>
      <c r="FX21" t="n" s="515">
        <v>-1.4815537929534912</v>
      </c>
      <c r="FY21" t="n" s="515">
        <v>-1.324626088142395</v>
      </c>
      <c r="FZ21" t="n" s="515">
        <v>-0.8614147901535034</v>
      </c>
      <c r="GA21" t="n" s="515">
        <v>-0.05981723964214325</v>
      </c>
      <c r="GB21" t="n" s="515">
        <v>0.673854410648346</v>
      </c>
      <c r="GC21" t="n" s="515">
        <v>1.0665347576141357</v>
      </c>
      <c r="GD21" t="n" s="515">
        <v>1.1530072689056396</v>
      </c>
      <c r="GE21" t="n" s="515">
        <v>0.91262286901474</v>
      </c>
      <c r="GF21" t="n" s="515">
        <v>0.4310014247894287</v>
      </c>
      <c r="GG21" t="n" s="515">
        <v>-0.11184988170862198</v>
      </c>
      <c r="GH21" t="n" s="515">
        <v>-0.31118977069854736</v>
      </c>
      <c r="GI21" t="n" s="515">
        <v>-0.3020584285259247</v>
      </c>
      <c r="GJ21" t="n" s="515">
        <v>-0.15129102766513824</v>
      </c>
      <c r="GK21" t="n" s="515">
        <v>0.0976790115237236</v>
      </c>
      <c r="GL21" t="n" s="515">
        <v>0.36461350321769714</v>
      </c>
      <c r="GM21" t="n" s="515">
        <v>0.5677005648612976</v>
      </c>
      <c r="GN21" t="n" s="515">
        <v>0.673763632774353</v>
      </c>
      <c r="GO21" t="n" s="515">
        <v>0.5892044305801392</v>
      </c>
      <c r="GP21" t="n" s="515">
        <v>0.2546127438545227</v>
      </c>
      <c r="GQ21" t="n" s="515">
        <v>-0.14475643634796143</v>
      </c>
      <c r="GR21" t="n" s="515">
        <v>-0.27936601638793945</v>
      </c>
      <c r="GS21" t="n" s="515">
        <v>0.20957635343074799</v>
      </c>
      <c r="GT21" t="n" s="515">
        <v>0.9860312342643738</v>
      </c>
      <c r="GU21" t="n" s="515">
        <v>1.4999568462371826</v>
      </c>
      <c r="GV21" t="n" s="515">
        <v>1.4776312112808228</v>
      </c>
      <c r="GW21" t="n" s="515">
        <v>1.2206857204437256</v>
      </c>
      <c r="GX21" t="n" s="515">
        <v>0.642707884311676</v>
      </c>
      <c r="GY21" t="n" s="515">
        <v>-0.12313481420278549</v>
      </c>
      <c r="GZ21" t="n" s="515">
        <v>-0.8492342829704285</v>
      </c>
      <c r="HA21" t="n" s="515">
        <v>-1.484681487083435</v>
      </c>
      <c r="HB21" t="n" s="515">
        <v>-1.775709629058838</v>
      </c>
      <c r="HC21" t="n" s="515">
        <v>-1.5867477655410767</v>
      </c>
      <c r="HD21" t="n" s="515">
        <v>-1.0552862882614136</v>
      </c>
      <c r="HE21" t="n" s="515">
        <v>-0.6734309792518616</v>
      </c>
      <c r="HF21" t="n" s="515">
        <v>-0.6077883243560791</v>
      </c>
      <c r="HG21" t="n" s="515">
        <v>-0.6409289240837097</v>
      </c>
      <c r="HH21" t="n" s="515">
        <v>-0.779509425163269</v>
      </c>
      <c r="HI21" t="n" s="515">
        <v>-0.8622779846191406</v>
      </c>
      <c r="HJ21" t="n" s="515">
        <v>-0.40626123547554016</v>
      </c>
      <c r="HK21" t="n" s="515">
        <v>0.6806640028953552</v>
      </c>
      <c r="HL21" t="n" s="515">
        <v>1.6871953010559082</v>
      </c>
      <c r="HM21" t="n" s="515">
        <v>2.3300182819366455</v>
      </c>
      <c r="HN21" t="n" s="515">
        <v>2.6344733238220215</v>
      </c>
      <c r="HO21" t="n" s="515">
        <v>2.561948299407959</v>
      </c>
      <c r="HP21" t="n" s="515">
        <v>2.278316020965576</v>
      </c>
      <c r="HQ21" t="n" s="515">
        <v>1.5972782373428345</v>
      </c>
      <c r="HR21" t="n" s="515">
        <v>0.9885711073875427</v>
      </c>
      <c r="HS21" t="n" s="515">
        <v>0.7244144082069397</v>
      </c>
      <c r="HT21" t="n" s="515">
        <v>0.7541490793228149</v>
      </c>
      <c r="HU21" t="n" s="515">
        <v>0.8133544921875</v>
      </c>
      <c r="HV21" t="n" s="515">
        <v>0.8582814931869507</v>
      </c>
      <c r="HW21" t="n" s="515">
        <v>0.991129994392395</v>
      </c>
      <c r="HX21" t="n" s="515">
        <v>1.280529499053955</v>
      </c>
      <c r="HY21" t="n" s="515">
        <v>1.7432419061660767</v>
      </c>
      <c r="HZ21" t="n" s="515">
        <v>2.226320505142212</v>
      </c>
      <c r="IA21" t="n" s="515">
        <v>2.555187225341797</v>
      </c>
      <c r="IB21" t="n" s="515">
        <v>2.603318691253662</v>
      </c>
      <c r="IC21" t="n" s="515">
        <v>2.4143145084381104</v>
      </c>
    </row>
    <row r="22">
      <c r="A22" s="514">
        <f>A21+ABS(B22-B21)</f>
      </c>
      <c r="B22" s="514">
        <f>468.0/12</f>
      </c>
      <c r="C22" t="n" s="514">
        <v>468.0</v>
      </c>
      <c r="D22" t="n" s="515">
        <v>1.5244157314300537</v>
      </c>
      <c r="E22" t="n" s="515">
        <v>1.3013055324554443</v>
      </c>
      <c r="F22" t="n" s="515">
        <v>1.1135801076889038</v>
      </c>
      <c r="G22" t="n" s="515">
        <v>0.9729412198066711</v>
      </c>
      <c r="H22" t="n" s="515">
        <v>0.7927392721176147</v>
      </c>
      <c r="I22" t="n" s="515">
        <v>0.8396152853965759</v>
      </c>
      <c r="J22" t="n" s="515">
        <v>1.0374314785003662</v>
      </c>
      <c r="K22" t="n" s="515">
        <v>1.253814458847046</v>
      </c>
      <c r="L22" t="n" s="515">
        <v>1.4647161960601807</v>
      </c>
      <c r="M22" t="n" s="515">
        <v>1.3806397914886475</v>
      </c>
      <c r="N22" t="n" s="515">
        <v>0.9920257329940796</v>
      </c>
      <c r="O22" t="n" s="515">
        <v>0.41695499420166016</v>
      </c>
      <c r="P22" t="n" s="515">
        <v>-0.2808535397052765</v>
      </c>
      <c r="Q22" t="n" s="515">
        <v>-0.8230926394462585</v>
      </c>
      <c r="R22" t="n" s="515">
        <v>-0.9781806468963623</v>
      </c>
      <c r="S22" t="n" s="515">
        <v>-0.7145585417747498</v>
      </c>
      <c r="T22" t="n" s="515">
        <v>-0.2432572990655899</v>
      </c>
      <c r="U22" t="n" s="515">
        <v>0.19720964133739471</v>
      </c>
      <c r="V22" t="n" s="515">
        <v>0.3117181658744812</v>
      </c>
      <c r="W22" t="n" s="515">
        <v>0.07551378011703491</v>
      </c>
      <c r="X22" t="n" s="515">
        <v>-0.24675215780735016</v>
      </c>
      <c r="Y22" t="n" s="515">
        <v>-0.8186520934104919</v>
      </c>
      <c r="Z22" t="n" s="515">
        <v>-1.6103339195251465</v>
      </c>
      <c r="AA22" t="n" s="515">
        <v>-1.8968571424484253</v>
      </c>
      <c r="AB22" t="n" s="515">
        <v>-1.9611860513687134</v>
      </c>
      <c r="AC22" t="n" s="515">
        <v>-2.0893256664276123</v>
      </c>
      <c r="AD22" t="n" s="515">
        <v>-2.074462413787842</v>
      </c>
      <c r="AE22" t="n" s="515">
        <v>-1.960600733757019</v>
      </c>
      <c r="AF22" t="n" s="515">
        <v>-1.8226468563079834</v>
      </c>
      <c r="AG22" t="n" s="515">
        <v>-1.6631830930709839</v>
      </c>
      <c r="AH22" t="n" s="515">
        <v>-1.4636646509170532</v>
      </c>
      <c r="AI22" t="n" s="515">
        <v>-0.8892773985862732</v>
      </c>
      <c r="AJ22" t="n" s="515">
        <v>0.005732670426368713</v>
      </c>
      <c r="AK22" t="n" s="515">
        <v>0.9573191404342651</v>
      </c>
      <c r="AL22" t="n" s="515">
        <v>1.4077954292297363</v>
      </c>
      <c r="AM22" t="n" s="515">
        <v>2.8879170417785645</v>
      </c>
      <c r="AN22" t="n" s="515">
        <v>3.2269303798675537</v>
      </c>
      <c r="AO22" t="n" s="515">
        <v>3.1121420860290527</v>
      </c>
      <c r="AP22" t="n" s="515">
        <v>2.817000150680542</v>
      </c>
      <c r="AQ22" t="n" s="515">
        <v>2.4353792667388916</v>
      </c>
      <c r="AR22" t="n" s="515">
        <v>2.013801097869873</v>
      </c>
      <c r="AS22" t="n" s="515">
        <v>1.525794506072998</v>
      </c>
      <c r="AT22" t="n" s="515">
        <v>1.2916619777679443</v>
      </c>
      <c r="AU22" t="n" s="515">
        <v>1.2288849353790283</v>
      </c>
      <c r="AV22" t="n" s="515">
        <v>1.2897406816482544</v>
      </c>
      <c r="AW22" t="n" s="515">
        <v>1.3725980520248413</v>
      </c>
      <c r="AX22" t="n" s="515">
        <v>1.4108833074569702</v>
      </c>
      <c r="AY22" t="n" s="515">
        <v>1.4999854564666748</v>
      </c>
      <c r="AZ22" t="n" s="515">
        <v>1.6515365839004517</v>
      </c>
      <c r="BA22" t="n" s="515">
        <v>1.7588331699371338</v>
      </c>
      <c r="BB22" t="n" s="515">
        <v>1.8515357971191406</v>
      </c>
      <c r="BC22" t="n" s="515">
        <v>2.053905487060547</v>
      </c>
      <c r="BD22" t="n" s="515">
        <v>2.3880608081817627</v>
      </c>
      <c r="BE22" t="n" s="515">
        <v>2.8933184146881104</v>
      </c>
      <c r="BF22" t="n" s="515">
        <v>3.2098875045776367</v>
      </c>
      <c r="BG22" t="n" s="515">
        <v>3.1301076412200928</v>
      </c>
      <c r="BH22" t="n" s="515">
        <v>2.783689022064209</v>
      </c>
      <c r="BI22" t="n" s="515">
        <v>2.414607048034668</v>
      </c>
      <c r="BJ22" t="n" s="515">
        <v>2.0835156440734863</v>
      </c>
      <c r="BK22" t="n" s="515">
        <v>1.4421180486679077</v>
      </c>
      <c r="BL22" t="n" s="515">
        <v>0.9624384045600891</v>
      </c>
      <c r="BM22" t="n" s="515">
        <v>0.8961097598075867</v>
      </c>
      <c r="BN22" t="n" s="515">
        <v>1.018190860748291</v>
      </c>
      <c r="BO22" t="n" s="515">
        <v>1.157303810119629</v>
      </c>
      <c r="BP22" t="n" s="515">
        <v>1.1273201704025269</v>
      </c>
      <c r="BQ22" t="n" s="515">
        <v>0.9843983054161072</v>
      </c>
      <c r="BR22" t="n" s="515">
        <v>0.7814765572547913</v>
      </c>
      <c r="BS22" t="n" s="515">
        <v>0.6508599519729614</v>
      </c>
      <c r="BT22" t="n" s="515">
        <v>0.6180088520050049</v>
      </c>
      <c r="BU22" t="n" s="515">
        <v>0.6556394696235657</v>
      </c>
      <c r="BV22" t="n" s="515">
        <v>0.8995862007141113</v>
      </c>
      <c r="BW22" t="n" s="515">
        <v>1.1844192743301392</v>
      </c>
      <c r="BX22" t="n" s="515">
        <v>0.8789743185043335</v>
      </c>
      <c r="BY22" t="n" s="515">
        <v>0.8728916645050049</v>
      </c>
      <c r="BZ22" t="n" s="515">
        <v>0.387520432472229</v>
      </c>
      <c r="CA22" t="n" s="515">
        <v>-0.023911528289318085</v>
      </c>
      <c r="CB22" t="n" s="515">
        <v>-0.5581426620483398</v>
      </c>
      <c r="CC22" t="n" s="515">
        <v>-0.5676863789558411</v>
      </c>
      <c r="CD22" t="n" s="515">
        <v>-0.4747466742992401</v>
      </c>
      <c r="CE22" t="n" s="515">
        <v>-0.20452772080898285</v>
      </c>
      <c r="CF22" t="n" s="515">
        <v>-0.01624327525496483</v>
      </c>
      <c r="CG22" t="n" s="515">
        <v>-0.04825476557016373</v>
      </c>
      <c r="CH22" t="n" s="515">
        <v>-0.33687320351600647</v>
      </c>
      <c r="CI22" t="n" s="515">
        <v>-0.6341015100479126</v>
      </c>
      <c r="CJ22" t="n" s="515">
        <v>-0.6567435264587402</v>
      </c>
      <c r="CK22" t="n" s="515">
        <v>-0.22280050814151764</v>
      </c>
      <c r="CL22" t="n" s="515">
        <v>0.450324684381485</v>
      </c>
      <c r="CM22" t="n" s="515">
        <v>1.186033010482788</v>
      </c>
      <c r="CN22" t="n" s="515">
        <v>1.865236759185791</v>
      </c>
      <c r="CO22" t="n" s="515">
        <v>2.235656976699829</v>
      </c>
      <c r="CP22" t="n" s="515">
        <v>2.204122543334961</v>
      </c>
      <c r="CQ22" t="n" s="515">
        <v>1.8522474765777588</v>
      </c>
      <c r="CR22" t="n" s="515">
        <v>1.307875156402588</v>
      </c>
      <c r="CS22" t="n" s="515">
        <v>0.07561979442834854</v>
      </c>
      <c r="CT22" t="n" s="515">
        <v>0.5296469330787659</v>
      </c>
      <c r="CU22" t="n" s="515">
        <v>0.1766708940267563</v>
      </c>
      <c r="CV22" t="n" s="515">
        <v>0.1412135660648346</v>
      </c>
      <c r="CW22" t="n" s="515">
        <v>0.3512473702430725</v>
      </c>
      <c r="CX22" t="n" s="515">
        <v>0.7958172559738159</v>
      </c>
      <c r="CY22" t="n" s="515">
        <v>1.2681419849395752</v>
      </c>
      <c r="CZ22" t="n" s="515">
        <v>1.5191291570663452</v>
      </c>
      <c r="DA22" t="n" s="515">
        <v>1.5087217092514038</v>
      </c>
      <c r="DB22" t="n" s="515">
        <v>1.2789963483810425</v>
      </c>
      <c r="DC22" t="n" s="515">
        <v>0.8481722474098206</v>
      </c>
      <c r="DD22" t="n" s="515">
        <v>0.3874121308326721</v>
      </c>
      <c r="DE22" t="n" s="515">
        <v>0.32763391733169556</v>
      </c>
      <c r="DF22" t="n" s="515">
        <v>0.878408670425415</v>
      </c>
      <c r="DG22" t="n" s="515">
        <v>1.3215479850769043</v>
      </c>
      <c r="DH22" t="n" s="515">
        <v>-0.6954912543296814</v>
      </c>
      <c r="DI22" t="n" s="515">
        <v>2.1380205154418945</v>
      </c>
      <c r="DJ22" t="n" s="515">
        <v>2.0018391609191895</v>
      </c>
      <c r="DK22" t="n" s="515">
        <v>1.7189193964004517</v>
      </c>
      <c r="DL22" t="n" s="515">
        <v>1.447210431098938</v>
      </c>
      <c r="DM22" t="n" s="515">
        <v>1.0370793342590332</v>
      </c>
      <c r="DN22" t="n" s="515">
        <v>0.9486019611358643</v>
      </c>
      <c r="DO22" t="n" s="515">
        <v>0.8513050675392151</v>
      </c>
      <c r="DP22" t="n" s="515">
        <v>0.7056382298469543</v>
      </c>
      <c r="DQ22" t="n" s="515">
        <v>0.44086456298828125</v>
      </c>
      <c r="DR22" t="n" s="515">
        <v>-0.05311736464500427</v>
      </c>
      <c r="DS22" t="n" s="515">
        <v>-0.5888186097145081</v>
      </c>
      <c r="DT22" t="n" s="515">
        <v>-1.0787036418914795</v>
      </c>
      <c r="DU22" t="n" s="515">
        <v>-1.4537997245788574</v>
      </c>
      <c r="DV22" t="n" s="515">
        <v>-1.4857350587844849</v>
      </c>
      <c r="DW22" t="n" s="515">
        <v>-1.396754503250122</v>
      </c>
      <c r="DX22" t="n" s="515">
        <v>-0.9329754114151001</v>
      </c>
      <c r="DY22" t="n" s="515">
        <v>-0.2834160327911377</v>
      </c>
      <c r="DZ22" t="n" s="515">
        <v>0.244489848613739</v>
      </c>
      <c r="EA22" t="n" s="515">
        <v>0.4871642291545868</v>
      </c>
      <c r="EB22" t="n" s="515">
        <v>0.5039632320404053</v>
      </c>
      <c r="EC22" t="n" s="515">
        <v>-0.3751778304576874</v>
      </c>
      <c r="ED22" t="n" s="515">
        <v>0.4636143743991852</v>
      </c>
      <c r="EE22" t="n" s="515">
        <v>0.29479700326919556</v>
      </c>
      <c r="EF22" t="n" s="515">
        <v>0.276732861995697</v>
      </c>
      <c r="EG22" t="n" s="515">
        <v>0.26378899812698364</v>
      </c>
      <c r="EH22" t="n" s="515">
        <v>0.20270563662052155</v>
      </c>
      <c r="EI22" t="n" s="515">
        <v>0.2128632664680481</v>
      </c>
      <c r="EJ22" t="n" s="515">
        <v>0.197450652718544</v>
      </c>
      <c r="EK22" t="n" s="515">
        <v>0.10890505462884903</v>
      </c>
      <c r="EL22" t="n" s="515">
        <v>-0.11905771493911743</v>
      </c>
      <c r="EM22" t="n" s="515">
        <v>-0.3303321897983551</v>
      </c>
      <c r="EN22" t="n" s="515">
        <v>-0.4783618152141571</v>
      </c>
      <c r="EO22" t="n" s="515">
        <v>-0.532342255115509</v>
      </c>
      <c r="EP22" t="n" s="515">
        <v>-0.5652447938919067</v>
      </c>
      <c r="EQ22" t="n" s="515">
        <v>-0.45937877893447876</v>
      </c>
      <c r="ER22" t="n" s="515">
        <v>-0.36757105588912964</v>
      </c>
      <c r="ES22" t="n" s="515">
        <v>-0.45138493180274963</v>
      </c>
      <c r="ET22" t="n" s="515">
        <v>-0.6992283463478088</v>
      </c>
      <c r="EU22" t="n" s="515">
        <v>-0.9585338830947876</v>
      </c>
      <c r="EV22" t="n" s="515">
        <v>-1.149154782295227</v>
      </c>
      <c r="EW22" t="n" s="515">
        <v>-0.8811516165733337</v>
      </c>
      <c r="EX22" t="n" s="515">
        <v>-0.4035293459892273</v>
      </c>
      <c r="EY22" t="n" s="515">
        <v>0.251933753490448</v>
      </c>
      <c r="EZ22" t="n" s="515">
        <v>0.804223895072937</v>
      </c>
      <c r="FA22" t="n" s="515">
        <v>1.382017731666565</v>
      </c>
      <c r="FB22" t="n" s="515">
        <v>1.6126412153244019</v>
      </c>
      <c r="FC22" t="n" s="515">
        <v>1.6373419761657715</v>
      </c>
      <c r="FD22" t="n" s="515">
        <v>1.5303295850753784</v>
      </c>
      <c r="FE22" t="n" s="515">
        <v>1.2327393293380737</v>
      </c>
      <c r="FF22" t="n" s="515">
        <v>0.974151074886322</v>
      </c>
      <c r="FG22" t="n" s="515">
        <v>0.9013487100601196</v>
      </c>
      <c r="FH22" t="n" s="515">
        <v>1.2173640727996826</v>
      </c>
      <c r="FI22" t="n" s="515">
        <v>1.801983118057251</v>
      </c>
      <c r="FJ22" t="n" s="515">
        <v>2.275210380554199</v>
      </c>
      <c r="FK22" t="n" s="515">
        <v>2.450307846069336</v>
      </c>
      <c r="FL22" t="n" s="515">
        <v>2.350691318511963</v>
      </c>
      <c r="FM22" t="n" s="515">
        <v>2.120190143585205</v>
      </c>
      <c r="FN22" t="n" s="515">
        <v>1.9450024366378784</v>
      </c>
      <c r="FO22" t="n" s="515">
        <v>1.820024847984314</v>
      </c>
      <c r="FP22" t="n" s="515">
        <v>1.6650582551956177</v>
      </c>
      <c r="FQ22" t="n" s="515">
        <v>1.5391786098480225</v>
      </c>
      <c r="FR22" t="n" s="515">
        <v>1.3291988372802734</v>
      </c>
      <c r="FS22" t="n" s="515">
        <v>0.9808282852172852</v>
      </c>
      <c r="FT22" t="n" s="515">
        <v>0.4450310468673706</v>
      </c>
      <c r="FU22" t="n" s="515">
        <v>-0.2048003226518631</v>
      </c>
      <c r="FV22" t="n" s="515">
        <v>-0.8516645431518555</v>
      </c>
      <c r="FW22" t="n" s="515">
        <v>-1.3433204889297485</v>
      </c>
      <c r="FX22" t="n" s="515">
        <v>-1.5536772012710571</v>
      </c>
      <c r="FY22" t="n" s="515">
        <v>-1.393003225326538</v>
      </c>
      <c r="FZ22" t="n" s="515">
        <v>-0.9693760871887207</v>
      </c>
      <c r="GA22" t="n" s="515">
        <v>-0.3870856761932373</v>
      </c>
      <c r="GB22" t="n" s="515">
        <v>0.27067938446998596</v>
      </c>
      <c r="GC22" t="n" s="515">
        <v>0.6331906318664551</v>
      </c>
      <c r="GD22" t="n" s="515">
        <v>0.7346108555793762</v>
      </c>
      <c r="GE22" t="n" s="515">
        <v>0.5526846647262573</v>
      </c>
      <c r="GF22" t="n" s="515">
        <v>0.18968288600444794</v>
      </c>
      <c r="GG22" t="n" s="515">
        <v>-0.16504892706871033</v>
      </c>
      <c r="GH22" t="n" s="515">
        <v>-0.21343758702278137</v>
      </c>
      <c r="GI22" t="n" s="515">
        <v>-0.04625988379120827</v>
      </c>
      <c r="GJ22" t="n" s="515">
        <v>0.12007192522287369</v>
      </c>
      <c r="GK22" t="n" s="515">
        <v>0.35530391335487366</v>
      </c>
      <c r="GL22" t="n" s="515">
        <v>0.6081122756004333</v>
      </c>
      <c r="GM22" t="n" s="515">
        <v>0.7680116295814514</v>
      </c>
      <c r="GN22" t="n" s="515">
        <v>0.7922987937927246</v>
      </c>
      <c r="GO22" t="n" s="515">
        <v>0.6331795454025269</v>
      </c>
      <c r="GP22" t="n" s="515">
        <v>0.33523261547088623</v>
      </c>
      <c r="GQ22" t="n" s="515">
        <v>-0.07580169290304184</v>
      </c>
      <c r="GR22" t="n" s="515">
        <v>-0.2111191302537918</v>
      </c>
      <c r="GS22" t="n" s="515">
        <v>0.13801272213459015</v>
      </c>
      <c r="GT22" t="n" s="515">
        <v>0.8009626865386963</v>
      </c>
      <c r="GU22" t="n" s="515">
        <v>1.2498940229415894</v>
      </c>
      <c r="GV22" t="n" s="515">
        <v>1.2217005491256714</v>
      </c>
      <c r="GW22" t="n" s="515">
        <v>1.057769775390625</v>
      </c>
      <c r="GX22" t="n" s="515">
        <v>0.6495773792266846</v>
      </c>
      <c r="GY22" t="n" s="515">
        <v>-0.11561033874750137</v>
      </c>
      <c r="GZ22" t="n" s="515">
        <v>-0.7833864688873291</v>
      </c>
      <c r="HA22" t="n" s="515">
        <v>-1.304045557975769</v>
      </c>
      <c r="HB22" t="n" s="515">
        <v>-1.5610454082489014</v>
      </c>
      <c r="HC22" t="n" s="515">
        <v>-1.3210701942443848</v>
      </c>
      <c r="HD22" t="n" s="515">
        <v>-0.9592915773391724</v>
      </c>
      <c r="HE22" t="n" s="515">
        <v>-0.6771035194396973</v>
      </c>
      <c r="HF22" t="n" s="515">
        <v>-0.7134262323379517</v>
      </c>
      <c r="HG22" t="n" s="515">
        <v>-0.712618350982666</v>
      </c>
      <c r="HH22" t="n" s="515">
        <v>-0.8527818322181702</v>
      </c>
      <c r="HI22" t="n" s="515">
        <v>-0.860004186630249</v>
      </c>
      <c r="HJ22" t="n" s="515">
        <v>-0.3981909453868866</v>
      </c>
      <c r="HK22" t="n" s="515">
        <v>0.5228531360626221</v>
      </c>
      <c r="HL22" t="n" s="515">
        <v>1.5090157985687256</v>
      </c>
      <c r="HM22" t="n" s="515">
        <v>2.2053706645965576</v>
      </c>
      <c r="HN22" t="n" s="515">
        <v>2.5369927883148193</v>
      </c>
      <c r="HO22" t="n" s="515">
        <v>2.4831180572509766</v>
      </c>
      <c r="HP22" t="n" s="515">
        <v>2.2336442470550537</v>
      </c>
      <c r="HQ22" t="n" s="515">
        <v>1.8981739282608032</v>
      </c>
      <c r="HR22" t="n" s="515">
        <v>1.329203486442566</v>
      </c>
      <c r="HS22" t="n" s="515">
        <v>1.1288630962371826</v>
      </c>
      <c r="HT22" t="n" s="515">
        <v>1.229408860206604</v>
      </c>
      <c r="HU22" t="n" s="515">
        <v>1.2793941497802734</v>
      </c>
      <c r="HV22" t="n" s="515">
        <v>1.258325219154358</v>
      </c>
      <c r="HW22" t="n" s="515">
        <v>1.274718999862671</v>
      </c>
      <c r="HX22" t="n" s="515">
        <v>1.4286075830459595</v>
      </c>
      <c r="HY22" t="n" s="515">
        <v>1.7696508169174194</v>
      </c>
      <c r="HZ22" t="n" s="515">
        <v>2.151711940765381</v>
      </c>
      <c r="IA22" t="n" s="515">
        <v>2.381164073944092</v>
      </c>
      <c r="IB22" t="n" s="515">
        <v>2.443006753921509</v>
      </c>
      <c r="IC22" t="n" s="515">
        <v>2.305316686630249</v>
      </c>
    </row>
    <row r="23">
      <c r="A23" s="514">
        <f>A22+ABS(B23-B22)</f>
      </c>
      <c r="B23" s="514">
        <f>492.0/12</f>
      </c>
      <c r="C23" t="n" s="514">
        <v>492.0</v>
      </c>
      <c r="D23" t="n" s="515">
        <v>1.2372398376464844</v>
      </c>
      <c r="E23" t="n" s="515">
        <v>0.9679334163665771</v>
      </c>
      <c r="F23" t="n" s="515">
        <v>0.8375098705291748</v>
      </c>
      <c r="G23" t="n" s="515">
        <v>0.9156606197357178</v>
      </c>
      <c r="H23" t="n" s="515">
        <v>0.8165691494941711</v>
      </c>
      <c r="I23" t="n" s="515">
        <v>0.8928716778755188</v>
      </c>
      <c r="J23" t="n" s="515">
        <v>1.0274077653884888</v>
      </c>
      <c r="K23" t="n" s="515">
        <v>1.0989930629730225</v>
      </c>
      <c r="L23" t="n" s="515">
        <v>1.0888289213180542</v>
      </c>
      <c r="M23" t="n" s="515">
        <v>0.9482282400131226</v>
      </c>
      <c r="N23" t="n" s="515">
        <v>0.588314950466156</v>
      </c>
      <c r="O23" t="n" s="515">
        <v>0.22701874375343323</v>
      </c>
      <c r="P23" t="n" s="515">
        <v>-0.23440800607204437</v>
      </c>
      <c r="Q23" t="n" s="515">
        <v>-0.5396996736526489</v>
      </c>
      <c r="R23" t="n" s="515">
        <v>-0.6601531505584717</v>
      </c>
      <c r="S23" t="n" s="515">
        <v>-0.6531367897987366</v>
      </c>
      <c r="T23" t="n" s="515">
        <v>-0.5324826836585999</v>
      </c>
      <c r="U23" t="n" s="515">
        <v>-0.4912511110305786</v>
      </c>
      <c r="V23" t="n" s="515">
        <v>-0.5042073130607605</v>
      </c>
      <c r="W23" t="n" s="515">
        <v>-0.6979678273200989</v>
      </c>
      <c r="X23" t="n" s="515">
        <v>-0.8424311280250549</v>
      </c>
      <c r="Y23" t="n" s="515">
        <v>-1.1948215961456299</v>
      </c>
      <c r="Z23" t="n" s="515">
        <v>-1.9132211208343506</v>
      </c>
      <c r="AA23" t="n" s="515">
        <v>-2.0505025386810303</v>
      </c>
      <c r="AB23" t="n" s="515">
        <v>-1.981492519378662</v>
      </c>
      <c r="AC23" t="n" s="515">
        <v>-2.017378330230713</v>
      </c>
      <c r="AD23" t="n" s="515">
        <v>-1.9602242708206177</v>
      </c>
      <c r="AE23" t="n" s="515">
        <v>-1.8268373012542725</v>
      </c>
      <c r="AF23" t="n" s="515">
        <v>-1.723696231842041</v>
      </c>
      <c r="AG23" t="n" s="515">
        <v>-1.529772400856018</v>
      </c>
      <c r="AH23" t="n" s="515">
        <v>-1.2394691705703735</v>
      </c>
      <c r="AI23" t="n" s="515">
        <v>-0.6446340084075928</v>
      </c>
      <c r="AJ23" t="n" s="515">
        <v>0.04891318455338478</v>
      </c>
      <c r="AK23" t="n" s="515">
        <v>0.7559587955474854</v>
      </c>
      <c r="AL23" t="n" s="515">
        <v>0.8304920196533203</v>
      </c>
      <c r="AM23" t="n" s="515">
        <v>2.0373780727386475</v>
      </c>
      <c r="AN23" t="n" s="515">
        <v>2.39575457572937</v>
      </c>
      <c r="AO23" t="n" s="515">
        <v>2.440669298171997</v>
      </c>
      <c r="AP23" t="n" s="515">
        <v>2.3719451427459717</v>
      </c>
      <c r="AQ23" t="n" s="515">
        <v>2.283613681793213</v>
      </c>
      <c r="AR23" t="n" s="515">
        <v>2.1653401851654053</v>
      </c>
      <c r="AS23" t="n" s="515">
        <v>1.8053151369094849</v>
      </c>
      <c r="AT23" t="n" s="515">
        <v>1.6594254970550537</v>
      </c>
      <c r="AU23" t="n" s="515">
        <v>1.5799689292907715</v>
      </c>
      <c r="AV23" t="n" s="515">
        <v>1.5615416765213013</v>
      </c>
      <c r="AW23" t="n" s="515">
        <v>1.5927613973617554</v>
      </c>
      <c r="AX23" t="n" s="515">
        <v>1.5257469415664673</v>
      </c>
      <c r="AY23" t="n" s="515">
        <v>1.574627161026001</v>
      </c>
      <c r="AZ23" t="n" s="515">
        <v>1.7217062711715698</v>
      </c>
      <c r="BA23" t="n" s="515">
        <v>1.823265790939331</v>
      </c>
      <c r="BB23" t="n" s="515">
        <v>1.8893890380859375</v>
      </c>
      <c r="BC23" t="n" s="515">
        <v>1.9756736755371094</v>
      </c>
      <c r="BD23" t="n" s="515">
        <v>2.1415326595306396</v>
      </c>
      <c r="BE23" t="n" s="515">
        <v>2.3221399784088135</v>
      </c>
      <c r="BF23" t="n" s="515">
        <v>2.473912000656128</v>
      </c>
      <c r="BG23" t="n" s="515">
        <v>2.3869526386260986</v>
      </c>
      <c r="BH23" t="n" s="515">
        <v>2.1918351650238037</v>
      </c>
      <c r="BI23" t="n" s="515">
        <v>2.1173243522644043</v>
      </c>
      <c r="BJ23" t="n" s="515">
        <v>2.026935338973999</v>
      </c>
      <c r="BK23" t="n" s="515">
        <v>1.5240293741226196</v>
      </c>
      <c r="BL23" t="n" s="515">
        <v>1.1452701091766357</v>
      </c>
      <c r="BM23" t="n" s="515">
        <v>1.028119444847107</v>
      </c>
      <c r="BN23" t="n" s="515">
        <v>1.0199116468429565</v>
      </c>
      <c r="BO23" t="n" s="515">
        <v>0.9780161380767822</v>
      </c>
      <c r="BP23" t="n" s="515">
        <v>0.8770971298217773</v>
      </c>
      <c r="BQ23" t="n" s="515">
        <v>0.7119992971420288</v>
      </c>
      <c r="BR23" t="n" s="515">
        <v>0.6076316237449646</v>
      </c>
      <c r="BS23" t="n" s="515">
        <v>0.5989511013031006</v>
      </c>
      <c r="BT23" t="n" s="515">
        <v>0.5638084411621094</v>
      </c>
      <c r="BU23" t="n" s="515">
        <v>0.5178624391555786</v>
      </c>
      <c r="BV23" t="n" s="515">
        <v>0.3189273178577423</v>
      </c>
      <c r="BW23" t="n" s="515">
        <v>0.6463122963905334</v>
      </c>
      <c r="BX23" t="n" s="515">
        <v>-0.23806671798229218</v>
      </c>
      <c r="BY23" t="n" s="515">
        <v>0.3391159474849701</v>
      </c>
      <c r="BZ23" t="n" s="515">
        <v>0.042103514075279236</v>
      </c>
      <c r="CA23" t="n" s="515">
        <v>-0.2239398956298828</v>
      </c>
      <c r="CB23" t="n" s="515">
        <v>-0.49381715059280396</v>
      </c>
      <c r="CC23" t="n" s="515">
        <v>-0.5432473421096802</v>
      </c>
      <c r="CD23" t="n" s="515">
        <v>-0.47085443139076233</v>
      </c>
      <c r="CE23" t="n" s="515">
        <v>-0.28177234530448914</v>
      </c>
      <c r="CF23" t="n" s="515">
        <v>-0.19341014325618744</v>
      </c>
      <c r="CG23" t="n" s="515">
        <v>-0.2404717057943344</v>
      </c>
      <c r="CH23" t="n" s="515">
        <v>-0.5106379985809326</v>
      </c>
      <c r="CI23" t="n" s="515">
        <v>-0.7672291398048401</v>
      </c>
      <c r="CJ23" t="n" s="515">
        <v>-0.8455259799957275</v>
      </c>
      <c r="CK23" t="n" s="515">
        <v>-0.6268937587738037</v>
      </c>
      <c r="CL23" t="n" s="515">
        <v>-0.14721426367759705</v>
      </c>
      <c r="CM23" t="n" s="515">
        <v>0.514488160610199</v>
      </c>
      <c r="CN23" t="n" s="515">
        <v>1.1718695163726807</v>
      </c>
      <c r="CO23" t="n" s="515">
        <v>1.5424553155899048</v>
      </c>
      <c r="CP23" t="n" s="515">
        <v>1.6250708103179932</v>
      </c>
      <c r="CQ23" t="n" s="515">
        <v>1.4616864919662476</v>
      </c>
      <c r="CR23" t="n" s="515">
        <v>1.1619902849197388</v>
      </c>
      <c r="CS23" t="n" s="515">
        <v>0.09904948621988297</v>
      </c>
      <c r="CT23" t="n" s="515">
        <v>0.8024352788925171</v>
      </c>
      <c r="CU23" t="n" s="515">
        <v>0.6082547903060913</v>
      </c>
      <c r="CV23" t="n" s="515">
        <v>0.5631430745124817</v>
      </c>
      <c r="CW23" t="n" s="515">
        <v>0.6777435541152954</v>
      </c>
      <c r="CX23" t="n" s="515">
        <v>1.007696509361267</v>
      </c>
      <c r="CY23" t="n" s="515">
        <v>1.3573243618011475</v>
      </c>
      <c r="CZ23" t="n" s="515">
        <v>1.5059301853179932</v>
      </c>
      <c r="DA23" t="n" s="515">
        <v>1.454380989074707</v>
      </c>
      <c r="DB23" t="n" s="515">
        <v>1.2570819854736328</v>
      </c>
      <c r="DC23" t="n" s="515">
        <v>0.930919885635376</v>
      </c>
      <c r="DD23" t="n" s="515">
        <v>0.5275938510894775</v>
      </c>
      <c r="DE23" t="n" s="515">
        <v>0.3668355643749237</v>
      </c>
      <c r="DF23" t="n" s="515">
        <v>0.1195438802242279</v>
      </c>
      <c r="DG23" t="n" s="515">
        <v>-1.776983618736267</v>
      </c>
      <c r="DH23" t="n" s="515">
        <v>0.9679309725761414</v>
      </c>
      <c r="DI23" t="n" s="515">
        <v>1.2144063711166382</v>
      </c>
      <c r="DJ23" t="n" s="515">
        <v>1.1578805446624756</v>
      </c>
      <c r="DK23" t="n" s="515">
        <v>1.1898399591445923</v>
      </c>
      <c r="DL23" t="n" s="515">
        <v>1.404691457748413</v>
      </c>
      <c r="DM23" t="n" s="515">
        <v>1.2272380590438843</v>
      </c>
      <c r="DN23" t="n" s="515">
        <v>1.1968926191329956</v>
      </c>
      <c r="DO23" t="n" s="515">
        <v>1.011000633239746</v>
      </c>
      <c r="DP23" t="n" s="515">
        <v>0.7192519307136536</v>
      </c>
      <c r="DQ23" t="n" s="515">
        <v>0.3108692169189453</v>
      </c>
      <c r="DR23" t="n" s="515">
        <v>-0.2861882746219635</v>
      </c>
      <c r="DS23" t="n" s="515">
        <v>-0.8654620051383972</v>
      </c>
      <c r="DT23" t="n" s="515">
        <v>-1.272074818611145</v>
      </c>
      <c r="DU23" t="n" s="515">
        <v>-1.5378917455673218</v>
      </c>
      <c r="DV23" t="n" s="515">
        <v>-1.5287717580795288</v>
      </c>
      <c r="DW23" t="n" s="515">
        <v>-1.470254898071289</v>
      </c>
      <c r="DX23" t="n" s="515">
        <v>-1.113464117050171</v>
      </c>
      <c r="DY23" t="n" s="515">
        <v>-0.7356337904930115</v>
      </c>
      <c r="DZ23" t="n" s="515">
        <v>-0.43511438369750977</v>
      </c>
      <c r="EA23" t="n" s="515">
        <v>-0.22774456441402435</v>
      </c>
      <c r="EB23" t="n" s="515">
        <v>-0.04827392101287842</v>
      </c>
      <c r="EC23" t="n" s="515">
        <v>-0.742109477519989</v>
      </c>
      <c r="ED23" t="n" s="515">
        <v>0.46090537309646606</v>
      </c>
      <c r="EE23" t="n" s="515">
        <v>0.521236002445221</v>
      </c>
      <c r="EF23" t="n" s="515">
        <v>0.6153169274330139</v>
      </c>
      <c r="EG23" t="n" s="515">
        <v>0.6639328002929688</v>
      </c>
      <c r="EH23" t="n" s="515">
        <v>0.5320805311203003</v>
      </c>
      <c r="EI23" t="n" s="515">
        <v>0.4117889702320099</v>
      </c>
      <c r="EJ23" t="n" s="515">
        <v>0.22008316218852997</v>
      </c>
      <c r="EK23" t="n" s="515">
        <v>-0.012666166760027409</v>
      </c>
      <c r="EL23" t="n" s="515">
        <v>-0.3255569636821747</v>
      </c>
      <c r="EM23" t="n" s="515">
        <v>-0.5549075603485107</v>
      </c>
      <c r="EN23" t="n" s="515">
        <v>-0.6093913316726685</v>
      </c>
      <c r="EO23" t="n" s="515">
        <v>-0.5526314377784729</v>
      </c>
      <c r="EP23" t="n" s="515">
        <v>-0.530237078666687</v>
      </c>
      <c r="EQ23" t="n" s="515">
        <v>-0.5127116441726685</v>
      </c>
      <c r="ER23" t="n" s="515">
        <v>-0.5905033946037292</v>
      </c>
      <c r="ES23" t="n" s="515">
        <v>-0.8002433180809021</v>
      </c>
      <c r="ET23" t="n" s="515">
        <v>-1.0982493162155151</v>
      </c>
      <c r="EU23" t="n" s="515">
        <v>-1.3103516101837158</v>
      </c>
      <c r="EV23" t="n" s="515">
        <v>-1.3338104486465454</v>
      </c>
      <c r="EW23" t="n" s="515">
        <v>-1.065001130104065</v>
      </c>
      <c r="EX23" t="n" s="515">
        <v>-0.5980606079101562</v>
      </c>
      <c r="EY23" t="n" s="515">
        <v>0.00820142775774002</v>
      </c>
      <c r="EZ23" t="n" s="515">
        <v>0.4303708076477051</v>
      </c>
      <c r="FA23" t="n" s="515">
        <v>1.0097355842590332</v>
      </c>
      <c r="FB23" t="n" s="515">
        <v>1.299070119857788</v>
      </c>
      <c r="FC23" t="n" s="515">
        <v>1.4306073188781738</v>
      </c>
      <c r="FD23" t="n" s="515">
        <v>1.4688750505447388</v>
      </c>
      <c r="FE23" t="n" s="515">
        <v>1.2922067642211914</v>
      </c>
      <c r="FF23" t="n" s="515">
        <v>1.0993140935897827</v>
      </c>
      <c r="FG23" t="n" s="515">
        <v>1.0083611011505127</v>
      </c>
      <c r="FH23" t="n" s="515">
        <v>1.1350398063659668</v>
      </c>
      <c r="FI23" t="n" s="515">
        <v>1.4192084074020386</v>
      </c>
      <c r="FJ23" t="n" s="515">
        <v>1.6092950105667114</v>
      </c>
      <c r="FK23" t="n" s="515">
        <v>1.715505838394165</v>
      </c>
      <c r="FL23" t="n" s="515">
        <v>1.6987602710723877</v>
      </c>
      <c r="FM23" t="n" s="515">
        <v>1.7146884202957153</v>
      </c>
      <c r="FN23" t="n" s="515">
        <v>1.9050259590148926</v>
      </c>
      <c r="FO23" t="n" s="515">
        <v>2.0260214805603027</v>
      </c>
      <c r="FP23" t="n" s="515">
        <v>1.9340384006500244</v>
      </c>
      <c r="FQ23" t="n" s="515">
        <v>1.8009159564971924</v>
      </c>
      <c r="FR23" t="n" s="515">
        <v>1.4866691827774048</v>
      </c>
      <c r="FS23" t="n" s="515">
        <v>1.0526854991912842</v>
      </c>
      <c r="FT23" t="n" s="515">
        <v>0.3833850622177124</v>
      </c>
      <c r="FU23" t="n" s="515">
        <v>-0.3814559280872345</v>
      </c>
      <c r="FV23" t="n" s="515">
        <v>-1.05923330783844</v>
      </c>
      <c r="FW23" t="n" s="515">
        <v>-1.4975199699401855</v>
      </c>
      <c r="FX23" t="n" s="515">
        <v>-1.6291147470474243</v>
      </c>
      <c r="FY23" t="n" s="515">
        <v>-1.4537612199783325</v>
      </c>
      <c r="FZ23" t="n" s="515">
        <v>-1.1098041534423828</v>
      </c>
      <c r="GA23" t="n" s="515">
        <v>-0.7341760396957397</v>
      </c>
      <c r="GB23" t="n" s="515">
        <v>-0.3679153025150299</v>
      </c>
      <c r="GC23" t="n" s="515">
        <v>-0.16998374462127686</v>
      </c>
      <c r="GD23" t="n" s="515">
        <v>-0.12781722843647003</v>
      </c>
      <c r="GE23" t="n" s="515">
        <v>-0.2499663084745407</v>
      </c>
      <c r="GF23" t="n" s="515">
        <v>-0.420753538608551</v>
      </c>
      <c r="GG23" t="n" s="515">
        <v>-0.45805689692497253</v>
      </c>
      <c r="GH23" t="n" s="515">
        <v>-0.26740843057632446</v>
      </c>
      <c r="GI23" t="n" s="515">
        <v>0.059437599033117294</v>
      </c>
      <c r="GJ23" t="n" s="515">
        <v>0.3193003535270691</v>
      </c>
      <c r="GK23" t="n" s="515">
        <v>0.5204234719276428</v>
      </c>
      <c r="GL23" t="n" s="515">
        <v>0.7301565408706665</v>
      </c>
      <c r="GM23" t="n" s="515">
        <v>0.7740089893341064</v>
      </c>
      <c r="GN23" t="n" s="515">
        <v>0.7164168357849121</v>
      </c>
      <c r="GO23" t="n" s="515">
        <v>0.5398889183998108</v>
      </c>
      <c r="GP23" t="n" s="515">
        <v>0.30167093873023987</v>
      </c>
      <c r="GQ23" t="n" s="515">
        <v>0.05254856124520302</v>
      </c>
      <c r="GR23" t="n" s="515">
        <v>-0.0946040004491806</v>
      </c>
      <c r="GS23" t="n" s="515">
        <v>0.0753333792090416</v>
      </c>
      <c r="GT23" t="n" s="515">
        <v>0.3629290461540222</v>
      </c>
      <c r="GU23" t="n" s="515">
        <v>0.5467345118522644</v>
      </c>
      <c r="GV23" t="n" s="515">
        <v>0.4572609066963196</v>
      </c>
      <c r="GW23" t="n" s="515">
        <v>0.2906208038330078</v>
      </c>
      <c r="GX23" t="n" s="515">
        <v>0.12202320247888565</v>
      </c>
      <c r="GY23" t="n" s="515">
        <v>-0.2909531593322754</v>
      </c>
      <c r="GZ23" t="n" s="515">
        <v>-0.7383055686950684</v>
      </c>
      <c r="HA23" t="n" s="515">
        <v>-0.9032972455024719</v>
      </c>
      <c r="HB23" t="n" s="515">
        <v>-1.09615159034729</v>
      </c>
      <c r="HC23" t="n" s="515">
        <v>-1.0037182569503784</v>
      </c>
      <c r="HD23" t="n" s="515">
        <v>-0.9200286269187927</v>
      </c>
      <c r="HE23" t="n" s="515">
        <v>-0.8824588656425476</v>
      </c>
      <c r="HF23" t="n" s="515">
        <v>-0.9795590043067932</v>
      </c>
      <c r="HG23" t="n" s="515">
        <v>-0.8643262982368469</v>
      </c>
      <c r="HH23" t="n" s="515">
        <v>-0.8086216449737549</v>
      </c>
      <c r="HI23" t="n" s="515">
        <v>-0.7094713449478149</v>
      </c>
      <c r="HJ23" t="n" s="515">
        <v>-0.312730997800827</v>
      </c>
      <c r="HK23" t="n" s="515">
        <v>0.28007909655570984</v>
      </c>
      <c r="HL23" t="n" s="515">
        <v>0.9708437919616699</v>
      </c>
      <c r="HM23" t="n" s="515">
        <v>1.4932986497879028</v>
      </c>
      <c r="HN23" t="n" s="515">
        <v>1.8193222284317017</v>
      </c>
      <c r="HO23" t="n" s="515">
        <v>1.9148259162902832</v>
      </c>
      <c r="HP23" t="n" s="515">
        <v>1.9661504030227661</v>
      </c>
      <c r="HQ23" t="n" s="515">
        <v>2.020803689956665</v>
      </c>
      <c r="HR23" t="n" s="515">
        <v>1.7170003652572632</v>
      </c>
      <c r="HS23" t="n" s="515">
        <v>1.6989943981170654</v>
      </c>
      <c r="HT23" t="n" s="515">
        <v>1.7731881141662598</v>
      </c>
      <c r="HU23" t="n" s="515">
        <v>1.757956624031067</v>
      </c>
      <c r="HV23" t="n" s="515">
        <v>1.6060916185379028</v>
      </c>
      <c r="HW23" t="n" s="515">
        <v>1.4498112201690674</v>
      </c>
      <c r="HX23" t="n" s="515">
        <v>1.4490973949432373</v>
      </c>
      <c r="HY23" t="n" s="515">
        <v>1.6598460674285889</v>
      </c>
      <c r="HZ23" t="n" s="515">
        <v>1.946699857711792</v>
      </c>
      <c r="IA23" t="n" s="515">
        <v>2.0796709060668945</v>
      </c>
      <c r="IB23" t="n" s="515">
        <v>2.0716352462768555</v>
      </c>
      <c r="IC23" t="n" s="515">
        <v>2.003814220428467</v>
      </c>
    </row>
    <row r="24">
      <c r="A24" s="514">
        <f>A23+ABS(B24-B23)</f>
      </c>
      <c r="B24" s="514">
        <f>516.0/12</f>
      </c>
      <c r="C24" t="n" s="514">
        <v>516.0</v>
      </c>
      <c r="D24" t="n" s="515">
        <v>1.092894196510315</v>
      </c>
      <c r="E24" t="n" s="515">
        <v>0.7798145413398743</v>
      </c>
      <c r="F24" t="n" s="515">
        <v>0.6108672618865967</v>
      </c>
      <c r="G24" t="n" s="515">
        <v>0.8404894471168518</v>
      </c>
      <c r="H24" t="n" s="515">
        <v>0.8918532729148865</v>
      </c>
      <c r="I24" t="n" s="515">
        <v>1.0177617073059082</v>
      </c>
      <c r="J24" t="n" s="515">
        <v>1.1465338468551636</v>
      </c>
      <c r="K24" t="n" s="515">
        <v>1.1497832536697388</v>
      </c>
      <c r="L24" t="n" s="515">
        <v>1.0048052072525024</v>
      </c>
      <c r="M24" t="n" s="515">
        <v>0.7282159924507141</v>
      </c>
      <c r="N24" t="n" s="515">
        <v>0.3725467622280121</v>
      </c>
      <c r="O24" t="n" s="515">
        <v>0.1540229618549347</v>
      </c>
      <c r="P24" t="n" s="515">
        <v>-0.04879528284072876</v>
      </c>
      <c r="Q24" t="n" s="515">
        <v>-0.12704312801361084</v>
      </c>
      <c r="R24" t="n" s="515">
        <v>-0.23589104413986206</v>
      </c>
      <c r="S24" t="n" s="515">
        <v>-0.3965856730937958</v>
      </c>
      <c r="T24" t="n" s="515">
        <v>-0.5292027592658997</v>
      </c>
      <c r="U24" t="n" s="515">
        <v>-0.7854277491569519</v>
      </c>
      <c r="V24" t="n" s="515">
        <v>-1.0257364511489868</v>
      </c>
      <c r="W24" t="n" s="515">
        <v>-1.3200995922088623</v>
      </c>
      <c r="X24" t="n" s="515">
        <v>-1.5133870840072632</v>
      </c>
      <c r="Y24" t="n" s="515">
        <v>-1.759940505027771</v>
      </c>
      <c r="Z24" t="n" s="515">
        <v>-2.145214796066284</v>
      </c>
      <c r="AA24" t="n" s="515">
        <v>-2.171921491622925</v>
      </c>
      <c r="AB24" t="n" s="515">
        <v>-2.009995222091675</v>
      </c>
      <c r="AC24" t="n" s="515">
        <v>-1.925066351890564</v>
      </c>
      <c r="AD24" t="n" s="515">
        <v>-1.8173766136169434</v>
      </c>
      <c r="AE24" t="n" s="515">
        <v>-1.6822803020477295</v>
      </c>
      <c r="AF24" t="n" s="515">
        <v>-1.605373740196228</v>
      </c>
      <c r="AG24" t="n" s="515">
        <v>-1.3412665128707886</v>
      </c>
      <c r="AH24" t="n" s="515">
        <v>-0.9893427491188049</v>
      </c>
      <c r="AI24" t="n" s="515">
        <v>-0.4229612946510315</v>
      </c>
      <c r="AJ24" t="n" s="515">
        <v>0.14405623078346252</v>
      </c>
      <c r="AK24" t="n" s="515">
        <v>0.714429497718811</v>
      </c>
      <c r="AL24" t="n" s="515">
        <v>0.6041015386581421</v>
      </c>
      <c r="AM24" t="n" s="515">
        <v>1.5762065649032593</v>
      </c>
      <c r="AN24" t="n" s="515">
        <v>1.8421745300292969</v>
      </c>
      <c r="AO24" t="n" s="515">
        <v>1.9240243434906006</v>
      </c>
      <c r="AP24" t="n" s="515">
        <v>1.9877833127975464</v>
      </c>
      <c r="AQ24" t="n" s="515">
        <v>2.0916571617126465</v>
      </c>
      <c r="AR24" t="n" s="515">
        <v>2.2654075622558594</v>
      </c>
      <c r="AS24" t="n" s="515">
        <v>2.1511197090148926</v>
      </c>
      <c r="AT24" t="n" s="515">
        <v>2.119901418685913</v>
      </c>
      <c r="AU24" t="n" s="515">
        <v>2.032022476196289</v>
      </c>
      <c r="AV24" t="n" s="515">
        <v>1.9139386415481567</v>
      </c>
      <c r="AW24" t="n" s="515">
        <v>1.8154637813568115</v>
      </c>
      <c r="AX24" t="n" s="515">
        <v>1.6896418333053589</v>
      </c>
      <c r="AY24" t="n" s="515">
        <v>1.6956297159194946</v>
      </c>
      <c r="AZ24" t="n" s="515">
        <v>1.8246793746948242</v>
      </c>
      <c r="BA24" t="n" s="515">
        <v>1.957524299621582</v>
      </c>
      <c r="BB24" t="n" s="515">
        <v>1.9900014400482178</v>
      </c>
      <c r="BC24" t="n" s="515">
        <v>2.002058506011963</v>
      </c>
      <c r="BD24" t="n" s="515">
        <v>2.0167551040649414</v>
      </c>
      <c r="BE24" t="n" s="515">
        <v>1.9869157075881958</v>
      </c>
      <c r="BF24" t="n" s="515">
        <v>1.9787797927856445</v>
      </c>
      <c r="BG24" t="n" s="515">
        <v>1.903676986694336</v>
      </c>
      <c r="BH24" t="n" s="515">
        <v>1.8387956619262695</v>
      </c>
      <c r="BI24" t="n" s="515">
        <v>1.9118385314941406</v>
      </c>
      <c r="BJ24" t="n" s="515">
        <v>1.950111746788025</v>
      </c>
      <c r="BK24" t="n" s="515">
        <v>1.6588330268859863</v>
      </c>
      <c r="BL24" t="n" s="515">
        <v>1.4316612482070923</v>
      </c>
      <c r="BM24" t="n" s="515">
        <v>1.2791672945022583</v>
      </c>
      <c r="BN24" t="n" s="515">
        <v>1.1347097158432007</v>
      </c>
      <c r="BO24" t="n" s="515">
        <v>0.848030149936676</v>
      </c>
      <c r="BP24" t="n" s="515">
        <v>0.675504744052887</v>
      </c>
      <c r="BQ24" t="n" s="515">
        <v>0.5028483867645264</v>
      </c>
      <c r="BR24" t="n" s="515">
        <v>0.46329379081726074</v>
      </c>
      <c r="BS24" t="n" s="515">
        <v>0.5521456599235535</v>
      </c>
      <c r="BT24" t="n" s="515">
        <v>0.527111291885376</v>
      </c>
      <c r="BU24" t="n" s="515">
        <v>0.49516791105270386</v>
      </c>
      <c r="BV24" t="n" s="515">
        <v>0.12062358111143112</v>
      </c>
      <c r="BW24" t="n" s="515">
        <v>0.38108810782432556</v>
      </c>
      <c r="BX24" t="n" s="515">
        <v>-0.6550299525260925</v>
      </c>
      <c r="BY24" t="n" s="515">
        <v>0.14438104629516602</v>
      </c>
      <c r="BZ24" t="n" s="515">
        <v>-0.06170148029923439</v>
      </c>
      <c r="CA24" t="n" s="515">
        <v>-0.3325765132904053</v>
      </c>
      <c r="CB24" t="n" s="515">
        <v>-0.4310671389102936</v>
      </c>
      <c r="CC24" t="n" s="515">
        <v>-0.41174399852752686</v>
      </c>
      <c r="CD24" t="n" s="515">
        <v>-0.33112597465515137</v>
      </c>
      <c r="CE24" t="n" s="515">
        <v>-0.21355733275413513</v>
      </c>
      <c r="CF24" t="n" s="515">
        <v>-0.18691585958003998</v>
      </c>
      <c r="CG24" t="n" s="515">
        <v>-0.2745521664619446</v>
      </c>
      <c r="CH24" t="n" s="515">
        <v>-0.5548691749572754</v>
      </c>
      <c r="CI24" t="n" s="515">
        <v>-0.8193670511245728</v>
      </c>
      <c r="CJ24" t="n" s="515">
        <v>-0.98045814037323</v>
      </c>
      <c r="CK24" t="n" s="515">
        <v>-0.951683521270752</v>
      </c>
      <c r="CL24" t="n" s="515">
        <v>-0.625736653804779</v>
      </c>
      <c r="CM24" t="n" s="515">
        <v>0.009051081724464893</v>
      </c>
      <c r="CN24" t="n" s="515">
        <v>0.7441003918647766</v>
      </c>
      <c r="CO24" t="n" s="515">
        <v>1.1951862573623657</v>
      </c>
      <c r="CP24" t="n" s="515">
        <v>1.3697282075881958</v>
      </c>
      <c r="CQ24" t="n" s="515">
        <v>1.3307089805603027</v>
      </c>
      <c r="CR24" t="n" s="515">
        <v>1.1361083984375</v>
      </c>
      <c r="CS24" t="n" s="515">
        <v>0.19862183928489685</v>
      </c>
      <c r="CT24" t="n" s="515">
        <v>1.069352388381958</v>
      </c>
      <c r="CU24" t="n" s="515">
        <v>1.1015492677688599</v>
      </c>
      <c r="CV24" t="n" s="515">
        <v>1.1162939071655273</v>
      </c>
      <c r="CW24" t="n" s="515">
        <v>1.1429569721221924</v>
      </c>
      <c r="CX24" t="n" s="515">
        <v>1.3171199560165405</v>
      </c>
      <c r="CY24" t="n" s="515">
        <v>1.514788031578064</v>
      </c>
      <c r="CZ24" t="n" s="515">
        <v>1.551080584526062</v>
      </c>
      <c r="DA24" t="n" s="515">
        <v>1.4591249227523804</v>
      </c>
      <c r="DB24" t="n" s="515">
        <v>1.279166579246521</v>
      </c>
      <c r="DC24" t="n" s="515">
        <v>1.0559287071228027</v>
      </c>
      <c r="DD24" t="n" s="515">
        <v>0.7487031817436218</v>
      </c>
      <c r="DE24" t="n" s="515">
        <v>-0.02138371765613556</v>
      </c>
      <c r="DF24" t="n" s="515">
        <v>-2.0508623123168945</v>
      </c>
      <c r="DG24" t="n" s="515">
        <v>0.39779287576675415</v>
      </c>
      <c r="DH24" t="n" s="515">
        <v>0.4827241897583008</v>
      </c>
      <c r="DI24" t="n" s="515">
        <v>0.4326130747795105</v>
      </c>
      <c r="DJ24" t="n" s="515">
        <v>0.5811854600906372</v>
      </c>
      <c r="DK24" t="n" s="515">
        <v>0.9384265542030334</v>
      </c>
      <c r="DL24" t="n" s="515">
        <v>1.5143954753875732</v>
      </c>
      <c r="DM24" t="n" s="515">
        <v>1.5304497480392456</v>
      </c>
      <c r="DN24" t="n" s="515">
        <v>1.478356122970581</v>
      </c>
      <c r="DO24" t="n" s="515">
        <v>1.231300711631775</v>
      </c>
      <c r="DP24" t="n" s="515">
        <v>0.8240184187889099</v>
      </c>
      <c r="DQ24" t="n" s="515">
        <v>0.26546281576156616</v>
      </c>
      <c r="DR24" t="n" s="515">
        <v>-0.4554954767227173</v>
      </c>
      <c r="DS24" t="n" s="515">
        <v>-1.125016212463379</v>
      </c>
      <c r="DT24" t="n" s="515">
        <v>-1.4671763181686401</v>
      </c>
      <c r="DU24" t="n" s="515">
        <v>-1.604840636253357</v>
      </c>
      <c r="DV24" t="n" s="515">
        <v>-1.5332998037338257</v>
      </c>
      <c r="DW24" t="n" s="515">
        <v>-1.444562315940857</v>
      </c>
      <c r="DX24" t="n" s="515">
        <v>-1.1652348041534424</v>
      </c>
      <c r="DY24" t="n" s="515">
        <v>-0.9814298748970032</v>
      </c>
      <c r="DZ24" t="n" s="515">
        <v>-0.9064987301826477</v>
      </c>
      <c r="EA24" t="n" s="515">
        <v>-0.7570406198501587</v>
      </c>
      <c r="EB24" t="n" s="515">
        <v>-0.46914640069007874</v>
      </c>
      <c r="EC24" t="n" s="515">
        <v>-0.881311297416687</v>
      </c>
      <c r="ED24" t="n" s="515">
        <v>0.5540844798088074</v>
      </c>
      <c r="EE24" t="n" s="515">
        <v>0.9354656934738159</v>
      </c>
      <c r="EF24" t="n" s="515">
        <v>1.1503808498382568</v>
      </c>
      <c r="EG24" t="n" s="515">
        <v>1.2132506370544434</v>
      </c>
      <c r="EH24" t="n" s="515">
        <v>0.991328775882721</v>
      </c>
      <c r="EI24" t="n" s="515">
        <v>0.7072677612304688</v>
      </c>
      <c r="EJ24" t="n" s="515">
        <v>0.3356659412384033</v>
      </c>
      <c r="EK24" t="n" s="515">
        <v>-0.07087556272745132</v>
      </c>
      <c r="EL24" t="n" s="515">
        <v>-0.4814510643482208</v>
      </c>
      <c r="EM24" t="n" s="515">
        <v>-0.7313856482505798</v>
      </c>
      <c r="EN24" t="n" s="515">
        <v>-0.6736336350440979</v>
      </c>
      <c r="EO24" t="n" s="515">
        <v>-0.48673203587532043</v>
      </c>
      <c r="EP24" t="n" s="515">
        <v>-0.3879554271697998</v>
      </c>
      <c r="EQ24" t="n" s="515">
        <v>-0.3883400559425354</v>
      </c>
      <c r="ER24" t="n" s="515">
        <v>-0.5881474614143372</v>
      </c>
      <c r="ES24" t="n" s="515">
        <v>-0.9252638816833496</v>
      </c>
      <c r="ET24" t="n" s="515">
        <v>-1.3331037759780884</v>
      </c>
      <c r="EU24" t="n" s="515">
        <v>-1.5458838939666748</v>
      </c>
      <c r="EV24" t="n" s="515">
        <v>-1.5199050903320312</v>
      </c>
      <c r="EW24" t="n" s="515">
        <v>-1.2101109027862549</v>
      </c>
      <c r="EX24" t="n" s="515">
        <v>-0.6977661848068237</v>
      </c>
      <c r="EY24" t="n" s="515">
        <v>-0.08632201701402664</v>
      </c>
      <c r="EZ24" t="n" s="515">
        <v>0.3417036831378937</v>
      </c>
      <c r="FA24" t="n" s="515">
        <v>0.7999531626701355</v>
      </c>
      <c r="FB24" t="n" s="515">
        <v>1.1171804666519165</v>
      </c>
      <c r="FC24" t="n" s="515">
        <v>1.3235303163528442</v>
      </c>
      <c r="FD24" t="n" s="515">
        <v>1.4965993165969849</v>
      </c>
      <c r="FE24" t="n" s="515">
        <v>1.4313322305679321</v>
      </c>
      <c r="FF24" t="n" s="515">
        <v>1.3054531812667847</v>
      </c>
      <c r="FG24" t="n" s="515">
        <v>1.1939349174499512</v>
      </c>
      <c r="FH24" t="n" s="515">
        <v>1.2140960693359375</v>
      </c>
      <c r="FI24" t="n" s="515">
        <v>1.333036184310913</v>
      </c>
      <c r="FJ24" t="n" s="515">
        <v>1.26267409324646</v>
      </c>
      <c r="FK24" t="n" s="515">
        <v>1.264418363571167</v>
      </c>
      <c r="FL24" t="n" s="515">
        <v>1.3258496522903442</v>
      </c>
      <c r="FM24" t="n" s="515">
        <v>1.5907227993011475</v>
      </c>
      <c r="FN24" t="n" s="515">
        <v>2.0493457317352295</v>
      </c>
      <c r="FO24" t="n" s="515">
        <v>2.425921678543091</v>
      </c>
      <c r="FP24" t="n" s="515">
        <v>2.431185483932495</v>
      </c>
      <c r="FQ24" t="n" s="515">
        <v>2.258439302444458</v>
      </c>
      <c r="FR24" t="n" s="515">
        <v>1.8664867877960205</v>
      </c>
      <c r="FS24" t="n" s="515">
        <v>1.291412115097046</v>
      </c>
      <c r="FT24" t="n" s="515">
        <v>0.47254177927970886</v>
      </c>
      <c r="FU24" t="n" s="515">
        <v>-0.45800164341926575</v>
      </c>
      <c r="FV24" t="n" s="515">
        <v>-1.1955296993255615</v>
      </c>
      <c r="FW24" t="n" s="515">
        <v>-1.6123284101486206</v>
      </c>
      <c r="FX24" t="n" s="515">
        <v>-1.6498503684997559</v>
      </c>
      <c r="FY24" t="n" s="515">
        <v>-1.4287112951278687</v>
      </c>
      <c r="FZ24" t="n" s="515">
        <v>-1.1221809387207031</v>
      </c>
      <c r="GA24" t="n" s="515">
        <v>-0.8378425240516663</v>
      </c>
      <c r="GB24" t="n" s="515">
        <v>-0.6302549242973328</v>
      </c>
      <c r="GC24" t="n" s="515">
        <v>-0.5769755840301514</v>
      </c>
      <c r="GD24" t="n" s="515">
        <v>-0.598675012588501</v>
      </c>
      <c r="GE24" t="n" s="515">
        <v>-0.6156958937644958</v>
      </c>
      <c r="GF24" t="n" s="515">
        <v>-0.6729313135147095</v>
      </c>
      <c r="GG24" t="n" s="515">
        <v>-0.5202158093452454</v>
      </c>
      <c r="GH24" t="n" s="515">
        <v>-0.12189427018165588</v>
      </c>
      <c r="GI24" t="n" s="515">
        <v>0.35101109743118286</v>
      </c>
      <c r="GJ24" t="n" s="515">
        <v>0.6783406734466553</v>
      </c>
      <c r="GK24" t="n" s="515">
        <v>0.8708335161209106</v>
      </c>
      <c r="GL24" t="n" s="515">
        <v>0.9666823744773865</v>
      </c>
      <c r="GM24" t="n" s="515">
        <v>0.8950468897819519</v>
      </c>
      <c r="GN24" t="n" s="515">
        <v>0.7349751591682434</v>
      </c>
      <c r="GO24" t="n" s="515">
        <v>0.514808177947998</v>
      </c>
      <c r="GP24" t="n" s="515">
        <v>0.33507534861564636</v>
      </c>
      <c r="GQ24" t="n" s="515">
        <v>0.22811874747276306</v>
      </c>
      <c r="GR24" t="n" s="515">
        <v>0.1548895537853241</v>
      </c>
      <c r="GS24" t="n" s="515">
        <v>0.24372351169586182</v>
      </c>
      <c r="GT24" t="n" s="515">
        <v>0.33782514929771423</v>
      </c>
      <c r="GU24" t="n" s="515">
        <v>0.24430452287197113</v>
      </c>
      <c r="GV24" t="n" s="515">
        <v>-0.05726730078458786</v>
      </c>
      <c r="GW24" t="n" s="515">
        <v>-0.29242900013923645</v>
      </c>
      <c r="GX24" t="n" s="515">
        <v>-0.2767825722694397</v>
      </c>
      <c r="GY24" t="n" s="515">
        <v>-0.28687193989753723</v>
      </c>
      <c r="GZ24" t="n" s="515">
        <v>-0.4320722222328186</v>
      </c>
      <c r="HA24" t="n" s="515">
        <v>-0.3941018283367157</v>
      </c>
      <c r="HB24" t="n" s="515">
        <v>-0.5189178586006165</v>
      </c>
      <c r="HC24" t="n" s="515">
        <v>-0.590147078037262</v>
      </c>
      <c r="HD24" t="n" s="515">
        <v>-0.6972784399986267</v>
      </c>
      <c r="HE24" t="n" s="515">
        <v>-0.8416280150413513</v>
      </c>
      <c r="HF24" t="n" s="515">
        <v>-1.0318681001663208</v>
      </c>
      <c r="HG24" t="n" s="515">
        <v>-0.9574354887008667</v>
      </c>
      <c r="HH24" t="n" s="515">
        <v>-0.7321439385414124</v>
      </c>
      <c r="HI24" t="n" s="515">
        <v>-0.4980606436729431</v>
      </c>
      <c r="HJ24" t="n" s="515">
        <v>-0.15932199358940125</v>
      </c>
      <c r="HK24" t="n" s="515">
        <v>0.29232263565063477</v>
      </c>
      <c r="HL24" t="n" s="515">
        <v>0.7655234932899475</v>
      </c>
      <c r="HM24" t="n" s="515">
        <v>1.1320141553878784</v>
      </c>
      <c r="HN24" t="n" s="515">
        <v>1.4594279527664185</v>
      </c>
      <c r="HO24" t="n" s="515">
        <v>1.730049967765808</v>
      </c>
      <c r="HP24" t="n" s="515">
        <v>2.0535547733306885</v>
      </c>
      <c r="HQ24" t="n" s="515">
        <v>2.36792254447937</v>
      </c>
      <c r="HR24" t="n" s="515">
        <v>2.3397700786590576</v>
      </c>
      <c r="HS24" t="n" s="515">
        <v>2.4687163829803467</v>
      </c>
      <c r="HT24" t="n" s="515">
        <v>2.490234851837158</v>
      </c>
      <c r="HU24" t="n" s="515">
        <v>2.3676843643188477</v>
      </c>
      <c r="HV24" t="n" s="515">
        <v>2.059122323989868</v>
      </c>
      <c r="HW24" t="n" s="515">
        <v>1.7239593267440796</v>
      </c>
      <c r="HX24" t="n" s="515">
        <v>1.572831153869629</v>
      </c>
      <c r="HY24" t="n" s="515">
        <v>1.6336923837661743</v>
      </c>
      <c r="HZ24" t="n" s="515">
        <v>1.834718108177185</v>
      </c>
      <c r="IA24" t="n" s="515">
        <v>1.9327441453933716</v>
      </c>
      <c r="IB24" t="n" s="515">
        <v>1.9745529890060425</v>
      </c>
      <c r="IC24" t="n" s="515">
        <v>1.9121925830841064</v>
      </c>
    </row>
    <row r="25">
      <c r="A25" s="514">
        <f>A24+ABS(B25-B24)</f>
      </c>
      <c r="B25" s="514">
        <f>540.0/12</f>
      </c>
      <c r="C25" t="n" s="514">
        <v>540.0</v>
      </c>
      <c r="D25" t="n" s="515">
        <v>1.0186049938201904</v>
      </c>
      <c r="E25" t="n" s="515">
        <v>0.6155596971511841</v>
      </c>
      <c r="F25" t="n" s="515">
        <v>0.46771928668022156</v>
      </c>
      <c r="G25" t="n" s="515">
        <v>0.7211654186248779</v>
      </c>
      <c r="H25" t="n" s="515">
        <v>0.9587273001670837</v>
      </c>
      <c r="I25" t="n" s="515">
        <v>1.1924799680709839</v>
      </c>
      <c r="J25" t="n" s="515">
        <v>1.4118120670318604</v>
      </c>
      <c r="K25" t="n" s="515">
        <v>1.3741827011108398</v>
      </c>
      <c r="L25" t="n" s="515">
        <v>1.070542573928833</v>
      </c>
      <c r="M25" t="n" s="515">
        <v>0.5626163482666016</v>
      </c>
      <c r="N25" t="n" s="515">
        <v>0.23774226009845734</v>
      </c>
      <c r="O25" t="n" s="515">
        <v>0.20752708613872528</v>
      </c>
      <c r="P25" t="n" s="515">
        <v>0.3004525601863861</v>
      </c>
      <c r="Q25" t="n" s="515">
        <v>0.42971089482307434</v>
      </c>
      <c r="R25" t="n" s="515">
        <v>0.3041362464427948</v>
      </c>
      <c r="S25" t="n" s="515">
        <v>-0.018167385831475258</v>
      </c>
      <c r="T25" t="n" s="515">
        <v>-0.39529839158058167</v>
      </c>
      <c r="U25" t="n" s="515">
        <v>-0.8971782326698303</v>
      </c>
      <c r="V25" t="n" s="515">
        <v>-1.3779677152633667</v>
      </c>
      <c r="W25" t="n" s="515">
        <v>-1.8456724882125854</v>
      </c>
      <c r="X25" t="n" s="515">
        <v>-2.198686361312866</v>
      </c>
      <c r="Y25" t="n" s="515">
        <v>-2.4532077312469482</v>
      </c>
      <c r="Z25" t="n" s="515">
        <v>-2.4117302894592285</v>
      </c>
      <c r="AA25" t="n" s="515">
        <v>-2.2368826866149902</v>
      </c>
      <c r="AB25" t="n" s="515">
        <v>-1.933320164680481</v>
      </c>
      <c r="AC25" t="n" s="515">
        <v>-1.7298966646194458</v>
      </c>
      <c r="AD25" t="n" s="515">
        <v>-1.56411612033844</v>
      </c>
      <c r="AE25" t="n" s="515">
        <v>-1.443233847618103</v>
      </c>
      <c r="AF25" t="n" s="515">
        <v>-1.364891529083252</v>
      </c>
      <c r="AG25" t="n" s="515">
        <v>-1.0376442670822144</v>
      </c>
      <c r="AH25" t="n" s="515">
        <v>-0.6586876511573792</v>
      </c>
      <c r="AI25" t="n" s="515">
        <v>-0.10662375390529633</v>
      </c>
      <c r="AJ25" t="n" s="515">
        <v>0.3939300775527954</v>
      </c>
      <c r="AK25" t="n" s="515">
        <v>0.8214257955551147</v>
      </c>
      <c r="AL25" t="n" s="515">
        <v>0.44260451197624207</v>
      </c>
      <c r="AM25" t="n" s="515">
        <v>1.2658073902130127</v>
      </c>
      <c r="AN25" t="n" s="515">
        <v>1.4621617794036865</v>
      </c>
      <c r="AO25" t="n" s="515">
        <v>1.5810860395431519</v>
      </c>
      <c r="AP25" t="n" s="515">
        <v>1.7287160158157349</v>
      </c>
      <c r="AQ25" t="n" s="515">
        <v>1.9451569318771362</v>
      </c>
      <c r="AR25" t="n" s="515">
        <v>2.388551950454712</v>
      </c>
      <c r="AS25" t="n" s="515">
        <v>2.6258726119995117</v>
      </c>
      <c r="AT25" t="n" s="515">
        <v>2.7389392852783203</v>
      </c>
      <c r="AU25" t="n" s="515">
        <v>2.623680353164673</v>
      </c>
      <c r="AV25" t="n" s="515">
        <v>2.3657734394073486</v>
      </c>
      <c r="AW25" t="n" s="515">
        <v>2.064223289489746</v>
      </c>
      <c r="AX25" t="n" s="515">
        <v>1.8444617986679077</v>
      </c>
      <c r="AY25" t="n" s="515">
        <v>1.8492568731307983</v>
      </c>
      <c r="AZ25" t="n" s="515">
        <v>2.0199673175811768</v>
      </c>
      <c r="BA25" t="n" s="515">
        <v>2.194728374481201</v>
      </c>
      <c r="BB25" t="n" s="515">
        <v>2.1972110271453857</v>
      </c>
      <c r="BC25" t="n" s="515">
        <v>2.102287530899048</v>
      </c>
      <c r="BD25" t="n" s="515">
        <v>1.938727617263794</v>
      </c>
      <c r="BE25" t="n" s="515">
        <v>1.7038493156433105</v>
      </c>
      <c r="BF25" t="n" s="515">
        <v>1.5190098285675049</v>
      </c>
      <c r="BG25" t="n" s="515">
        <v>1.5138920545578003</v>
      </c>
      <c r="BH25" t="n" s="515">
        <v>1.5965462923049927</v>
      </c>
      <c r="BI25" t="n" s="515">
        <v>1.7038530111312866</v>
      </c>
      <c r="BJ25" t="n" s="515">
        <v>1.8252747058868408</v>
      </c>
      <c r="BK25" t="n" s="515">
        <v>1.8972021341323853</v>
      </c>
      <c r="BL25" t="n" s="515">
        <v>1.8376445770263672</v>
      </c>
      <c r="BM25" t="n" s="515">
        <v>1.602853775024414</v>
      </c>
      <c r="BN25" t="n" s="515">
        <v>1.2763220071792603</v>
      </c>
      <c r="BO25" t="n" s="515">
        <v>0.7875947952270508</v>
      </c>
      <c r="BP25" t="n" s="515">
        <v>0.5499781966209412</v>
      </c>
      <c r="BQ25" t="n" s="515">
        <v>0.41324499249458313</v>
      </c>
      <c r="BR25" t="n" s="515">
        <v>0.3977246582508087</v>
      </c>
      <c r="BS25" t="n" s="515">
        <v>0.5441153645515442</v>
      </c>
      <c r="BT25" t="n" s="515">
        <v>0.5730392932891846</v>
      </c>
      <c r="BU25" t="n" s="515">
        <v>0.5289493203163147</v>
      </c>
      <c r="BV25" t="n" s="515">
        <v>0.38682061433792114</v>
      </c>
      <c r="BW25" t="n" s="515">
        <v>0.21588453650474548</v>
      </c>
      <c r="BX25" t="n" s="515">
        <v>-0.25517377257347107</v>
      </c>
      <c r="BY25" t="n" s="515">
        <v>0.09590611606836319</v>
      </c>
      <c r="BZ25" t="n" s="515">
        <v>0.06152740493416786</v>
      </c>
      <c r="CA25" t="n" s="515">
        <v>-0.10279829800128937</v>
      </c>
      <c r="CB25" t="n" s="515">
        <v>-0.16422007977962494</v>
      </c>
      <c r="CC25" t="n" s="515">
        <v>0.029305942356586456</v>
      </c>
      <c r="CD25" t="n" s="515">
        <v>0.08335598558187485</v>
      </c>
      <c r="CE25" t="n" s="515">
        <v>0.0279005765914917</v>
      </c>
      <c r="CF25" t="n" s="515">
        <v>-0.047450486570596695</v>
      </c>
      <c r="CG25" t="n" s="515">
        <v>-0.1893877387046814</v>
      </c>
      <c r="CH25" t="n" s="515">
        <v>-0.48268958926200867</v>
      </c>
      <c r="CI25" t="n" s="515">
        <v>-0.7589210271835327</v>
      </c>
      <c r="CJ25" t="n" s="515">
        <v>-1.0054595470428467</v>
      </c>
      <c r="CK25" t="n" s="515">
        <v>-1.1892937421798706</v>
      </c>
      <c r="CL25" t="n" s="515">
        <v>-0.9956198334693909</v>
      </c>
      <c r="CM25" t="n" s="515">
        <v>-0.34379443526268005</v>
      </c>
      <c r="CN25" t="n" s="515">
        <v>0.5223147869110107</v>
      </c>
      <c r="CO25" t="n" s="515">
        <v>1.1588413715362549</v>
      </c>
      <c r="CP25" t="n" s="515">
        <v>1.5085334777832031</v>
      </c>
      <c r="CQ25" t="n" s="515">
        <v>1.58356511592865</v>
      </c>
      <c r="CR25" t="n" s="515">
        <v>1.3179103136062622</v>
      </c>
      <c r="CS25" t="n" s="515">
        <v>0.26682740449905396</v>
      </c>
      <c r="CT25" t="n" s="515">
        <v>1.2771575450897217</v>
      </c>
      <c r="CU25" t="n" s="515">
        <v>1.6962326765060425</v>
      </c>
      <c r="CV25" t="n" s="515">
        <v>1.8572474718093872</v>
      </c>
      <c r="CW25" t="n" s="515">
        <v>1.8450511693954468</v>
      </c>
      <c r="CX25" t="n" s="515">
        <v>1.8082387447357178</v>
      </c>
      <c r="CY25" t="n" s="515">
        <v>1.7560970783233643</v>
      </c>
      <c r="CZ25" t="n" s="515">
        <v>1.6444121599197388</v>
      </c>
      <c r="DA25" t="n" s="515">
        <v>1.5513056516647339</v>
      </c>
      <c r="DB25" t="n" s="515">
        <v>1.4024121761322021</v>
      </c>
      <c r="DC25" t="n" s="515">
        <v>1.2641011476516724</v>
      </c>
      <c r="DD25" t="n" s="515">
        <v>0.5161749720573425</v>
      </c>
      <c r="DE25" t="n" s="515">
        <v>-1.8279201984405518</v>
      </c>
      <c r="DF25" t="n" s="515">
        <v>0.5190011858940125</v>
      </c>
      <c r="DG25" t="n" s="515">
        <v>0.27217572927474976</v>
      </c>
      <c r="DH25" t="n" s="515">
        <v>-0.11079602688550949</v>
      </c>
      <c r="DI25" t="n" s="515">
        <v>-0.26107561588287354</v>
      </c>
      <c r="DJ25" t="n" s="515">
        <v>0.16843527555465698</v>
      </c>
      <c r="DK25" t="n" s="515">
        <v>1.0659886598587036</v>
      </c>
      <c r="DL25" t="n" s="515">
        <v>1.9941139221191406</v>
      </c>
      <c r="DM25" t="n" s="515">
        <v>2.0982797145843506</v>
      </c>
      <c r="DN25" t="n" s="515">
        <v>1.9959932565689087</v>
      </c>
      <c r="DO25" t="n" s="515">
        <v>1.6264201402664185</v>
      </c>
      <c r="DP25" t="n" s="515">
        <v>1.1087896823883057</v>
      </c>
      <c r="DQ25" t="n" s="515">
        <v>0.3272183835506439</v>
      </c>
      <c r="DR25" t="n" s="515">
        <v>-0.5545228123664856</v>
      </c>
      <c r="DS25" t="n" s="515">
        <v>-1.3103854656219482</v>
      </c>
      <c r="DT25" t="n" s="515">
        <v>-1.6084202527999878</v>
      </c>
      <c r="DU25" t="n" s="515">
        <v>-1.6428800821304321</v>
      </c>
      <c r="DV25" t="n" s="515">
        <v>-1.4631714820861816</v>
      </c>
      <c r="DW25" t="n" s="515">
        <v>-1.3234390020370483</v>
      </c>
      <c r="DX25" t="n" s="515">
        <v>-1.1737573146820068</v>
      </c>
      <c r="DY25" t="n" s="515">
        <v>-1.1906760931015015</v>
      </c>
      <c r="DZ25" t="n" s="515">
        <v>-1.3124148845672607</v>
      </c>
      <c r="EA25" t="n" s="515">
        <v>-1.2011131048202515</v>
      </c>
      <c r="EB25" t="n" s="515">
        <v>-0.7251500487327576</v>
      </c>
      <c r="EC25" t="n" s="515">
        <v>-0.8012804985046387</v>
      </c>
      <c r="ED25" t="n" s="515">
        <v>0.9527890086174011</v>
      </c>
      <c r="EE25" t="n" s="515">
        <v>1.7619622945785522</v>
      </c>
      <c r="EF25" t="n" s="515">
        <v>2.0779619216918945</v>
      </c>
      <c r="EG25" t="n" s="515">
        <v>2.138672351837158</v>
      </c>
      <c r="EH25" t="n" s="515">
        <v>1.7431987524032593</v>
      </c>
      <c r="EI25" t="n" s="515">
        <v>1.2352439165115356</v>
      </c>
      <c r="EJ25" t="n" s="515">
        <v>0.6594835519790649</v>
      </c>
      <c r="EK25" t="n" s="515">
        <v>0.02492566592991352</v>
      </c>
      <c r="EL25" t="n" s="515">
        <v>-0.5616562962532043</v>
      </c>
      <c r="EM25" t="n" s="515">
        <v>-0.8473912477493286</v>
      </c>
      <c r="EN25" t="n" s="515">
        <v>-0.6103664636611938</v>
      </c>
      <c r="EO25" t="n" s="515">
        <v>-0.24813950061798096</v>
      </c>
      <c r="EP25" t="n" s="515">
        <v>-0.06714262068271637</v>
      </c>
      <c r="EQ25" t="n" s="515">
        <v>-0.11562786251306534</v>
      </c>
      <c r="ER25" t="n" s="515">
        <v>-0.4297714829444885</v>
      </c>
      <c r="ES25" t="n" s="515">
        <v>-0.9201724529266357</v>
      </c>
      <c r="ET25" t="n" s="515">
        <v>-1.4570395946502686</v>
      </c>
      <c r="EU25" t="n" s="515">
        <v>-1.748187780380249</v>
      </c>
      <c r="EV25" t="n" s="515">
        <v>-1.7779603004455566</v>
      </c>
      <c r="EW25" t="n" s="515">
        <v>-1.261924386024475</v>
      </c>
      <c r="EX25" t="n" s="515">
        <v>-0.5798206329345703</v>
      </c>
      <c r="EY25" t="n" s="515">
        <v>0.03805580362677574</v>
      </c>
      <c r="EZ25" t="n" s="515">
        <v>0.3310265839099884</v>
      </c>
      <c r="FA25" t="n" s="515">
        <v>0.808864951133728</v>
      </c>
      <c r="FB25" t="n" s="515">
        <v>1.0961660146713257</v>
      </c>
      <c r="FC25" t="n" s="515">
        <v>1.4931695461273193</v>
      </c>
      <c r="FD25" t="n" s="515">
        <v>1.8214352130889893</v>
      </c>
      <c r="FE25" t="n" s="515">
        <v>1.8381164073944092</v>
      </c>
      <c r="FF25" t="n" s="515">
        <v>1.683144450187683</v>
      </c>
      <c r="FG25" t="n" s="515">
        <v>1.5023977756500244</v>
      </c>
      <c r="FH25" t="n" s="515">
        <v>1.4047788381576538</v>
      </c>
      <c r="FI25" t="n" s="515">
        <v>1.3286395072937012</v>
      </c>
      <c r="FJ25" t="n" s="515">
        <v>1.0612493753433228</v>
      </c>
      <c r="FK25" t="n" s="515">
        <v>0.9351816177368164</v>
      </c>
      <c r="FL25" t="n" s="515">
        <v>1.1360398530960083</v>
      </c>
      <c r="FM25" t="n" s="515">
        <v>1.6737563610076904</v>
      </c>
      <c r="FN25" t="n" s="515">
        <v>2.35292387008667</v>
      </c>
      <c r="FO25" t="n" s="515">
        <v>2.945472240447998</v>
      </c>
      <c r="FP25" t="n" s="515">
        <v>3.098940372467041</v>
      </c>
      <c r="FQ25" t="n" s="515">
        <v>2.882215738296509</v>
      </c>
      <c r="FR25" t="n" s="515">
        <v>2.3689510822296143</v>
      </c>
      <c r="FS25" t="n" s="515">
        <v>1.6461491584777832</v>
      </c>
      <c r="FT25" t="n" s="515">
        <v>0.6878587603569031</v>
      </c>
      <c r="FU25" t="n" s="515">
        <v>-0.4485672414302826</v>
      </c>
      <c r="FV25" t="n" s="515">
        <v>-1.280171275138855</v>
      </c>
      <c r="FW25" t="n" s="515">
        <v>-1.7210826873779297</v>
      </c>
      <c r="FX25" t="n" s="515">
        <v>-1.6481677293777466</v>
      </c>
      <c r="FY25" t="n" s="515">
        <v>-1.3115158081054688</v>
      </c>
      <c r="FZ25" t="n" s="515">
        <v>-1.0199005603790283</v>
      </c>
      <c r="GA25" t="n" s="515">
        <v>-0.8500527143478394</v>
      </c>
      <c r="GB25" t="n" s="515">
        <v>-0.8171370029449463</v>
      </c>
      <c r="GC25" t="n" s="515">
        <v>-0.9098204970359802</v>
      </c>
      <c r="GD25" t="n" s="515">
        <v>-0.9343075752258301</v>
      </c>
      <c r="GE25" t="n" s="515">
        <v>-0.8890666961669922</v>
      </c>
      <c r="GF25" t="n" s="515">
        <v>-0.934328556060791</v>
      </c>
      <c r="GG25" t="n" s="515">
        <v>-0.5129655599594116</v>
      </c>
      <c r="GH25" t="n" s="515">
        <v>0.1614965796470642</v>
      </c>
      <c r="GI25" t="n" s="515">
        <v>0.7983517646789551</v>
      </c>
      <c r="GJ25" t="n" s="515">
        <v>1.195677399635315</v>
      </c>
      <c r="GK25" t="n" s="515">
        <v>1.3502976894378662</v>
      </c>
      <c r="GL25" t="n" s="515">
        <v>1.2833172082901</v>
      </c>
      <c r="GM25" t="n" s="515">
        <v>1.080278992652893</v>
      </c>
      <c r="GN25" t="n" s="515">
        <v>0.8549304604530334</v>
      </c>
      <c r="GO25" t="n" s="515">
        <v>0.5754168033599854</v>
      </c>
      <c r="GP25" t="n" s="515">
        <v>0.38748636841773987</v>
      </c>
      <c r="GQ25" t="n" s="515">
        <v>0.37986862659454346</v>
      </c>
      <c r="GR25" t="n" s="515">
        <v>0.41746091842651367</v>
      </c>
      <c r="GS25" t="n" s="515">
        <v>0.4687635600566864</v>
      </c>
      <c r="GT25" t="n" s="515">
        <v>0.423589825630188</v>
      </c>
      <c r="GU25" t="n" s="515">
        <v>0.07297351211309433</v>
      </c>
      <c r="GV25" t="n" s="515">
        <v>-0.423689603805542</v>
      </c>
      <c r="GW25" t="n" s="515">
        <v>-0.7323126792907715</v>
      </c>
      <c r="GX25" t="n" s="515">
        <v>-0.6288755536079407</v>
      </c>
      <c r="GY25" t="n" s="515">
        <v>-0.2195013016462326</v>
      </c>
      <c r="GZ25" t="n" s="515">
        <v>0.09496404975652695</v>
      </c>
      <c r="HA25" t="n" s="515">
        <v>0.3058589696884155</v>
      </c>
      <c r="HB25" t="n" s="515">
        <v>0.22567307949066162</v>
      </c>
      <c r="HC25" t="n" s="515">
        <v>-0.025190168991684914</v>
      </c>
      <c r="HD25" t="n" s="515">
        <v>-0.3340485095977783</v>
      </c>
      <c r="HE25" t="n" s="515">
        <v>-0.6775792837142944</v>
      </c>
      <c r="HF25" t="n" s="515">
        <v>-1.109726905822754</v>
      </c>
      <c r="HG25" t="n" s="515">
        <v>-0.9899497032165527</v>
      </c>
      <c r="HH25" t="n" s="515">
        <v>-0.594961404800415</v>
      </c>
      <c r="HI25" t="n" s="515">
        <v>-0.21549704670906067</v>
      </c>
      <c r="HJ25" t="n" s="515">
        <v>0.10532571375370026</v>
      </c>
      <c r="HK25" t="n" s="515">
        <v>0.43570446968078613</v>
      </c>
      <c r="HL25" t="n" s="515">
        <v>0.6894227862358093</v>
      </c>
      <c r="HM25" t="n" s="515">
        <v>0.9487079381942749</v>
      </c>
      <c r="HN25" t="n" s="515">
        <v>1.2848283052444458</v>
      </c>
      <c r="HO25" t="n" s="515">
        <v>1.7931312322616577</v>
      </c>
      <c r="HP25" t="n" s="515">
        <v>2.342200994491577</v>
      </c>
      <c r="HQ25" t="n" s="515">
        <v>2.8284225463867188</v>
      </c>
      <c r="HR25" t="n" s="515">
        <v>3.1742472648620605</v>
      </c>
      <c r="HS25" t="n" s="515">
        <v>3.3986642360687256</v>
      </c>
      <c r="HT25" t="n" s="515">
        <v>3.389786958694458</v>
      </c>
      <c r="HU25" t="n" s="515">
        <v>3.0841445922851562</v>
      </c>
      <c r="HV25" t="n" s="515">
        <v>2.611891746520996</v>
      </c>
      <c r="HW25" t="n" s="515">
        <v>2.052450180053711</v>
      </c>
      <c r="HX25" t="n" s="515">
        <v>1.7285033464431763</v>
      </c>
      <c r="HY25" t="n" s="515">
        <v>1.6686084270477295</v>
      </c>
      <c r="HZ25" t="n" s="515">
        <v>1.7991423606872559</v>
      </c>
      <c r="IA25" t="n" s="515">
        <v>1.8941670656204224</v>
      </c>
      <c r="IB25" t="n" s="515">
        <v>1.9320063591003418</v>
      </c>
      <c r="IC25" t="n" s="515">
        <v>1.9069099426269531</v>
      </c>
    </row>
    <row r="26">
      <c r="A26" s="514">
        <f>A25+ABS(B26-B25)</f>
      </c>
      <c r="B26" s="514">
        <f>564.0/12</f>
      </c>
      <c r="C26" t="n" s="514">
        <v>564.0</v>
      </c>
      <c r="D26" t="n" s="515">
        <v>0.9945711493492126</v>
      </c>
      <c r="E26" t="n" s="515">
        <v>0.5378603339195251</v>
      </c>
      <c r="F26" t="n" s="515">
        <v>0.3962222933769226</v>
      </c>
      <c r="G26" t="n" s="515">
        <v>0.5698390603065491</v>
      </c>
      <c r="H26" t="n" s="515">
        <v>1.0118647813796997</v>
      </c>
      <c r="I26" t="n" s="515">
        <v>1.4079183340072632</v>
      </c>
      <c r="J26" t="n" s="515">
        <v>1.7470978498458862</v>
      </c>
      <c r="K26" t="n" s="515">
        <v>1.7291746139526367</v>
      </c>
      <c r="L26" t="n" s="515">
        <v>1.2963945865631104</v>
      </c>
      <c r="M26" t="n" s="515">
        <v>0.584003746509552</v>
      </c>
      <c r="N26" t="n" s="515">
        <v>0.38216614723205566</v>
      </c>
      <c r="O26" t="n" s="515">
        <v>0.5125533938407898</v>
      </c>
      <c r="P26" t="n" s="515">
        <v>0.9643110036849976</v>
      </c>
      <c r="Q26" t="n" s="515">
        <v>1.272605538368225</v>
      </c>
      <c r="R26" t="n" s="515">
        <v>1.0655022859573364</v>
      </c>
      <c r="S26" t="n" s="515">
        <v>0.5084646940231323</v>
      </c>
      <c r="T26" t="n" s="515">
        <v>-0.15449124574661255</v>
      </c>
      <c r="U26" t="n" s="515">
        <v>-0.8254362344741821</v>
      </c>
      <c r="V26" t="n" s="515">
        <v>-1.4743151664733887</v>
      </c>
      <c r="W26" t="n" s="515">
        <v>-2.097541332244873</v>
      </c>
      <c r="X26" t="n" s="515">
        <v>-2.6457531452178955</v>
      </c>
      <c r="Y26" t="n" s="515">
        <v>-2.8827781677246094</v>
      </c>
      <c r="Z26" t="n" s="515">
        <v>-2.5603387355804443</v>
      </c>
      <c r="AA26" t="n" s="515">
        <v>-2.117884874343872</v>
      </c>
      <c r="AB26" t="n" s="515">
        <v>-1.623378038406372</v>
      </c>
      <c r="AC26" t="n" s="515">
        <v>-1.339671015739441</v>
      </c>
      <c r="AD26" t="n" s="515">
        <v>-1.1104309558868408</v>
      </c>
      <c r="AE26" t="n" s="515">
        <v>-1.0548824071884155</v>
      </c>
      <c r="AF26" t="n" s="515">
        <v>-0.8903587460517883</v>
      </c>
      <c r="AG26" t="n" s="515">
        <v>-0.5141374468803406</v>
      </c>
      <c r="AH26" t="n" s="515">
        <v>-0.14500753581523895</v>
      </c>
      <c r="AI26" t="n" s="515">
        <v>0.39885658025741577</v>
      </c>
      <c r="AJ26" t="n" s="515">
        <v>0.9076790809631348</v>
      </c>
      <c r="AK26" t="n" s="515">
        <v>1.1577987670898438</v>
      </c>
      <c r="AL26" t="n" s="515">
        <v>0.5719921588897705</v>
      </c>
      <c r="AM26" t="n" s="515">
        <v>1.3470686674118042</v>
      </c>
      <c r="AN26" t="n" s="515">
        <v>1.5048868656158447</v>
      </c>
      <c r="AO26" t="n" s="515">
        <v>1.6120198965072632</v>
      </c>
      <c r="AP26" t="n" s="515">
        <v>1.8676552772521973</v>
      </c>
      <c r="AQ26" t="n" s="515">
        <v>2.2104268074035645</v>
      </c>
      <c r="AR26" t="n" s="515">
        <v>2.8090689182281494</v>
      </c>
      <c r="AS26" t="n" s="515">
        <v>3.32731294631958</v>
      </c>
      <c r="AT26" t="n" s="515">
        <v>3.539071798324585</v>
      </c>
      <c r="AU26" t="n" s="515">
        <v>3.3903281688690186</v>
      </c>
      <c r="AV26" t="n" s="515">
        <v>2.9998292922973633</v>
      </c>
      <c r="AW26" t="n" s="515">
        <v>2.464195966720581</v>
      </c>
      <c r="AX26" t="n" s="515">
        <v>2.1794183254241943</v>
      </c>
      <c r="AY26" t="n" s="515">
        <v>2.2628173828125</v>
      </c>
      <c r="AZ26" t="n" s="515">
        <v>2.5020153522491455</v>
      </c>
      <c r="BA26" t="n" s="515">
        <v>2.7214739322662354</v>
      </c>
      <c r="BB26" t="n" s="515">
        <v>2.659719944000244</v>
      </c>
      <c r="BC26" t="n" s="515">
        <v>2.3524653911590576</v>
      </c>
      <c r="BD26" t="n" s="515">
        <v>2.020843982696533</v>
      </c>
      <c r="BE26" t="n" s="515">
        <v>1.6867815256118774</v>
      </c>
      <c r="BF26" t="n" s="515">
        <v>1.3767775297164917</v>
      </c>
      <c r="BG26" t="n" s="515">
        <v>1.3514288663864136</v>
      </c>
      <c r="BH26" t="n" s="515">
        <v>1.5250846147537231</v>
      </c>
      <c r="BI26" t="n" s="515">
        <v>1.803619384765625</v>
      </c>
      <c r="BJ26" t="n" s="515">
        <v>2.057978868484497</v>
      </c>
      <c r="BK26" t="n" s="515">
        <v>2.20044207572937</v>
      </c>
      <c r="BL26" t="n" s="515">
        <v>2.2491836547851562</v>
      </c>
      <c r="BM26" t="n" s="515">
        <v>1.8218520879745483</v>
      </c>
      <c r="BN26" t="n" s="515">
        <v>1.3816472291946411</v>
      </c>
      <c r="BO26" t="n" s="515">
        <v>0.8634718656539917</v>
      </c>
      <c r="BP26" t="n" s="515">
        <v>0.4908604025840759</v>
      </c>
      <c r="BQ26" t="n" s="515">
        <v>0.4602031111717224</v>
      </c>
      <c r="BR26" t="n" s="515">
        <v>0.47982633113861084</v>
      </c>
      <c r="BS26" t="n" s="515">
        <v>0.6057144999504089</v>
      </c>
      <c r="BT26" t="n" s="515">
        <v>0.6721063852310181</v>
      </c>
      <c r="BU26" t="n" s="515">
        <v>0.595832109451294</v>
      </c>
      <c r="BV26" t="n" s="515">
        <v>0.4392954707145691</v>
      </c>
      <c r="BW26" t="n" s="515">
        <v>0.3453616201877594</v>
      </c>
      <c r="BX26" t="n" s="515">
        <v>-0.10360341519117355</v>
      </c>
      <c r="BY26" t="n" s="515">
        <v>0.19790640473365784</v>
      </c>
      <c r="BZ26" t="n" s="515">
        <v>0.3430752456188202</v>
      </c>
      <c r="CA26" t="n" s="515">
        <v>0.3295387625694275</v>
      </c>
      <c r="CB26" t="n" s="515">
        <v>0.31753912568092346</v>
      </c>
      <c r="CC26" t="n" s="515">
        <v>0.47958511114120483</v>
      </c>
      <c r="CD26" t="n" s="515">
        <v>0.5018502473831177</v>
      </c>
      <c r="CE26" t="n" s="515">
        <v>0.2745083272457123</v>
      </c>
      <c r="CF26" t="n" s="515">
        <v>0.11935190856456757</v>
      </c>
      <c r="CG26" t="n" s="515">
        <v>-0.10469458252191544</v>
      </c>
      <c r="CH26" t="n" s="515">
        <v>-0.42952919006347656</v>
      </c>
      <c r="CI26" t="n" s="515">
        <v>-0.6352067589759827</v>
      </c>
      <c r="CJ26" t="n" s="515">
        <v>-0.9532482028007507</v>
      </c>
      <c r="CK26" t="n" s="515">
        <v>-1.2287242412567139</v>
      </c>
      <c r="CL26" t="n" s="515">
        <v>-1.0332070589065552</v>
      </c>
      <c r="CM26" t="n" s="515">
        <v>-0.31768256425857544</v>
      </c>
      <c r="CN26" t="n" s="515">
        <v>0.47679582238197327</v>
      </c>
      <c r="CO26" t="n" s="515">
        <v>1.1892467737197876</v>
      </c>
      <c r="CP26" t="n" s="515">
        <v>1.714322805404663</v>
      </c>
      <c r="CQ26" t="n" s="515">
        <v>1.8585491180419922</v>
      </c>
      <c r="CR26" t="n" s="515">
        <v>1.6054970026016235</v>
      </c>
      <c r="CS26" t="n" s="515">
        <v>0.2321953922510147</v>
      </c>
      <c r="CT26" t="n" s="515">
        <v>1.6288992166519165</v>
      </c>
      <c r="CU26" t="n" s="515">
        <v>2.0862343311309814</v>
      </c>
      <c r="CV26" t="n" s="515">
        <v>2.427367687225342</v>
      </c>
      <c r="CW26" t="n" s="515">
        <v>2.5694057941436768</v>
      </c>
      <c r="CX26" t="n" s="515">
        <v>2.303319215774536</v>
      </c>
      <c r="CY26" t="n" s="515">
        <v>2.089599609375</v>
      </c>
      <c r="CZ26" t="n" s="515">
        <v>1.9892966747283936</v>
      </c>
      <c r="DA26" t="n" s="515">
        <v>2.0630042552948</v>
      </c>
      <c r="DB26" t="n" s="515">
        <v>1.8347326517105103</v>
      </c>
      <c r="DC26" t="n" s="515">
        <v>0.9603903293609619</v>
      </c>
      <c r="DD26" t="n" s="515">
        <v>-1.0836728811264038</v>
      </c>
      <c r="DE26" t="n" s="515">
        <v>1.043084740638733</v>
      </c>
      <c r="DF26" t="n" s="515">
        <v>0.7570433020591736</v>
      </c>
      <c r="DG26" t="n" s="515">
        <v>0.2415686547756195</v>
      </c>
      <c r="DH26" t="n" s="515">
        <v>-0.3579499423503876</v>
      </c>
      <c r="DI26" t="n" s="515">
        <v>-0.5455693006515503</v>
      </c>
      <c r="DJ26" t="n" s="515">
        <v>0.049045126885175705</v>
      </c>
      <c r="DK26" t="n" s="515">
        <v>1.1753647327423096</v>
      </c>
      <c r="DL26" t="n" s="515">
        <v>2.1396028995513916</v>
      </c>
      <c r="DM26" t="n" s="515">
        <v>2.301975727081299</v>
      </c>
      <c r="DN26" t="n" s="515">
        <v>2.154982089996338</v>
      </c>
      <c r="DO26" t="n" s="515">
        <v>1.7170543670654297</v>
      </c>
      <c r="DP26" t="n" s="515">
        <v>1.125826358795166</v>
      </c>
      <c r="DQ26" t="n" s="515">
        <v>0.2925208508968353</v>
      </c>
      <c r="DR26" t="n" s="515">
        <v>-0.6570635437965393</v>
      </c>
      <c r="DS26" t="n" s="515">
        <v>-1.3697381019592285</v>
      </c>
      <c r="DT26" t="n" s="515">
        <v>-1.6659533977508545</v>
      </c>
      <c r="DU26" t="n" s="515">
        <v>-1.6282758712768555</v>
      </c>
      <c r="DV26" t="n" s="515">
        <v>-1.421212077140808</v>
      </c>
      <c r="DW26" t="n" s="515">
        <v>-1.195027232170105</v>
      </c>
      <c r="DX26" t="n" s="515">
        <v>-1.1697522401809692</v>
      </c>
      <c r="DY26" t="n" s="515">
        <v>-1.247265338897705</v>
      </c>
      <c r="DZ26" t="n" s="515">
        <v>-1.4015392065048218</v>
      </c>
      <c r="EA26" t="n" s="515">
        <v>-1.3359342813491821</v>
      </c>
      <c r="EB26" t="n" s="515">
        <v>-0.7767369747161865</v>
      </c>
      <c r="EC26" t="n" s="515">
        <v>-0.5981202721595764</v>
      </c>
      <c r="ED26" t="n" s="515">
        <v>1.3531582355499268</v>
      </c>
      <c r="EE26" t="n" s="515">
        <v>2.244152784347534</v>
      </c>
      <c r="EF26" t="n" s="515">
        <v>2.634578227996826</v>
      </c>
      <c r="EG26" t="n" s="515">
        <v>2.741588830947876</v>
      </c>
      <c r="EH26" t="n" s="515">
        <v>2.2533164024353027</v>
      </c>
      <c r="EI26" t="n" s="515">
        <v>1.632388710975647</v>
      </c>
      <c r="EJ26" t="n" s="515">
        <v>1.0118837356567383</v>
      </c>
      <c r="EK26" t="n" s="515">
        <v>0.34486135840415955</v>
      </c>
      <c r="EL26" t="n" s="515">
        <v>-0.3645380735397339</v>
      </c>
      <c r="EM26" t="n" s="515">
        <v>-0.7090432643890381</v>
      </c>
      <c r="EN26" t="n" s="515">
        <v>-0.3722950518131256</v>
      </c>
      <c r="EO26" t="n" s="515">
        <v>0.0886540412902832</v>
      </c>
      <c r="EP26" t="n" s="515">
        <v>0.3095601201057434</v>
      </c>
      <c r="EQ26" t="n" s="515">
        <v>0.16337785124778748</v>
      </c>
      <c r="ER26" t="n" s="515">
        <v>-0.1868302971124649</v>
      </c>
      <c r="ES26" t="n" s="515">
        <v>-0.7433176636695862</v>
      </c>
      <c r="ET26" t="n" s="515">
        <v>-1.345666766166687</v>
      </c>
      <c r="EU26" t="n" s="515">
        <v>-1.6782150268554688</v>
      </c>
      <c r="EV26" t="n" s="515">
        <v>-1.67197847366333</v>
      </c>
      <c r="EW26" t="n" s="515">
        <v>-1.1791834831237793</v>
      </c>
      <c r="EX26" t="n" s="515">
        <v>-0.3904368579387665</v>
      </c>
      <c r="EY26" t="n" s="515">
        <v>0.2144777774810791</v>
      </c>
      <c r="EZ26" t="n" s="515">
        <v>0.5212060809135437</v>
      </c>
      <c r="FA26" t="n" s="515">
        <v>1.042833685874939</v>
      </c>
      <c r="FB26" t="n" s="515">
        <v>1.4495185613632202</v>
      </c>
      <c r="FC26" t="n" s="515">
        <v>1.9309556484222412</v>
      </c>
      <c r="FD26" t="n" s="515">
        <v>2.2568321228027344</v>
      </c>
      <c r="FE26" t="n" s="515">
        <v>2.3214497566223145</v>
      </c>
      <c r="FF26" t="n" s="515">
        <v>2.1393909454345703</v>
      </c>
      <c r="FG26" t="n" s="515">
        <v>1.8705440759658813</v>
      </c>
      <c r="FH26" t="n" s="515">
        <v>1.607555627822876</v>
      </c>
      <c r="FI26" t="n" s="515">
        <v>1.3663285970687866</v>
      </c>
      <c r="FJ26" t="n" s="515">
        <v>1.0495233535766602</v>
      </c>
      <c r="FK26" t="n" s="515">
        <v>0.878377377986908</v>
      </c>
      <c r="FL26" t="n" s="515">
        <v>1.2419440746307373</v>
      </c>
      <c r="FM26" t="n" s="515">
        <v>2.0316972732543945</v>
      </c>
      <c r="FN26" t="n" s="515">
        <v>2.7531046867370605</v>
      </c>
      <c r="FO26" t="n" s="515">
        <v>3.4315574169158936</v>
      </c>
      <c r="FP26" t="n" s="515">
        <v>3.671217679977417</v>
      </c>
      <c r="FQ26" t="n" s="515">
        <v>3.437326431274414</v>
      </c>
      <c r="FR26" t="n" s="515">
        <v>2.8540568351745605</v>
      </c>
      <c r="FS26" t="n" s="515">
        <v>2.0827338695526123</v>
      </c>
      <c r="FT26" t="n" s="515">
        <v>1.0715179443359375</v>
      </c>
      <c r="FU26" t="n" s="515">
        <v>-0.08289226144552231</v>
      </c>
      <c r="FV26" t="n" s="515">
        <v>-1.1523655652999878</v>
      </c>
      <c r="FW26" t="n" s="515">
        <v>-1.6830857992172241</v>
      </c>
      <c r="FX26" t="n" s="515">
        <v>-1.5041956901550293</v>
      </c>
      <c r="FY26" t="n" s="515">
        <v>-1.0726866722106934</v>
      </c>
      <c r="FZ26" t="n" s="515">
        <v>-0.7659084796905518</v>
      </c>
      <c r="GA26" t="n" s="515">
        <v>-0.7554532289505005</v>
      </c>
      <c r="GB26" t="n" s="515">
        <v>-0.9439001679420471</v>
      </c>
      <c r="GC26" t="n" s="515">
        <v>-1.199937105178833</v>
      </c>
      <c r="GD26" t="n" s="515">
        <v>-1.3457283973693848</v>
      </c>
      <c r="GE26" t="n" s="515">
        <v>-1.3830106258392334</v>
      </c>
      <c r="GF26" t="n" s="515">
        <v>-1.2855725288391113</v>
      </c>
      <c r="GG26" t="n" s="515">
        <v>-0.5230293869972229</v>
      </c>
      <c r="GH26" t="n" s="515">
        <v>0.550785481929779</v>
      </c>
      <c r="GI26" t="n" s="515">
        <v>1.379308819770813</v>
      </c>
      <c r="GJ26" t="n" s="515">
        <v>1.8045908212661743</v>
      </c>
      <c r="GK26" t="n" s="515">
        <v>1.9836487770080566</v>
      </c>
      <c r="GL26" t="n" s="515">
        <v>1.8466641902923584</v>
      </c>
      <c r="GM26" t="n" s="515">
        <v>1.6078059673309326</v>
      </c>
      <c r="GN26" t="n" s="515">
        <v>1.4083713293075562</v>
      </c>
      <c r="GO26" t="n" s="515">
        <v>1.025228500366211</v>
      </c>
      <c r="GP26" t="n" s="515">
        <v>0.7954934239387512</v>
      </c>
      <c r="GQ26" t="n" s="515">
        <v>0.8491842746734619</v>
      </c>
      <c r="GR26" t="n" s="515">
        <v>0.9028603434562683</v>
      </c>
      <c r="GS26" t="n" s="515">
        <v>0.8376427888870239</v>
      </c>
      <c r="GT26" t="n" s="515">
        <v>0.6275578737258911</v>
      </c>
      <c r="GU26" t="n" s="515">
        <v>0.12670065462589264</v>
      </c>
      <c r="GV26" t="n" s="515">
        <v>-0.5255712270736694</v>
      </c>
      <c r="GW26" t="n" s="515">
        <v>-0.9273532032966614</v>
      </c>
      <c r="GX26" t="n" s="515">
        <v>-0.7321112751960754</v>
      </c>
      <c r="GY26" t="n" s="515">
        <v>-0.08883886784315109</v>
      </c>
      <c r="GZ26" t="n" s="515">
        <v>0.6586335897445679</v>
      </c>
      <c r="HA26" t="n" s="515">
        <v>1.0305726528167725</v>
      </c>
      <c r="HB26" t="n" s="515">
        <v>0.9913382530212402</v>
      </c>
      <c r="HC26" t="n" s="515">
        <v>0.6240071058273315</v>
      </c>
      <c r="HD26" t="n" s="515">
        <v>0.094964399933815</v>
      </c>
      <c r="HE26" t="n" s="515">
        <v>-0.40534818172454834</v>
      </c>
      <c r="HF26" t="n" s="515">
        <v>-0.8260053992271423</v>
      </c>
      <c r="HG26" t="n" s="515">
        <v>-0.8166624903678894</v>
      </c>
      <c r="HH26" t="n" s="515">
        <v>-0.42260482907295227</v>
      </c>
      <c r="HI26" t="n" s="515">
        <v>0.1924312859773636</v>
      </c>
      <c r="HJ26" t="n" s="515">
        <v>0.5467334389686584</v>
      </c>
      <c r="HK26" t="n" s="515">
        <v>0.6830854415893555</v>
      </c>
      <c r="HL26" t="n" s="515">
        <v>0.7734845280647278</v>
      </c>
      <c r="HM26" t="n" s="515">
        <v>0.9697121381759644</v>
      </c>
      <c r="HN26" t="n" s="515">
        <v>1.3218286037445068</v>
      </c>
      <c r="HO26" t="n" s="515">
        <v>1.9500008821487427</v>
      </c>
      <c r="HP26" t="n" s="515">
        <v>2.6670844554901123</v>
      </c>
      <c r="HQ26" t="n" s="515">
        <v>3.369354248046875</v>
      </c>
      <c r="HR26" t="n" s="515">
        <v>4.158237457275391</v>
      </c>
      <c r="HS26" t="n" s="515">
        <v>4.541903495788574</v>
      </c>
      <c r="HT26" t="n" s="515">
        <v>4.381169319152832</v>
      </c>
      <c r="HU26" t="n" s="515">
        <v>3.878525733947754</v>
      </c>
      <c r="HV26" t="n" s="515">
        <v>3.2363884449005127</v>
      </c>
      <c r="HW26" t="n" s="515">
        <v>2.4957456588745117</v>
      </c>
      <c r="HX26" t="n" s="515">
        <v>2.0033481121063232</v>
      </c>
      <c r="HY26" t="n" s="515">
        <v>1.8029756546020508</v>
      </c>
      <c r="HZ26" t="n" s="515">
        <v>1.8530800342559814</v>
      </c>
      <c r="IA26" t="n" s="515">
        <v>1.938153624534607</v>
      </c>
      <c r="IB26" t="n" s="515">
        <v>1.970838189125061</v>
      </c>
      <c r="IC26" t="n" s="515">
        <v>1.9487287998199463</v>
      </c>
    </row>
    <row r="27">
      <c r="A27" s="514">
        <f>A26+ABS(B27-B26)</f>
      </c>
      <c r="B27" s="514">
        <f>588.0/12</f>
      </c>
      <c r="C27" t="n" s="514">
        <v>588.0</v>
      </c>
      <c r="D27" t="n" s="515">
        <v>1.0974924564361572</v>
      </c>
      <c r="E27" t="n" s="515">
        <v>0.6613461971282959</v>
      </c>
      <c r="F27" t="n" s="515">
        <v>0.47404587268829346</v>
      </c>
      <c r="G27" t="n" s="515">
        <v>0.6503735780715942</v>
      </c>
      <c r="H27" t="n" s="515">
        <v>0.9146448373794556</v>
      </c>
      <c r="I27" t="n" s="515">
        <v>1.17849862575531</v>
      </c>
      <c r="J27" t="n" s="515">
        <v>1.3033945560455322</v>
      </c>
      <c r="K27" t="n" s="515">
        <v>1.371260643005371</v>
      </c>
      <c r="L27" t="n" s="515">
        <v>1.4130200147628784</v>
      </c>
      <c r="M27" t="n" s="515">
        <v>0.9872934818267822</v>
      </c>
      <c r="N27" t="n" s="515">
        <v>0.6847989559173584</v>
      </c>
      <c r="O27" t="n" s="515">
        <v>0.4342088997364044</v>
      </c>
      <c r="P27" t="n" s="515">
        <v>0.6281335949897766</v>
      </c>
      <c r="Q27" t="n" s="515">
        <v>0.8120971322059631</v>
      </c>
      <c r="R27" t="n" s="515">
        <v>0.6701043248176575</v>
      </c>
      <c r="S27" t="n" s="515">
        <v>0.36290329694747925</v>
      </c>
      <c r="T27" t="n" s="515">
        <v>-0.07675135880708694</v>
      </c>
      <c r="U27" t="n" s="515">
        <v>-0.6492605209350586</v>
      </c>
      <c r="V27" t="n" s="515">
        <v>-1.2760475873947144</v>
      </c>
      <c r="W27" t="n" s="515">
        <v>-1.8854981660842896</v>
      </c>
      <c r="X27" t="n" s="515">
        <v>-2.395618200302124</v>
      </c>
      <c r="Y27" t="n" s="515">
        <v>-2.673509120941162</v>
      </c>
      <c r="Z27" t="n" s="515">
        <v>-2.6481499671936035</v>
      </c>
      <c r="AA27" t="n" s="515">
        <v>-2.413736343383789</v>
      </c>
      <c r="AB27" t="n" s="515">
        <v>-2.02578067779541</v>
      </c>
      <c r="AC27" t="n" s="515">
        <v>-1.7133821249008179</v>
      </c>
      <c r="AD27" t="n" s="515">
        <v>-1.3525043725967407</v>
      </c>
      <c r="AE27" t="n" s="515">
        <v>-1.0539191961288452</v>
      </c>
      <c r="AF27" t="n" s="515">
        <v>-0.5579591989517212</v>
      </c>
      <c r="AG27" t="n" s="515">
        <v>-0.15876567363739014</v>
      </c>
      <c r="AH27" t="n" s="515">
        <v>0.028394723311066628</v>
      </c>
      <c r="AI27" t="n" s="515">
        <v>0.34833839535713196</v>
      </c>
      <c r="AJ27" t="n" s="515">
        <v>0.7647095918655396</v>
      </c>
      <c r="AK27" t="n" s="515">
        <v>1.1610066890716553</v>
      </c>
      <c r="AL27" t="n" s="515">
        <v>0.5431979298591614</v>
      </c>
      <c r="AM27" t="n" s="515">
        <v>1.49043607711792</v>
      </c>
      <c r="AN27" t="n" s="515">
        <v>1.6301833391189575</v>
      </c>
      <c r="AO27" t="n" s="515">
        <v>1.775430679321289</v>
      </c>
      <c r="AP27" t="n" s="515">
        <v>2.1073129177093506</v>
      </c>
      <c r="AQ27" t="n" s="515">
        <v>2.3594906330108643</v>
      </c>
      <c r="AR27" t="n" s="515">
        <v>2.659299373626709</v>
      </c>
      <c r="AS27" t="n" s="515">
        <v>2.9882991313934326</v>
      </c>
      <c r="AT27" t="n" s="515">
        <v>3.1582748889923096</v>
      </c>
      <c r="AU27" t="n" s="515">
        <v>3.1029486656188965</v>
      </c>
      <c r="AV27" t="n" s="515">
        <v>2.934884786605835</v>
      </c>
      <c r="AW27" t="n" s="515">
        <v>2.7639784812927246</v>
      </c>
      <c r="AX27" t="n" s="515">
        <v>2.623677968978882</v>
      </c>
      <c r="AY27" t="n" s="515">
        <v>2.4742794036865234</v>
      </c>
      <c r="AZ27" t="n" s="515">
        <v>2.3396308422088623</v>
      </c>
      <c r="BA27" t="n" s="515">
        <v>2.3445615768432617</v>
      </c>
      <c r="BB27" t="n" s="515">
        <v>2.230638027191162</v>
      </c>
      <c r="BC27" t="n" s="515">
        <v>2.0794875621795654</v>
      </c>
      <c r="BD27" t="n" s="515">
        <v>1.8596844673156738</v>
      </c>
      <c r="BE27" t="n" s="515">
        <v>1.6100962162017822</v>
      </c>
      <c r="BF27" t="n" s="515">
        <v>1.3465297222137451</v>
      </c>
      <c r="BG27" t="n" s="515">
        <v>1.2382020950317383</v>
      </c>
      <c r="BH27" t="n" s="515">
        <v>1.3137377500534058</v>
      </c>
      <c r="BI27" t="n" s="515">
        <v>1.5739203691482544</v>
      </c>
      <c r="BJ27" t="n" s="515">
        <v>1.7904006242752075</v>
      </c>
      <c r="BK27" t="n" s="515">
        <v>1.669347882270813</v>
      </c>
      <c r="BL27" t="n" s="515">
        <v>1.5311347246170044</v>
      </c>
      <c r="BM27" t="n" s="515">
        <v>1.310958981513977</v>
      </c>
      <c r="BN27" t="n" s="515">
        <v>1.1596652269363403</v>
      </c>
      <c r="BO27" t="n" s="515">
        <v>0.8308573365211487</v>
      </c>
      <c r="BP27" t="n" s="515">
        <v>0.5030504465103149</v>
      </c>
      <c r="BQ27" t="n" s="515">
        <v>0.5359910130500793</v>
      </c>
      <c r="BR27" t="n" s="515">
        <v>0.5624755620956421</v>
      </c>
      <c r="BS27" t="n" s="515">
        <v>0.6393406987190247</v>
      </c>
      <c r="BT27" t="n" s="515">
        <v>0.7204799056053162</v>
      </c>
      <c r="BU27" t="n" s="515">
        <v>0.6494962573051453</v>
      </c>
      <c r="BV27" t="n" s="515">
        <v>0.5547451972961426</v>
      </c>
      <c r="BW27" t="n" s="515">
        <v>0.6332489252090454</v>
      </c>
      <c r="BX27" t="n" s="515">
        <v>0.2498340904712677</v>
      </c>
      <c r="BY27" t="n" s="515">
        <v>0.21724717319011688</v>
      </c>
      <c r="BZ27" t="n" s="515">
        <v>0.07932320237159729</v>
      </c>
      <c r="CA27" t="n" s="515">
        <v>0.05416209623217583</v>
      </c>
      <c r="CB27" t="n" s="515">
        <v>0.17593464255332947</v>
      </c>
      <c r="CC27" t="n" s="515">
        <v>0.06004650518298149</v>
      </c>
      <c r="CD27" t="n" s="515">
        <v>-0.0959467813372612</v>
      </c>
      <c r="CE27" t="n" s="515">
        <v>-0.14323455095291138</v>
      </c>
      <c r="CF27" t="n" s="515">
        <v>-0.11143171042203903</v>
      </c>
      <c r="CG27" t="n" s="515">
        <v>-0.2983284592628479</v>
      </c>
      <c r="CH27" t="n" s="515">
        <v>-0.617171585559845</v>
      </c>
      <c r="CI27" t="n" s="515">
        <v>-0.744543194770813</v>
      </c>
      <c r="CJ27" t="n" s="515">
        <v>-1.0732403993606567</v>
      </c>
      <c r="CK27" t="n" s="515">
        <v>-1.308917760848999</v>
      </c>
      <c r="CL27" t="n" s="515">
        <v>-1.0648916959762573</v>
      </c>
      <c r="CM27" t="n" s="515">
        <v>-0.383661687374115</v>
      </c>
      <c r="CN27" t="n" s="515">
        <v>0.10347999632358551</v>
      </c>
      <c r="CO27" t="n" s="515">
        <v>0.4273611605167389</v>
      </c>
      <c r="CP27" t="n" s="515">
        <v>0.7509611248970032</v>
      </c>
      <c r="CQ27" t="n" s="515">
        <v>0.9591167569160461</v>
      </c>
      <c r="CR27" t="n" s="515">
        <v>1.0727492570877075</v>
      </c>
      <c r="CS27" t="n" s="515">
        <v>0.35293081402778625</v>
      </c>
      <c r="CT27" t="n" s="515">
        <v>1.3751262426376343</v>
      </c>
      <c r="CU27" t="n" s="515">
        <v>1.5924683809280396</v>
      </c>
      <c r="CV27" t="n" s="515">
        <v>1.8618388175964355</v>
      </c>
      <c r="CW27" t="n" s="515">
        <v>1.9713904857635498</v>
      </c>
      <c r="CX27" t="n" s="515">
        <v>1.8965083360671997</v>
      </c>
      <c r="CY27" t="n" s="515">
        <v>2.0185649394989014</v>
      </c>
      <c r="CZ27" t="n" s="515">
        <v>2.2976925373077393</v>
      </c>
      <c r="DA27" t="n" s="515">
        <v>2.4639980792999268</v>
      </c>
      <c r="DB27" t="n" s="515">
        <v>1.4656161069869995</v>
      </c>
      <c r="DC27" t="n" s="515">
        <v>-1.2017855644226074</v>
      </c>
      <c r="DD27" t="n" s="515">
        <v>0.8247488141059875</v>
      </c>
      <c r="DE27" t="n" s="515">
        <v>0.6767572164535522</v>
      </c>
      <c r="DF27" t="n" s="515">
        <v>0.4967602491378784</v>
      </c>
      <c r="DG27" t="n" s="515">
        <v>0.17174670100212097</v>
      </c>
      <c r="DH27" t="n" s="515">
        <v>-0.29895976185798645</v>
      </c>
      <c r="DI27" t="n" s="515">
        <v>-0.5037418007850647</v>
      </c>
      <c r="DJ27" t="n" s="515">
        <v>-0.3053543269634247</v>
      </c>
      <c r="DK27" t="n" s="515">
        <v>0.25034382939338684</v>
      </c>
      <c r="DL27" t="n" s="515">
        <v>0.802241325378418</v>
      </c>
      <c r="DM27" t="n" s="515">
        <v>1.0185288190841675</v>
      </c>
      <c r="DN27" t="n" s="515">
        <v>0.8941082954406738</v>
      </c>
      <c r="DO27" t="n" s="515">
        <v>0.6124594807624817</v>
      </c>
      <c r="DP27" t="n" s="515">
        <v>0.1989601105451584</v>
      </c>
      <c r="DQ27" t="n" s="515">
        <v>-0.30452248454093933</v>
      </c>
      <c r="DR27" t="n" s="515">
        <v>-0.8249732255935669</v>
      </c>
      <c r="DS27" t="n" s="515">
        <v>-1.4268198013305664</v>
      </c>
      <c r="DT27" t="n" s="515">
        <v>-1.7344862222671509</v>
      </c>
      <c r="DU27" t="n" s="515">
        <v>-1.7262208461761475</v>
      </c>
      <c r="DV27" t="n" s="515">
        <v>-1.7067179679870605</v>
      </c>
      <c r="DW27" t="n" s="515">
        <v>-1.6046468019485474</v>
      </c>
      <c r="DX27" t="n" s="515">
        <v>-1.4968856573104858</v>
      </c>
      <c r="DY27" t="n" s="515">
        <v>-1.4187430143356323</v>
      </c>
      <c r="DZ27" t="n" s="515">
        <v>-1.4516520500183105</v>
      </c>
      <c r="EA27" t="n" s="515">
        <v>-1.3606905937194824</v>
      </c>
      <c r="EB27" t="n" s="515">
        <v>-1.017435073852539</v>
      </c>
      <c r="EC27" t="n" s="515">
        <v>-1.210579514503479</v>
      </c>
      <c r="ED27" t="n" s="515">
        <v>0.4315161108970642</v>
      </c>
      <c r="EE27" t="n" s="515">
        <v>1.0935120582580566</v>
      </c>
      <c r="EF27" t="n" s="515">
        <v>1.4369317293167114</v>
      </c>
      <c r="EG27" t="n" s="515">
        <v>1.5269523859024048</v>
      </c>
      <c r="EH27" t="n" s="515">
        <v>1.2912834882736206</v>
      </c>
      <c r="EI27" t="n" s="515">
        <v>0.8749977350234985</v>
      </c>
      <c r="EJ27" t="n" s="515">
        <v>0.7153970003128052</v>
      </c>
      <c r="EK27" t="n" s="515">
        <v>0.2549489438533783</v>
      </c>
      <c r="EL27" t="n" s="515">
        <v>-0.32470840215682983</v>
      </c>
      <c r="EM27" t="n" s="515">
        <v>-0.6279258131980896</v>
      </c>
      <c r="EN27" t="n" s="515">
        <v>-0.4727848172187805</v>
      </c>
      <c r="EO27" t="n" s="515">
        <v>-0.270240843296051</v>
      </c>
      <c r="EP27" t="n" s="515">
        <v>-0.17482513189315796</v>
      </c>
      <c r="EQ27" t="n" s="515">
        <v>-0.24732397496700287</v>
      </c>
      <c r="ER27" t="n" s="515">
        <v>-0.45284104347229004</v>
      </c>
      <c r="ES27" t="n" s="515">
        <v>-0.916050374507904</v>
      </c>
      <c r="ET27" t="n" s="515">
        <v>-1.4263917207717896</v>
      </c>
      <c r="EU27" t="n" s="515">
        <v>-1.713924527168274</v>
      </c>
      <c r="EV27" t="n" s="515">
        <v>-1.7870336771011353</v>
      </c>
      <c r="EW27" t="n" s="515">
        <v>-1.571795105934143</v>
      </c>
      <c r="EX27" t="n" s="515">
        <v>-1.13103449344635</v>
      </c>
      <c r="EY27" t="n" s="515">
        <v>-0.5675448179244995</v>
      </c>
      <c r="EZ27" t="n" s="515">
        <v>-0.17522883415222168</v>
      </c>
      <c r="FA27" t="n" s="515">
        <v>0.5594922304153442</v>
      </c>
      <c r="FB27" t="n" s="515">
        <v>1.2046644687652588</v>
      </c>
      <c r="FC27" t="n" s="515">
        <v>1.5069876909255981</v>
      </c>
      <c r="FD27" t="n" s="515">
        <v>1.571696162223816</v>
      </c>
      <c r="FE27" t="n" s="515">
        <v>1.602094054222107</v>
      </c>
      <c r="FF27" t="n" s="515">
        <v>1.5851280689239502</v>
      </c>
      <c r="FG27" t="n" s="515">
        <v>1.538859248161316</v>
      </c>
      <c r="FH27" t="n" s="515">
        <v>1.5423961877822876</v>
      </c>
      <c r="FI27" t="n" s="515">
        <v>1.4208369255065918</v>
      </c>
      <c r="FJ27" t="n" s="515">
        <v>1.1755820512771606</v>
      </c>
      <c r="FK27" t="n" s="515">
        <v>1.033892035484314</v>
      </c>
      <c r="FL27" t="n" s="515">
        <v>1.3835914134979248</v>
      </c>
      <c r="FM27" t="n" s="515">
        <v>2.024858236312866</v>
      </c>
      <c r="FN27" t="n" s="515">
        <v>2.4187347888946533</v>
      </c>
      <c r="FO27" t="n" s="515">
        <v>2.718899965286255</v>
      </c>
      <c r="FP27" t="n" s="515">
        <v>2.859415054321289</v>
      </c>
      <c r="FQ27" t="n" s="515">
        <v>2.718061685562134</v>
      </c>
      <c r="FR27" t="n" s="515">
        <v>2.378349542617798</v>
      </c>
      <c r="FS27" t="n" s="515">
        <v>1.9626169204711914</v>
      </c>
      <c r="FT27" t="n" s="515">
        <v>1.1990110874176025</v>
      </c>
      <c r="FU27" t="n" s="515">
        <v>0.23035496473312378</v>
      </c>
      <c r="FV27" t="n" s="515">
        <v>-0.961476743221283</v>
      </c>
      <c r="FW27" t="n" s="515">
        <v>-1.5348647832870483</v>
      </c>
      <c r="FX27" t="n" s="515">
        <v>-1.5985552072525024</v>
      </c>
      <c r="FY27" t="n" s="515">
        <v>-1.4920023679733276</v>
      </c>
      <c r="FZ27" t="n" s="515">
        <v>-1.331304907798767</v>
      </c>
      <c r="GA27" t="n" s="515">
        <v>-1.223036527633667</v>
      </c>
      <c r="GB27" t="n" s="515">
        <v>-1.1264655590057373</v>
      </c>
      <c r="GC27" t="n" s="515">
        <v>-1.3141779899597168</v>
      </c>
      <c r="GD27" t="n" s="515">
        <v>-1.4936444759368896</v>
      </c>
      <c r="GE27" t="n" s="515">
        <v>-1.5100233554840088</v>
      </c>
      <c r="GF27" t="n" s="515">
        <v>-1.2502009868621826</v>
      </c>
      <c r="GG27" t="n" s="515">
        <v>-0.8148358464241028</v>
      </c>
      <c r="GH27" t="n" s="515">
        <v>-0.16642245650291443</v>
      </c>
      <c r="GI27" t="n" s="515">
        <v>0.4990762174129486</v>
      </c>
      <c r="GJ27" t="n" s="515">
        <v>0.9406370520591736</v>
      </c>
      <c r="GK27" t="n" s="515">
        <v>1.2231941223144531</v>
      </c>
      <c r="GL27" t="n" s="515">
        <v>1.3546725511550903</v>
      </c>
      <c r="GM27" t="n" s="515">
        <v>1.2356091737747192</v>
      </c>
      <c r="GN27" t="n" s="515">
        <v>0.9990338087081909</v>
      </c>
      <c r="GO27" t="n" s="515">
        <v>0.6560637950897217</v>
      </c>
      <c r="GP27" t="n" s="515">
        <v>0.48909956216812134</v>
      </c>
      <c r="GQ27" t="n" s="515">
        <v>0.5599769353866577</v>
      </c>
      <c r="GR27" t="n" s="515">
        <v>0.6709131598472595</v>
      </c>
      <c r="GS27" t="n" s="515">
        <v>0.745125412940979</v>
      </c>
      <c r="GT27" t="n" s="515">
        <v>0.5994982123374939</v>
      </c>
      <c r="GU27" t="n" s="515">
        <v>0.15379154682159424</v>
      </c>
      <c r="GV27" t="n" s="515">
        <v>-0.4454631507396698</v>
      </c>
      <c r="GW27" t="n" s="515">
        <v>-0.842317521572113</v>
      </c>
      <c r="GX27" t="n" s="515">
        <v>-0.7996925115585327</v>
      </c>
      <c r="GY27" t="n" s="515">
        <v>-0.5845369696617126</v>
      </c>
      <c r="GZ27" t="n" s="515">
        <v>-0.2239999771118164</v>
      </c>
      <c r="HA27" t="n" s="515">
        <v>0.04380922392010689</v>
      </c>
      <c r="HB27" t="n" s="515">
        <v>0.09292394667863846</v>
      </c>
      <c r="HC27" t="n" s="515">
        <v>-0.11370580643415451</v>
      </c>
      <c r="HD27" t="n" s="515">
        <v>-0.2619556784629822</v>
      </c>
      <c r="HE27" t="n" s="515">
        <v>-0.3804467022418976</v>
      </c>
      <c r="HF27" t="n" s="515">
        <v>-0.6475176215171814</v>
      </c>
      <c r="HG27" t="n" s="515">
        <v>-0.5878491401672363</v>
      </c>
      <c r="HH27" t="n" s="515">
        <v>-0.2656765580177307</v>
      </c>
      <c r="HI27" t="n" s="515">
        <v>0.20193713903427124</v>
      </c>
      <c r="HJ27" t="n" s="515">
        <v>0.5194547176361084</v>
      </c>
      <c r="HK27" t="n" s="515">
        <v>0.8391921520233154</v>
      </c>
      <c r="HL27" t="n" s="515">
        <v>1.0102424621582031</v>
      </c>
      <c r="HM27" t="n" s="515">
        <v>1.1521238088607788</v>
      </c>
      <c r="HN27" t="n" s="515">
        <v>1.539487600326538</v>
      </c>
      <c r="HO27" t="n" s="515">
        <v>2.1809637546539307</v>
      </c>
      <c r="HP27" t="n" s="515">
        <v>2.8837811946868896</v>
      </c>
      <c r="HQ27" t="n" s="515">
        <v>3.266843795776367</v>
      </c>
      <c r="HR27" t="n" s="515">
        <v>3.723832368850708</v>
      </c>
      <c r="HS27" t="n" s="515">
        <v>4.010952472686768</v>
      </c>
      <c r="HT27" t="n" s="515">
        <v>3.978719472885132</v>
      </c>
      <c r="HU27" t="n" s="515">
        <v>3.6474456787109375</v>
      </c>
      <c r="HV27" t="n" s="515">
        <v>3.2426865100860596</v>
      </c>
      <c r="HW27" t="n" s="515">
        <v>2.6150283813476562</v>
      </c>
      <c r="HX27" t="n" s="515">
        <v>2.052074432373047</v>
      </c>
      <c r="HY27" t="n" s="515">
        <v>1.9399118423461914</v>
      </c>
      <c r="HZ27" t="n" s="515">
        <v>1.9491091966629028</v>
      </c>
      <c r="IA27" t="n" s="515">
        <v>1.938472867012024</v>
      </c>
      <c r="IB27" t="n" s="515">
        <v>1.9834388494491577</v>
      </c>
      <c r="IC27" t="n" s="515">
        <v>1.9252201318740845</v>
      </c>
    </row>
    <row r="28">
      <c r="A28" s="514">
        <f>A27+ABS(B28-B27)</f>
      </c>
      <c r="B28" s="514">
        <f>612.0/12</f>
      </c>
      <c r="C28" t="n" s="514">
        <v>612.0</v>
      </c>
      <c r="D28" t="n" s="515">
        <v>1.0965481996536255</v>
      </c>
      <c r="E28" t="n" s="515">
        <v>0.7801367044448853</v>
      </c>
      <c r="F28" t="n" s="515">
        <v>0.6053516864776611</v>
      </c>
      <c r="G28" t="n" s="515">
        <v>0.6601995825767517</v>
      </c>
      <c r="H28" t="n" s="515">
        <v>0.7882213592529297</v>
      </c>
      <c r="I28" t="n" s="515">
        <v>0.9605567455291748</v>
      </c>
      <c r="J28" t="n" s="515">
        <v>1.0301531553268433</v>
      </c>
      <c r="K28" t="n" s="515">
        <v>1.1139659881591797</v>
      </c>
      <c r="L28" t="n" s="515">
        <v>1.2200971841812134</v>
      </c>
      <c r="M28" t="n" s="515">
        <v>1.0103092193603516</v>
      </c>
      <c r="N28" t="n" s="515">
        <v>0.748661994934082</v>
      </c>
      <c r="O28" t="n" s="515">
        <v>0.4841206967830658</v>
      </c>
      <c r="P28" t="n" s="515">
        <v>0.6146209239959717</v>
      </c>
      <c r="Q28" t="n" s="515">
        <v>0.6997454166412354</v>
      </c>
      <c r="R28" t="n" s="515">
        <v>0.5705521106719971</v>
      </c>
      <c r="S28" t="n" s="515">
        <v>0.34174200892448425</v>
      </c>
      <c r="T28" t="n" s="515">
        <v>-0.047233276069164276</v>
      </c>
      <c r="U28" t="n" s="515">
        <v>-0.5245035886764526</v>
      </c>
      <c r="V28" t="n" s="515">
        <v>-1.053480863571167</v>
      </c>
      <c r="W28" t="n" s="515">
        <v>-1.5948233604431152</v>
      </c>
      <c r="X28" t="n" s="515">
        <v>-2.084749937057495</v>
      </c>
      <c r="Y28" t="n" s="515">
        <v>-2.4588522911071777</v>
      </c>
      <c r="Z28" t="n" s="515">
        <v>-2.6056981086730957</v>
      </c>
      <c r="AA28" t="n" s="515">
        <v>-2.562333822250366</v>
      </c>
      <c r="AB28" t="n" s="515">
        <v>-2.2690467834472656</v>
      </c>
      <c r="AC28" t="n" s="515">
        <v>-1.8855397701263428</v>
      </c>
      <c r="AD28" t="n" s="515">
        <v>-1.401696801185608</v>
      </c>
      <c r="AE28" t="n" s="515">
        <v>-1.0192060470581055</v>
      </c>
      <c r="AF28" t="n" s="515">
        <v>-0.5421363711357117</v>
      </c>
      <c r="AG28" t="n" s="515">
        <v>-0.09036565572023392</v>
      </c>
      <c r="AH28" t="n" s="515">
        <v>0.17388805747032166</v>
      </c>
      <c r="AI28" t="n" s="515">
        <v>0.5133697390556335</v>
      </c>
      <c r="AJ28" t="n" s="515">
        <v>0.9101467728614807</v>
      </c>
      <c r="AK28" t="n" s="515">
        <v>1.2525314092636108</v>
      </c>
      <c r="AL28" t="n" s="515">
        <v>0.5076313614845276</v>
      </c>
      <c r="AM28" t="n" s="515">
        <v>1.5731852054595947</v>
      </c>
      <c r="AN28" t="n" s="515">
        <v>1.749072790145874</v>
      </c>
      <c r="AO28" t="n" s="515">
        <v>1.883506417274475</v>
      </c>
      <c r="AP28" t="n" s="515">
        <v>2.1718287467956543</v>
      </c>
      <c r="AQ28" t="n" s="515">
        <v>2.4173009395599365</v>
      </c>
      <c r="AR28" t="n" s="515">
        <v>2.7036774158477783</v>
      </c>
      <c r="AS28" t="n" s="515">
        <v>2.981300115585327</v>
      </c>
      <c r="AT28" t="n" s="515">
        <v>3.1437251567840576</v>
      </c>
      <c r="AU28" t="n" s="515">
        <v>3.183347463607788</v>
      </c>
      <c r="AV28" t="n" s="515">
        <v>3.083730936050415</v>
      </c>
      <c r="AW28" t="n" s="515">
        <v>2.9271433353424072</v>
      </c>
      <c r="AX28" t="n" s="515">
        <v>2.8004350662231445</v>
      </c>
      <c r="AY28" t="n" s="515">
        <v>2.6755478382110596</v>
      </c>
      <c r="AZ28" t="n" s="515">
        <v>2.4961771965026855</v>
      </c>
      <c r="BA28" t="n" s="515">
        <v>2.3869693279266357</v>
      </c>
      <c r="BB28" t="n" s="515">
        <v>2.193063497543335</v>
      </c>
      <c r="BC28" t="n" s="515">
        <v>1.9888070821762085</v>
      </c>
      <c r="BD28" t="n" s="515">
        <v>1.7596982717514038</v>
      </c>
      <c r="BE28" t="n" s="515">
        <v>1.56350576877594</v>
      </c>
      <c r="BF28" t="n" s="515">
        <v>1.372301697731018</v>
      </c>
      <c r="BG28" t="n" s="515">
        <v>1.2290831804275513</v>
      </c>
      <c r="BH28" t="n" s="515">
        <v>1.1736509799957275</v>
      </c>
      <c r="BI28" t="n" s="515">
        <v>1.2532004117965698</v>
      </c>
      <c r="BJ28" t="n" s="515">
        <v>1.365362286567688</v>
      </c>
      <c r="BK28" t="n" s="515">
        <v>1.3015944957733154</v>
      </c>
      <c r="BL28" t="n" s="515">
        <v>1.1841262578964233</v>
      </c>
      <c r="BM28" t="n" s="515">
        <v>1.0258291959762573</v>
      </c>
      <c r="BN28" t="n" s="515">
        <v>0.9014108180999756</v>
      </c>
      <c r="BO28" t="n" s="515">
        <v>0.69773268699646</v>
      </c>
      <c r="BP28" t="n" s="515">
        <v>0.5899527668952942</v>
      </c>
      <c r="BQ28" t="n" s="515">
        <v>0.621522843837738</v>
      </c>
      <c r="BR28" t="n" s="515">
        <v>0.6658321022987366</v>
      </c>
      <c r="BS28" t="n" s="515">
        <v>0.75754714012146</v>
      </c>
      <c r="BT28" t="n" s="515">
        <v>0.8280108571052551</v>
      </c>
      <c r="BU28" t="n" s="515">
        <v>0.8177604079246521</v>
      </c>
      <c r="BV28" t="n" s="515">
        <v>0.7726304531097412</v>
      </c>
      <c r="BW28" t="n" s="515">
        <v>0.7681022882461548</v>
      </c>
      <c r="BX28" t="n" s="515">
        <v>0.3156646490097046</v>
      </c>
      <c r="BY28" t="n" s="515">
        <v>0.4280889630317688</v>
      </c>
      <c r="BZ28" t="n" s="515">
        <v>0.33375146985054016</v>
      </c>
      <c r="CA28" t="n" s="515">
        <v>0.13429434597492218</v>
      </c>
      <c r="CB28" t="n" s="515">
        <v>0.1003679558634758</v>
      </c>
      <c r="CC28" t="n" s="515">
        <v>-0.04900774359703064</v>
      </c>
      <c r="CD28" t="n" s="515">
        <v>-0.26098522543907166</v>
      </c>
      <c r="CE28" t="n" s="515">
        <v>-0.37500709295272827</v>
      </c>
      <c r="CF28" t="n" s="515">
        <v>-0.40124523639678955</v>
      </c>
      <c r="CG28" t="n" s="515">
        <v>-0.5879168510437012</v>
      </c>
      <c r="CH28" t="n" s="515">
        <v>-0.8468123078346252</v>
      </c>
      <c r="CI28" t="n" s="515">
        <v>-0.9232883453369141</v>
      </c>
      <c r="CJ28" t="n" s="515">
        <v>-1.1586002111434937</v>
      </c>
      <c r="CK28" t="n" s="515">
        <v>-1.290040135383606</v>
      </c>
      <c r="CL28" t="n" s="515">
        <v>-1.0740036964416504</v>
      </c>
      <c r="CM28" t="n" s="515">
        <v>-0.5959609746932983</v>
      </c>
      <c r="CN28" t="n" s="515">
        <v>-0.22604668140411377</v>
      </c>
      <c r="CO28" t="n" s="515">
        <v>0.022036321461200714</v>
      </c>
      <c r="CP28" t="n" s="515">
        <v>0.3230029344558716</v>
      </c>
      <c r="CQ28" t="n" s="515">
        <v>0.5907002091407776</v>
      </c>
      <c r="CR28" t="n" s="515">
        <v>0.8606434464454651</v>
      </c>
      <c r="CS28" t="n" s="515">
        <v>0.04474366083741188</v>
      </c>
      <c r="CT28" t="n" s="515">
        <v>1.1905409097671509</v>
      </c>
      <c r="CU28" t="n" s="515">
        <v>1.4212285280227661</v>
      </c>
      <c r="CV28" t="n" s="515">
        <v>1.6495709419250488</v>
      </c>
      <c r="CW28" t="n" s="515">
        <v>1.8094333410263062</v>
      </c>
      <c r="CX28" t="n" s="515">
        <v>1.8276739120483398</v>
      </c>
      <c r="CY28" t="n" s="515">
        <v>1.9447546005249023</v>
      </c>
      <c r="CZ28" t="n" s="515">
        <v>2.0817956924438477</v>
      </c>
      <c r="DA28" t="n" s="515">
        <v>1.5902551412582397</v>
      </c>
      <c r="DB28" t="n" s="515">
        <v>-0.8391398787498474</v>
      </c>
      <c r="DC28" t="n" s="515">
        <v>0.9964820742607117</v>
      </c>
      <c r="DD28" t="n" s="515">
        <v>0.8379588723182678</v>
      </c>
      <c r="DE28" t="n" s="515">
        <v>0.5935172438621521</v>
      </c>
      <c r="DF28" t="n" s="515">
        <v>0.4245172441005707</v>
      </c>
      <c r="DG28" t="n" s="515">
        <v>0.2000390589237213</v>
      </c>
      <c r="DH28" t="n" s="515">
        <v>-0.11382073909044266</v>
      </c>
      <c r="DI28" t="n" s="515">
        <v>-0.30532458424568176</v>
      </c>
      <c r="DJ28" t="n" s="515">
        <v>-0.3112398386001587</v>
      </c>
      <c r="DK28" t="n" s="515">
        <v>-0.09819649904966354</v>
      </c>
      <c r="DL28" t="n" s="515">
        <v>0.10068053752183914</v>
      </c>
      <c r="DM28" t="n" s="515">
        <v>0.13966770470142365</v>
      </c>
      <c r="DN28" t="n" s="515">
        <v>0.014928367920219898</v>
      </c>
      <c r="DO28" t="n" s="515">
        <v>-0.17260316014289856</v>
      </c>
      <c r="DP28" t="n" s="515">
        <v>-0.3945232331752777</v>
      </c>
      <c r="DQ28" t="n" s="515">
        <v>-0.7684709429740906</v>
      </c>
      <c r="DR28" t="n" s="515">
        <v>-1.005337119102478</v>
      </c>
      <c r="DS28" t="n" s="515">
        <v>-1.4020071029663086</v>
      </c>
      <c r="DT28" t="n" s="515">
        <v>-1.695372223854065</v>
      </c>
      <c r="DU28" t="n" s="515">
        <v>-1.7175041437149048</v>
      </c>
      <c r="DV28" t="n" s="515">
        <v>-1.8285905122756958</v>
      </c>
      <c r="DW28" t="n" s="515">
        <v>-1.8574340343475342</v>
      </c>
      <c r="DX28" t="n" s="515">
        <v>-1.7418830394744873</v>
      </c>
      <c r="DY28" t="n" s="515">
        <v>-1.5550038814544678</v>
      </c>
      <c r="DZ28" t="n" s="515">
        <v>-1.415873408317566</v>
      </c>
      <c r="EA28" t="n" s="515">
        <v>-1.2751520872116089</v>
      </c>
      <c r="EB28" t="n" s="515">
        <v>-1.0013431310653687</v>
      </c>
      <c r="EC28" t="n" s="515">
        <v>-1.334352970123291</v>
      </c>
      <c r="ED28" t="n" s="515">
        <v>-0.1063123419880867</v>
      </c>
      <c r="EE28" t="n" s="515">
        <v>0.3593432605266571</v>
      </c>
      <c r="EF28" t="n" s="515">
        <v>0.6313307285308838</v>
      </c>
      <c r="EG28" t="n" s="515">
        <v>0.7640781402587891</v>
      </c>
      <c r="EH28" t="n" s="515">
        <v>0.639991819858551</v>
      </c>
      <c r="EI28" t="n" s="515">
        <v>0.3897892236709595</v>
      </c>
      <c r="EJ28" t="n" s="515">
        <v>0.49918055534362793</v>
      </c>
      <c r="EK28" t="n" s="515">
        <v>0.19450759887695312</v>
      </c>
      <c r="EL28" t="n" s="515">
        <v>-0.1957516372203827</v>
      </c>
      <c r="EM28" t="n" s="515">
        <v>-0.39292964339256287</v>
      </c>
      <c r="EN28" t="n" s="515">
        <v>-0.3418842554092407</v>
      </c>
      <c r="EO28" t="n" s="515">
        <v>-0.31697985529899597</v>
      </c>
      <c r="EP28" t="n" s="515">
        <v>-0.35830390453338623</v>
      </c>
      <c r="EQ28" t="n" s="515">
        <v>-0.4527403712272644</v>
      </c>
      <c r="ER28" t="n" s="515">
        <v>-0.6222618222236633</v>
      </c>
      <c r="ES28" t="n" s="515">
        <v>-0.9413759708404541</v>
      </c>
      <c r="ET28" t="n" s="515">
        <v>-1.3120701313018799</v>
      </c>
      <c r="EU28" t="n" s="515">
        <v>-1.5443991422653198</v>
      </c>
      <c r="EV28" t="n" s="515">
        <v>-1.6869535446166992</v>
      </c>
      <c r="EW28" t="n" s="515">
        <v>-1.666808843612671</v>
      </c>
      <c r="EX28" t="n" s="515">
        <v>-1.4710803031921387</v>
      </c>
      <c r="EY28" t="n" s="515">
        <v>-1.0065582990646362</v>
      </c>
      <c r="EZ28" t="n" s="515">
        <v>-0.6090551018714905</v>
      </c>
      <c r="FA28" t="n" s="515">
        <v>-0.11859633028507233</v>
      </c>
      <c r="FB28" t="n" s="515">
        <v>0.42747390270233154</v>
      </c>
      <c r="FC28" t="n" s="515">
        <v>0.8341582417488098</v>
      </c>
      <c r="FD28" t="n" s="515">
        <v>1.1160866022109985</v>
      </c>
      <c r="FE28" t="n" s="515">
        <v>1.2883501052856445</v>
      </c>
      <c r="FF28" t="n" s="515">
        <v>1.444919228553772</v>
      </c>
      <c r="FG28" t="n" s="515">
        <v>1.5668516159057617</v>
      </c>
      <c r="FH28" t="n" s="515">
        <v>1.6667232513427734</v>
      </c>
      <c r="FI28" t="n" s="515">
        <v>1.6050280332565308</v>
      </c>
      <c r="FJ28" t="n" s="515">
        <v>1.4886316061019897</v>
      </c>
      <c r="FK28" t="n" s="515">
        <v>1.4312211275100708</v>
      </c>
      <c r="FL28" t="n" s="515">
        <v>1.6380894184112549</v>
      </c>
      <c r="FM28" t="n" s="515">
        <v>1.9816226959228516</v>
      </c>
      <c r="FN28" t="n" s="515">
        <v>2.1954574584960938</v>
      </c>
      <c r="FO28" t="n" s="515">
        <v>2.346898317337036</v>
      </c>
      <c r="FP28" t="n" s="515">
        <v>2.3544416427612305</v>
      </c>
      <c r="FQ28" t="n" s="515">
        <v>2.191314935684204</v>
      </c>
      <c r="FR28" t="n" s="515">
        <v>1.8793104887008667</v>
      </c>
      <c r="FS28" t="n" s="515">
        <v>1.4690594673156738</v>
      </c>
      <c r="FT28" t="n" s="515">
        <v>0.8559252619743347</v>
      </c>
      <c r="FU28" t="n" s="515">
        <v>0.15017247200012207</v>
      </c>
      <c r="FV28" t="n" s="515">
        <v>-0.7647497057914734</v>
      </c>
      <c r="FW28" t="n" s="515">
        <v>-1.3112198114395142</v>
      </c>
      <c r="FX28" t="n" s="515">
        <v>-1.5226805210113525</v>
      </c>
      <c r="FY28" t="n" s="515">
        <v>-1.613660454750061</v>
      </c>
      <c r="FZ28" t="n" s="515">
        <v>-1.5610426664352417</v>
      </c>
      <c r="GA28" t="n" s="515">
        <v>-1.4645969867706299</v>
      </c>
      <c r="GB28" t="n" s="515">
        <v>-1.3718937635421753</v>
      </c>
      <c r="GC28" t="n" s="515">
        <v>-1.4412440061569214</v>
      </c>
      <c r="GD28" t="n" s="515">
        <v>-1.4880993366241455</v>
      </c>
      <c r="GE28" t="n" s="515">
        <v>-1.4424270391464233</v>
      </c>
      <c r="GF28" t="n" s="515">
        <v>-1.2169634103775024</v>
      </c>
      <c r="GG28" t="n" s="515">
        <v>-0.8621660470962524</v>
      </c>
      <c r="GH28" t="n" s="515">
        <v>-0.44759681820869446</v>
      </c>
      <c r="GI28" t="n" s="515">
        <v>0.005388396326452494</v>
      </c>
      <c r="GJ28" t="n" s="515">
        <v>0.3355424404144287</v>
      </c>
      <c r="GK28" t="n" s="515">
        <v>0.541380763053894</v>
      </c>
      <c r="GL28" t="n" s="515">
        <v>0.661514163017273</v>
      </c>
      <c r="GM28" t="n" s="515">
        <v>0.6778333187103271</v>
      </c>
      <c r="GN28" t="n" s="515">
        <v>0.6599354147911072</v>
      </c>
      <c r="GO28" t="n" s="515">
        <v>0.5958079695701599</v>
      </c>
      <c r="GP28" t="n" s="515">
        <v>0.568717360496521</v>
      </c>
      <c r="GQ28" t="n" s="515">
        <v>0.6916787028312683</v>
      </c>
      <c r="GR28" t="n" s="515">
        <v>0.7871702313423157</v>
      </c>
      <c r="GS28" t="n" s="515">
        <v>0.8204109072685242</v>
      </c>
      <c r="GT28" t="n" s="515">
        <v>0.6377177238464355</v>
      </c>
      <c r="GU28" t="n" s="515">
        <v>0.287593275308609</v>
      </c>
      <c r="GV28" t="n" s="515">
        <v>-0.15542353689670563</v>
      </c>
      <c r="GW28" t="n" s="515">
        <v>-0.5570867657661438</v>
      </c>
      <c r="GX28" t="n" s="515">
        <v>-0.7360740303993225</v>
      </c>
      <c r="GY28" t="n" s="515">
        <v>-0.8307583332061768</v>
      </c>
      <c r="GZ28" t="n" s="515">
        <v>-0.7958959341049194</v>
      </c>
      <c r="HA28" t="n" s="515">
        <v>-0.6778866648674011</v>
      </c>
      <c r="HB28" t="n" s="515">
        <v>-0.566768229007721</v>
      </c>
      <c r="HC28" t="n" s="515">
        <v>-0.6189603805541992</v>
      </c>
      <c r="HD28" t="n" s="515">
        <v>-0.6355611085891724</v>
      </c>
      <c r="HE28" t="n" s="515">
        <v>-0.4993818402290344</v>
      </c>
      <c r="HF28" t="n" s="515">
        <v>-0.5213025212287903</v>
      </c>
      <c r="HG28" t="n" s="515">
        <v>-0.3580104112625122</v>
      </c>
      <c r="HH28" t="n" s="515">
        <v>-0.05092655122280121</v>
      </c>
      <c r="HI28" t="n" s="515">
        <v>0.37942418456077576</v>
      </c>
      <c r="HJ28" t="n" s="515">
        <v>0.6699427962303162</v>
      </c>
      <c r="HK28" t="n" s="515">
        <v>0.9579595923423767</v>
      </c>
      <c r="HL28" t="n" s="515">
        <v>1.1872519254684448</v>
      </c>
      <c r="HM28" t="n" s="515">
        <v>1.4008392095565796</v>
      </c>
      <c r="HN28" t="n" s="515">
        <v>1.8079462051391602</v>
      </c>
      <c r="HO28" t="n" s="515">
        <v>2.3326029777526855</v>
      </c>
      <c r="HP28" t="n" s="515">
        <v>2.913893938064575</v>
      </c>
      <c r="HQ28" t="n" s="515">
        <v>3.2499818801879883</v>
      </c>
      <c r="HR28" t="n" s="515">
        <v>3.5947647094726562</v>
      </c>
      <c r="HS28" t="n" s="515">
        <v>3.7680394649505615</v>
      </c>
      <c r="HT28" t="n" s="515">
        <v>3.721346616744995</v>
      </c>
      <c r="HU28" t="n" s="515">
        <v>3.4341368675231934</v>
      </c>
      <c r="HV28" t="n" s="515">
        <v>2.9828596115112305</v>
      </c>
      <c r="HW28" t="n" s="515">
        <v>2.521608591079712</v>
      </c>
      <c r="HX28" t="n" s="515">
        <v>2.1538054943084717</v>
      </c>
      <c r="HY28" t="n" s="515">
        <v>2.1434011459350586</v>
      </c>
      <c r="HZ28" t="n" s="515">
        <v>2.0889906883239746</v>
      </c>
      <c r="IA28" t="n" s="515">
        <v>1.9476866722106934</v>
      </c>
      <c r="IB28" t="n" s="515">
        <v>1.920931100845337</v>
      </c>
      <c r="IC28" t="n" s="515">
        <v>1.8248569965362549</v>
      </c>
    </row>
    <row r="29">
      <c r="A29" s="514">
        <f>A28+ABS(B29-B28)</f>
      </c>
      <c r="B29" s="514">
        <f>636.0/12</f>
      </c>
      <c r="C29" t="n" s="514">
        <v>636.0</v>
      </c>
      <c r="D29" t="n" s="515">
        <v>1.2010679244995117</v>
      </c>
      <c r="E29" t="n" s="515">
        <v>0.9854353666305542</v>
      </c>
      <c r="F29" t="n" s="515">
        <v>0.8252115249633789</v>
      </c>
      <c r="G29" t="n" s="515">
        <v>0.7741441130638123</v>
      </c>
      <c r="H29" t="n" s="515">
        <v>0.7952924966812134</v>
      </c>
      <c r="I29" t="n" s="515">
        <v>0.8686602115631104</v>
      </c>
      <c r="J29" t="n" s="515">
        <v>0.9078673720359802</v>
      </c>
      <c r="K29" t="n" s="515">
        <v>0.951557457447052</v>
      </c>
      <c r="L29" t="n" s="515">
        <v>1.0196301937103271</v>
      </c>
      <c r="M29" t="n" s="515">
        <v>0.9237241744995117</v>
      </c>
      <c r="N29" t="n" s="515">
        <v>0.8398033380508423</v>
      </c>
      <c r="O29" t="n" s="515">
        <v>0.6590108871459961</v>
      </c>
      <c r="P29" t="n" s="515">
        <v>0.7533115744590759</v>
      </c>
      <c r="Q29" t="n" s="515">
        <v>0.7683001160621643</v>
      </c>
      <c r="R29" t="n" s="515">
        <v>0.6565724611282349</v>
      </c>
      <c r="S29" t="n" s="515">
        <v>0.4603644609451294</v>
      </c>
      <c r="T29" t="n" s="515">
        <v>0.12533807754516602</v>
      </c>
      <c r="U29" t="n" s="515">
        <v>-0.27792808413505554</v>
      </c>
      <c r="V29" t="n" s="515">
        <v>-0.7051663398742676</v>
      </c>
      <c r="W29" t="n" s="515">
        <v>-1.1728386878967285</v>
      </c>
      <c r="X29" t="n" s="515">
        <v>-1.6448078155517578</v>
      </c>
      <c r="Y29" t="n" s="515">
        <v>-2.062483310699463</v>
      </c>
      <c r="Z29" t="n" s="515">
        <v>-2.365920305252075</v>
      </c>
      <c r="AA29" t="n" s="515">
        <v>-2.545591354370117</v>
      </c>
      <c r="AB29" t="n" s="515">
        <v>-2.3666563034057617</v>
      </c>
      <c r="AC29" t="n" s="515">
        <v>-1.8571542501449585</v>
      </c>
      <c r="AD29" t="n" s="515">
        <v>-1.2828667163848877</v>
      </c>
      <c r="AE29" t="n" s="515">
        <v>-0.9083389639854431</v>
      </c>
      <c r="AF29" t="n" s="515">
        <v>-0.3917650580406189</v>
      </c>
      <c r="AG29" t="n" s="515">
        <v>0.11973471194505692</v>
      </c>
      <c r="AH29" t="n" s="515">
        <v>0.47040697932243347</v>
      </c>
      <c r="AI29" t="n" s="515">
        <v>0.8283153772354126</v>
      </c>
      <c r="AJ29" t="n" s="515">
        <v>1.219104528427124</v>
      </c>
      <c r="AK29" t="n" s="515">
        <v>1.490748643875122</v>
      </c>
      <c r="AL29" t="n" s="515">
        <v>0.5465748906135559</v>
      </c>
      <c r="AM29" t="n" s="515">
        <v>1.7444361448287964</v>
      </c>
      <c r="AN29" t="n" s="515">
        <v>1.9366941452026367</v>
      </c>
      <c r="AO29" t="n" s="515">
        <v>2.068563461303711</v>
      </c>
      <c r="AP29" t="n" s="515">
        <v>2.321103096008301</v>
      </c>
      <c r="AQ29" t="n" s="515">
        <v>2.5873546600341797</v>
      </c>
      <c r="AR29" t="n" s="515">
        <v>2.8652749061584473</v>
      </c>
      <c r="AS29" t="n" s="515">
        <v>3.1405539512634277</v>
      </c>
      <c r="AT29" t="n" s="515">
        <v>3.344954252243042</v>
      </c>
      <c r="AU29" t="n" s="515">
        <v>3.4414634704589844</v>
      </c>
      <c r="AV29" t="n" s="515">
        <v>3.3878345489501953</v>
      </c>
      <c r="AW29" t="n" s="515">
        <v>3.2377829551696777</v>
      </c>
      <c r="AX29" t="n" s="515">
        <v>3.122292995452881</v>
      </c>
      <c r="AY29" t="n" s="515">
        <v>3.0016391277313232</v>
      </c>
      <c r="AZ29" t="n" s="515">
        <v>2.7897121906280518</v>
      </c>
      <c r="BA29" t="n" s="515">
        <v>2.5931894779205322</v>
      </c>
      <c r="BB29" t="n" s="515">
        <v>2.3201651573181152</v>
      </c>
      <c r="BC29" t="n" s="515">
        <v>2.020267963409424</v>
      </c>
      <c r="BD29" t="n" s="515">
        <v>1.822050929069519</v>
      </c>
      <c r="BE29" t="n" s="515">
        <v>1.642805576324463</v>
      </c>
      <c r="BF29" t="n" s="515">
        <v>1.4871736764907837</v>
      </c>
      <c r="BG29" t="n" s="515">
        <v>1.3222547769546509</v>
      </c>
      <c r="BH29" t="n" s="515">
        <v>1.1766761541366577</v>
      </c>
      <c r="BI29" t="n" s="515">
        <v>1.1213197708129883</v>
      </c>
      <c r="BJ29" t="n" s="515">
        <v>1.1305795907974243</v>
      </c>
      <c r="BK29" t="n" s="515">
        <v>1.0844311714172363</v>
      </c>
      <c r="BL29" t="n" s="515">
        <v>1.049394130706787</v>
      </c>
      <c r="BM29" t="n" s="515">
        <v>0.953971803188324</v>
      </c>
      <c r="BN29" t="n" s="515">
        <v>0.8569129705429077</v>
      </c>
      <c r="BO29" t="n" s="515">
        <v>0.715898334980011</v>
      </c>
      <c r="BP29" t="n" s="515">
        <v>0.7197459936141968</v>
      </c>
      <c r="BQ29" t="n" s="515">
        <v>0.812639057636261</v>
      </c>
      <c r="BR29" t="n" s="515">
        <v>0.8823257088661194</v>
      </c>
      <c r="BS29" t="n" s="515">
        <v>1.0238198041915894</v>
      </c>
      <c r="BT29" t="n" s="515">
        <v>1.1134060621261597</v>
      </c>
      <c r="BU29" t="n" s="515">
        <v>1.1477384567260742</v>
      </c>
      <c r="BV29" t="n" s="515">
        <v>1.1219326257705688</v>
      </c>
      <c r="BW29" t="n" s="515">
        <v>1.0706843137741089</v>
      </c>
      <c r="BX29" t="n" s="515">
        <v>0.581185519695282</v>
      </c>
      <c r="BY29" t="n" s="515">
        <v>0.755064845085144</v>
      </c>
      <c r="BZ29" t="n" s="515">
        <v>0.7152520418167114</v>
      </c>
      <c r="CA29" t="n" s="515">
        <v>0.3706338405609131</v>
      </c>
      <c r="CB29" t="n" s="515">
        <v>0.23112866282463074</v>
      </c>
      <c r="CC29" t="n" s="515">
        <v>-0.017897114157676697</v>
      </c>
      <c r="CD29" t="n" s="515">
        <v>-0.31623318791389465</v>
      </c>
      <c r="CE29" t="n" s="515">
        <v>-0.4917725622653961</v>
      </c>
      <c r="CF29" t="n" s="515">
        <v>-0.601966142654419</v>
      </c>
      <c r="CG29" t="n" s="515">
        <v>-0.7942303419113159</v>
      </c>
      <c r="CH29" t="n" s="515">
        <v>-1.02140474319458</v>
      </c>
      <c r="CI29" t="n" s="515">
        <v>-1.0319067239761353</v>
      </c>
      <c r="CJ29" t="n" s="515">
        <v>-1.127021312713623</v>
      </c>
      <c r="CK29" t="n" s="515">
        <v>-1.1615537405014038</v>
      </c>
      <c r="CL29" t="n" s="515">
        <v>-1.0026863813400269</v>
      </c>
      <c r="CM29" t="n" s="515">
        <v>-0.7082154750823975</v>
      </c>
      <c r="CN29" t="n" s="515">
        <v>-0.4499736428260803</v>
      </c>
      <c r="CO29" t="n" s="515">
        <v>-0.24472405016422272</v>
      </c>
      <c r="CP29" t="n" s="515">
        <v>0.031613342463970184</v>
      </c>
      <c r="CQ29" t="n" s="515">
        <v>0.324956476688385</v>
      </c>
      <c r="CR29" t="n" s="515">
        <v>0.6654000878334045</v>
      </c>
      <c r="CS29" t="n" s="515">
        <v>-0.07878627628087997</v>
      </c>
      <c r="CT29" t="n" s="515">
        <v>1.1129218339920044</v>
      </c>
      <c r="CU29" t="n" s="515">
        <v>1.376353144645691</v>
      </c>
      <c r="CV29" t="n" s="515">
        <v>1.6381826400756836</v>
      </c>
      <c r="CW29" t="n" s="515">
        <v>1.8760201930999756</v>
      </c>
      <c r="CX29" t="n" s="515">
        <v>1.9278961420059204</v>
      </c>
      <c r="CY29" t="n" s="515">
        <v>1.938353180885315</v>
      </c>
      <c r="CZ29" t="n" s="515">
        <v>1.4078984260559082</v>
      </c>
      <c r="DA29" t="n" s="515">
        <v>-0.9598290324211121</v>
      </c>
      <c r="DB29" t="n" s="515">
        <v>1.1200823783874512</v>
      </c>
      <c r="DC29" t="n" s="515">
        <v>1.169655442237854</v>
      </c>
      <c r="DD29" t="n" s="515">
        <v>0.874933660030365</v>
      </c>
      <c r="DE29" t="n" s="515">
        <v>0.6119194030761719</v>
      </c>
      <c r="DF29" t="n" s="515">
        <v>0.4735071659088135</v>
      </c>
      <c r="DG29" t="n" s="515">
        <v>0.36144423484802246</v>
      </c>
      <c r="DH29" t="n" s="515">
        <v>0.10609473288059235</v>
      </c>
      <c r="DI29" t="n" s="515">
        <v>-0.05489729717373848</v>
      </c>
      <c r="DJ29" t="n" s="515">
        <v>-0.1647070050239563</v>
      </c>
      <c r="DK29" t="n" s="515">
        <v>-0.18574270606040955</v>
      </c>
      <c r="DL29" t="n" s="515">
        <v>-0.2383166253566742</v>
      </c>
      <c r="DM29" t="n" s="515">
        <v>-0.40235435962677</v>
      </c>
      <c r="DN29" t="n" s="515">
        <v>-0.5779562592506409</v>
      </c>
      <c r="DO29" t="n" s="515">
        <v>-0.6979755163192749</v>
      </c>
      <c r="DP29" t="n" s="515">
        <v>-0.6977625489234924</v>
      </c>
      <c r="DQ29" t="n" s="515">
        <v>-1.0309664011001587</v>
      </c>
      <c r="DR29" t="n" s="515">
        <v>-1.0200577974319458</v>
      </c>
      <c r="DS29" t="n" s="515">
        <v>-1.231964111328125</v>
      </c>
      <c r="DT29" t="n" s="515">
        <v>-1.5007532835006714</v>
      </c>
      <c r="DU29" t="n" s="515">
        <v>-1.4873789548873901</v>
      </c>
      <c r="DV29" t="n" s="515">
        <v>-1.744970679283142</v>
      </c>
      <c r="DW29" t="n" s="515">
        <v>-1.8445489406585693</v>
      </c>
      <c r="DX29" t="n" s="515">
        <v>-1.686821460723877</v>
      </c>
      <c r="DY29" t="n" s="515">
        <v>-1.4172638654708862</v>
      </c>
      <c r="DZ29" t="n" s="515">
        <v>-1.2192293405532837</v>
      </c>
      <c r="EA29" t="n" s="515">
        <v>-1.07193922996521</v>
      </c>
      <c r="EB29" t="n" s="515">
        <v>-0.9128184914588928</v>
      </c>
      <c r="EC29" t="n" s="515">
        <v>-1.4297420978546143</v>
      </c>
      <c r="ED29" t="n" s="515">
        <v>-0.4074315130710602</v>
      </c>
      <c r="EE29" t="n" s="515">
        <v>-0.12602263689041138</v>
      </c>
      <c r="EF29" t="n" s="515">
        <v>0.08622131496667862</v>
      </c>
      <c r="EG29" t="n" s="515">
        <v>0.2982472777366638</v>
      </c>
      <c r="EH29" t="n" s="515">
        <v>0.2848300337791443</v>
      </c>
      <c r="EI29" t="n" s="515">
        <v>0.172928586602211</v>
      </c>
      <c r="EJ29" t="n" s="515">
        <v>0.4007085859775543</v>
      </c>
      <c r="EK29" t="n" s="515">
        <v>0.26426973938941956</v>
      </c>
      <c r="EL29" t="n" s="515">
        <v>0.07851820439100266</v>
      </c>
      <c r="EM29" t="n" s="515">
        <v>-0.005780794657766819</v>
      </c>
      <c r="EN29" t="n" s="515">
        <v>-0.019299224019050598</v>
      </c>
      <c r="EO29" t="n" s="515">
        <v>-0.07960597425699234</v>
      </c>
      <c r="EP29" t="n" s="515">
        <v>-0.23802411556243896</v>
      </c>
      <c r="EQ29" t="n" s="515">
        <v>-0.38620615005493164</v>
      </c>
      <c r="ER29" t="n" s="515">
        <v>-0.5330217480659485</v>
      </c>
      <c r="ES29" t="n" s="515">
        <v>-0.7709700465202332</v>
      </c>
      <c r="ET29" t="n" s="515">
        <v>-1.0421570539474487</v>
      </c>
      <c r="EU29" t="n" s="515">
        <v>-1.2421501874923706</v>
      </c>
      <c r="EV29" t="n" s="515">
        <v>-1.4434822797775269</v>
      </c>
      <c r="EW29" t="n" s="515">
        <v>-1.5991405248641968</v>
      </c>
      <c r="EX29" t="n" s="515">
        <v>-1.640917181968689</v>
      </c>
      <c r="EY29" t="n" s="515">
        <v>-1.2581467628479004</v>
      </c>
      <c r="EZ29" t="n" s="515">
        <v>-0.858909547328949</v>
      </c>
      <c r="FA29" t="n" s="515">
        <v>-0.4858875870704651</v>
      </c>
      <c r="FB29" t="n" s="515">
        <v>0.008645362220704556</v>
      </c>
      <c r="FC29" t="n" s="515">
        <v>0.49223941564559937</v>
      </c>
      <c r="FD29" t="n" s="515">
        <v>0.8950474262237549</v>
      </c>
      <c r="FE29" t="n" s="515">
        <v>1.1970157623291016</v>
      </c>
      <c r="FF29" t="n" s="515">
        <v>1.5241804122924805</v>
      </c>
      <c r="FG29" t="n" s="515">
        <v>1.7906686067581177</v>
      </c>
      <c r="FH29" t="n" s="515">
        <v>1.9429528713226318</v>
      </c>
      <c r="FI29" t="n" s="515">
        <v>1.9508577585220337</v>
      </c>
      <c r="FJ29" t="n" s="515">
        <v>1.9274325370788574</v>
      </c>
      <c r="FK29" t="n" s="515">
        <v>1.9340084791183472</v>
      </c>
      <c r="FL29" t="n" s="515">
        <v>2.029153347015381</v>
      </c>
      <c r="FM29" t="n" s="515">
        <v>2.1520657539367676</v>
      </c>
      <c r="FN29" t="n" s="515">
        <v>2.166905403137207</v>
      </c>
      <c r="FO29" t="n" s="515">
        <v>2.18042254447937</v>
      </c>
      <c r="FP29" t="n" s="515">
        <v>2.0987730026245117</v>
      </c>
      <c r="FQ29" t="n" s="515">
        <v>1.864506721496582</v>
      </c>
      <c r="FR29" t="n" s="515">
        <v>1.5388436317443848</v>
      </c>
      <c r="FS29" t="n" s="515">
        <v>1.150642991065979</v>
      </c>
      <c r="FT29" t="n" s="515">
        <v>0.6375584006309509</v>
      </c>
      <c r="FU29" t="n" s="515">
        <v>0.17878098785877228</v>
      </c>
      <c r="FV29" t="n" s="515">
        <v>-0.43514284491539</v>
      </c>
      <c r="FW29" t="n" s="515">
        <v>-0.9270613789558411</v>
      </c>
      <c r="FX29" t="n" s="515">
        <v>-1.3050124645233154</v>
      </c>
      <c r="FY29" t="n" s="515">
        <v>-1.591766595840454</v>
      </c>
      <c r="FZ29" t="n" s="515">
        <v>-1.6305588483810425</v>
      </c>
      <c r="GA29" t="n" s="515">
        <v>-1.5313265323638916</v>
      </c>
      <c r="GB29" t="n" s="515">
        <v>-1.439753770828247</v>
      </c>
      <c r="GC29" t="n" s="515">
        <v>-1.416983723640442</v>
      </c>
      <c r="GD29" t="n" s="515">
        <v>-1.3555729389190674</v>
      </c>
      <c r="GE29" t="n" s="515">
        <v>-1.2514045238494873</v>
      </c>
      <c r="GF29" t="n" s="515">
        <v>-1.0574692487716675</v>
      </c>
      <c r="GG29" t="n" s="515">
        <v>-0.7963844537734985</v>
      </c>
      <c r="GH29" t="n" s="515">
        <v>-0.5361900329589844</v>
      </c>
      <c r="GI29" t="n" s="515">
        <v>-0.247893825173378</v>
      </c>
      <c r="GJ29" t="n" s="515">
        <v>-0.045635126531124115</v>
      </c>
      <c r="GK29" t="n" s="515">
        <v>0.0775468572974205</v>
      </c>
      <c r="GL29" t="n" s="515">
        <v>0.16903719305992126</v>
      </c>
      <c r="GM29" t="n" s="515">
        <v>0.29756924510002136</v>
      </c>
      <c r="GN29" t="n" s="515">
        <v>0.4935612678527832</v>
      </c>
      <c r="GO29" t="n" s="515">
        <v>0.6638510227203369</v>
      </c>
      <c r="GP29" t="n" s="515">
        <v>0.777604877948761</v>
      </c>
      <c r="GQ29" t="n" s="515">
        <v>0.9358886480331421</v>
      </c>
      <c r="GR29" t="n" s="515">
        <v>1.0790923833847046</v>
      </c>
      <c r="GS29" t="n" s="515">
        <v>1.0485211610794067</v>
      </c>
      <c r="GT29" t="n" s="515">
        <v>0.8592278361320496</v>
      </c>
      <c r="GU29" t="n" s="515">
        <v>0.5650864243507385</v>
      </c>
      <c r="GV29" t="n" s="515">
        <v>0.20405535399913788</v>
      </c>
      <c r="GW29" t="n" s="515">
        <v>-0.1978037804365158</v>
      </c>
      <c r="GX29" t="n" s="515">
        <v>-0.5335264801979065</v>
      </c>
      <c r="GY29" t="n" s="515">
        <v>-0.8522618412971497</v>
      </c>
      <c r="GZ29" t="n" s="515">
        <v>-1.101717472076416</v>
      </c>
      <c r="HA29" t="n" s="515">
        <v>-1.1597950458526611</v>
      </c>
      <c r="HB29" t="n" s="515">
        <v>-0.9789315462112427</v>
      </c>
      <c r="HC29" t="n" s="515">
        <v>-0.8746108412742615</v>
      </c>
      <c r="HD29" t="n" s="515">
        <v>-0.802690863609314</v>
      </c>
      <c r="HE29" t="n" s="515">
        <v>-0.5609788298606873</v>
      </c>
      <c r="HF29" t="n" s="515">
        <v>-0.37714099884033203</v>
      </c>
      <c r="HG29" t="n" s="515">
        <v>-0.016876980662345886</v>
      </c>
      <c r="HH29" t="n" s="515">
        <v>0.318067342042923</v>
      </c>
      <c r="HI29" t="n" s="515">
        <v>0.7566491365432739</v>
      </c>
      <c r="HJ29" t="n" s="515">
        <v>0.9830543994903564</v>
      </c>
      <c r="HK29" t="n" s="515">
        <v>1.2187473773956299</v>
      </c>
      <c r="HL29" t="n" s="515">
        <v>1.5242290496826172</v>
      </c>
      <c r="HM29" t="n" s="515">
        <v>1.7953451871871948</v>
      </c>
      <c r="HN29" t="n" s="515">
        <v>2.200302839279175</v>
      </c>
      <c r="HO29" t="n" s="515">
        <v>2.6017982959747314</v>
      </c>
      <c r="HP29" t="n" s="515">
        <v>3.088029146194458</v>
      </c>
      <c r="HQ29" t="n" s="515">
        <v>3.389479160308838</v>
      </c>
      <c r="HR29" t="n" s="515">
        <v>3.7195398807525635</v>
      </c>
      <c r="HS29" t="n" s="515">
        <v>3.8449978828430176</v>
      </c>
      <c r="HT29" t="n" s="515">
        <v>3.7354257106781006</v>
      </c>
      <c r="HU29" t="n" s="515">
        <v>3.5134148597717285</v>
      </c>
      <c r="HV29" t="n" s="515">
        <v>3.097276210784912</v>
      </c>
      <c r="HW29" t="n" s="515">
        <v>2.761406421661377</v>
      </c>
      <c r="HX29" t="n" s="515">
        <v>2.5479390621185303</v>
      </c>
      <c r="HY29" t="n" s="515">
        <v>2.4857699871063232</v>
      </c>
      <c r="HZ29" t="n" s="515">
        <v>2.353968858718872</v>
      </c>
      <c r="IA29" t="n" s="515">
        <v>2.1035804748535156</v>
      </c>
      <c r="IB29" t="n" s="515">
        <v>1.968437910079956</v>
      </c>
      <c r="IC29" t="n" s="515">
        <v>1.872039794921875</v>
      </c>
    </row>
    <row r="30">
      <c r="A30" s="514">
        <f>A29+ABS(B30-B29)</f>
      </c>
      <c r="B30" s="514">
        <f>660.0/12</f>
      </c>
      <c r="C30" t="n" s="514">
        <v>660.0</v>
      </c>
      <c r="D30" t="n" s="515">
        <v>1.5775493383407593</v>
      </c>
      <c r="E30" t="n" s="515">
        <v>1.4095995426177979</v>
      </c>
      <c r="F30" t="n" s="515">
        <v>1.2574983835220337</v>
      </c>
      <c r="G30" t="n" s="515">
        <v>1.1365207433700562</v>
      </c>
      <c r="H30" t="n" s="515">
        <v>1.0489774942398071</v>
      </c>
      <c r="I30" t="n" s="515">
        <v>1.021563172340393</v>
      </c>
      <c r="J30" t="n" s="515">
        <v>1.0188283920288086</v>
      </c>
      <c r="K30" t="n" s="515">
        <v>1.0700143575668335</v>
      </c>
      <c r="L30" t="n" s="515">
        <v>1.0930345058441162</v>
      </c>
      <c r="M30" t="n" s="515">
        <v>1.0828334093093872</v>
      </c>
      <c r="N30" t="n" s="515">
        <v>1.1430052518844604</v>
      </c>
      <c r="O30" t="n" s="515">
        <v>1.0838176012039185</v>
      </c>
      <c r="P30" t="n" s="515">
        <v>1.077290415763855</v>
      </c>
      <c r="Q30" t="n" s="515">
        <v>1.0465537309646606</v>
      </c>
      <c r="R30" t="n" s="515">
        <v>0.9740971326828003</v>
      </c>
      <c r="S30" t="n" s="515">
        <v>0.8354403972625732</v>
      </c>
      <c r="T30" t="n" s="515">
        <v>0.5618870258331299</v>
      </c>
      <c r="U30" t="n" s="515">
        <v>0.25409695506095886</v>
      </c>
      <c r="V30" t="n" s="515">
        <v>-0.18239550292491913</v>
      </c>
      <c r="W30" t="n" s="515">
        <v>-0.6165286898612976</v>
      </c>
      <c r="X30" t="n" s="515">
        <v>-1.0216728448867798</v>
      </c>
      <c r="Y30" t="n" s="515">
        <v>-1.4933364391326904</v>
      </c>
      <c r="Z30" t="n" s="515">
        <v>-1.9607291221618652</v>
      </c>
      <c r="AA30" t="n" s="515">
        <v>-2.3773598670959473</v>
      </c>
      <c r="AB30" t="n" s="515">
        <v>-2.297992467880249</v>
      </c>
      <c r="AC30" t="n" s="515">
        <v>-1.7053359746932983</v>
      </c>
      <c r="AD30" t="n" s="515">
        <v>-1.083199381828308</v>
      </c>
      <c r="AE30" t="n" s="515">
        <v>-0.5518172979354858</v>
      </c>
      <c r="AF30" t="n" s="515">
        <v>0.027884598821401596</v>
      </c>
      <c r="AG30" t="n" s="515">
        <v>0.5161604285240173</v>
      </c>
      <c r="AH30" t="n" s="515">
        <v>0.9521975517272949</v>
      </c>
      <c r="AI30" t="n" s="515">
        <v>1.3275068998336792</v>
      </c>
      <c r="AJ30" t="n" s="515">
        <v>1.723137617111206</v>
      </c>
      <c r="AK30" t="n" s="515">
        <v>2.0417797565460205</v>
      </c>
      <c r="AL30" t="n" s="515">
        <v>0.8656740188598633</v>
      </c>
      <c r="AM30" t="n" s="515">
        <v>2.1584599018096924</v>
      </c>
      <c r="AN30" t="n" s="515">
        <v>2.354429244995117</v>
      </c>
      <c r="AO30" t="n" s="515">
        <v>2.4567277431488037</v>
      </c>
      <c r="AP30" t="n" s="515">
        <v>2.6858632564544678</v>
      </c>
      <c r="AQ30" t="n" s="515">
        <v>2.949131727218628</v>
      </c>
      <c r="AR30" t="n" s="515">
        <v>3.2514333724975586</v>
      </c>
      <c r="AS30" t="n" s="515">
        <v>3.5661962032318115</v>
      </c>
      <c r="AT30" t="n" s="515">
        <v>3.8928282260894775</v>
      </c>
      <c r="AU30" t="n" s="515">
        <v>4.0339813232421875</v>
      </c>
      <c r="AV30" t="n" s="515">
        <v>4.040255546569824</v>
      </c>
      <c r="AW30" t="n" s="515">
        <v>3.9830493927001953</v>
      </c>
      <c r="AX30" t="n" s="515">
        <v>3.8681223392486572</v>
      </c>
      <c r="AY30" t="n" s="515">
        <v>3.7234573364257812</v>
      </c>
      <c r="AZ30" t="n" s="515">
        <v>3.4806201457977295</v>
      </c>
      <c r="BA30" t="n" s="515">
        <v>3.1600358486175537</v>
      </c>
      <c r="BB30" t="n" s="515">
        <v>2.7156822681427</v>
      </c>
      <c r="BC30" t="n" s="515">
        <v>2.3256211280822754</v>
      </c>
      <c r="BD30" t="n" s="515">
        <v>2.1205430030822754</v>
      </c>
      <c r="BE30" t="n" s="515">
        <v>2.069748878479004</v>
      </c>
      <c r="BF30" t="n" s="515">
        <v>1.89122474193573</v>
      </c>
      <c r="BG30" t="n" s="515">
        <v>1.6813956499099731</v>
      </c>
      <c r="BH30" t="n" s="515">
        <v>1.4149689674377441</v>
      </c>
      <c r="BI30" t="n" s="515">
        <v>1.2537662982940674</v>
      </c>
      <c r="BJ30" t="n" s="515">
        <v>1.1960971355438232</v>
      </c>
      <c r="BK30" t="n" s="515">
        <v>1.141809344291687</v>
      </c>
      <c r="BL30" t="n" s="515">
        <v>1.1811448335647583</v>
      </c>
      <c r="BM30" t="n" s="515">
        <v>1.1600334644317627</v>
      </c>
      <c r="BN30" t="n" s="515">
        <v>1.1442174911499023</v>
      </c>
      <c r="BO30" t="n" s="515">
        <v>1.0876656770706177</v>
      </c>
      <c r="BP30" t="n" s="515">
        <v>1.161913514137268</v>
      </c>
      <c r="BQ30" t="n" s="515">
        <v>1.2694941759109497</v>
      </c>
      <c r="BR30" t="n" s="515">
        <v>1.2933845520019531</v>
      </c>
      <c r="BS30" t="n" s="515">
        <v>1.4378154277801514</v>
      </c>
      <c r="BT30" t="n" s="515">
        <v>1.6272908449172974</v>
      </c>
      <c r="BU30" t="n" s="515">
        <v>1.7706085443496704</v>
      </c>
      <c r="BV30" t="n" s="515">
        <v>1.7440576553344727</v>
      </c>
      <c r="BW30" t="n" s="515">
        <v>1.6675033569335938</v>
      </c>
      <c r="BX30" t="n" s="515">
        <v>1.1411126852035522</v>
      </c>
      <c r="BY30" t="n" s="515">
        <v>1.3290696144104004</v>
      </c>
      <c r="BZ30" t="n" s="515">
        <v>1.186126947402954</v>
      </c>
      <c r="CA30" t="n" s="515">
        <v>0.7894794344902039</v>
      </c>
      <c r="CB30" t="n" s="515">
        <v>0.48503169417381287</v>
      </c>
      <c r="CC30" t="n" s="515">
        <v>0.18207426369190216</v>
      </c>
      <c r="CD30" t="n" s="515">
        <v>-0.1476963609457016</v>
      </c>
      <c r="CE30" t="n" s="515">
        <v>-0.3468616008758545</v>
      </c>
      <c r="CF30" t="n" s="515">
        <v>-0.47217556834220886</v>
      </c>
      <c r="CG30" t="n" s="515">
        <v>-0.6403488516807556</v>
      </c>
      <c r="CH30" t="n" s="515">
        <v>-0.8334215879440308</v>
      </c>
      <c r="CI30" t="n" s="515">
        <v>-0.8077458739280701</v>
      </c>
      <c r="CJ30" t="n" s="515">
        <v>-0.8417103290557861</v>
      </c>
      <c r="CK30" t="n" s="515">
        <v>-0.7679112553596497</v>
      </c>
      <c r="CL30" t="n" s="515">
        <v>-0.7118024230003357</v>
      </c>
      <c r="CM30" t="n" s="515">
        <v>-0.47572922706604004</v>
      </c>
      <c r="CN30" t="n" s="515">
        <v>-0.34347832202911377</v>
      </c>
      <c r="CO30" t="n" s="515">
        <v>-0.1294541358947754</v>
      </c>
      <c r="CP30" t="n" s="515">
        <v>0.054187510162591934</v>
      </c>
      <c r="CQ30" t="n" s="515">
        <v>0.3453540802001953</v>
      </c>
      <c r="CR30" t="n" s="515">
        <v>0.7101501226425171</v>
      </c>
      <c r="CS30" t="n" s="515">
        <v>0.014485744759440422</v>
      </c>
      <c r="CT30" t="n" s="515">
        <v>1.3359986543655396</v>
      </c>
      <c r="CU30" t="n" s="515">
        <v>1.6527179479599</v>
      </c>
      <c r="CV30" t="n" s="515">
        <v>1.9747337102890015</v>
      </c>
      <c r="CW30" t="n" s="515">
        <v>2.244685411453247</v>
      </c>
      <c r="CX30" t="n" s="515">
        <v>2.34073543548584</v>
      </c>
      <c r="CY30" t="n" s="515">
        <v>1.8195756673812866</v>
      </c>
      <c r="CZ30" t="n" s="515">
        <v>-0.6376638412475586</v>
      </c>
      <c r="DA30" t="n" s="515">
        <v>1.665402889251709</v>
      </c>
      <c r="DB30" t="n" s="515">
        <v>1.680487871170044</v>
      </c>
      <c r="DC30" t="n" s="515">
        <v>1.3870608806610107</v>
      </c>
      <c r="DD30" t="n" s="515">
        <v>1.0788044929504395</v>
      </c>
      <c r="DE30" t="n" s="515">
        <v>0.8062200546264648</v>
      </c>
      <c r="DF30" t="n" s="515">
        <v>0.6817690134048462</v>
      </c>
      <c r="DG30" t="n" s="515">
        <v>0.706411600112915</v>
      </c>
      <c r="DH30" t="n" s="515">
        <v>0.6130163669586182</v>
      </c>
      <c r="DI30" t="n" s="515">
        <v>0.4001856744289398</v>
      </c>
      <c r="DJ30" t="n" s="515">
        <v>0.15066492557525635</v>
      </c>
      <c r="DK30" t="n" s="515">
        <v>-0.15974308550357819</v>
      </c>
      <c r="DL30" t="n" s="515">
        <v>-0.4401352107524872</v>
      </c>
      <c r="DM30" t="n" s="515">
        <v>-0.7479609251022339</v>
      </c>
      <c r="DN30" t="n" s="515">
        <v>-0.9803910255432129</v>
      </c>
      <c r="DO30" t="n" s="515">
        <v>-1.076386570930481</v>
      </c>
      <c r="DP30" t="n" s="515">
        <v>-1.0152877569198608</v>
      </c>
      <c r="DQ30" t="n" s="515">
        <v>-1.022057056427002</v>
      </c>
      <c r="DR30" t="n" s="515">
        <v>-1.0188366174697876</v>
      </c>
      <c r="DS30" t="n" s="515">
        <v>-0.951627790927887</v>
      </c>
      <c r="DT30" t="n" s="515">
        <v>-1.0134966373443604</v>
      </c>
      <c r="DU30" t="n" s="515">
        <v>-1.1445660591125488</v>
      </c>
      <c r="DV30" t="n" s="515">
        <v>-1.3944103717803955</v>
      </c>
      <c r="DW30" t="n" s="515">
        <v>-1.5601475238800049</v>
      </c>
      <c r="DX30" t="n" s="515">
        <v>-1.2409335374832153</v>
      </c>
      <c r="DY30" t="n" s="515">
        <v>-0.7053576707839966</v>
      </c>
      <c r="DZ30" t="n" s="515">
        <v>-0.5170822739601135</v>
      </c>
      <c r="EA30" t="n" s="515">
        <v>-0.41833603382110596</v>
      </c>
      <c r="EB30" t="n" s="515">
        <v>-0.4397568106651306</v>
      </c>
      <c r="EC30" t="n" s="515">
        <v>-1.1063157320022583</v>
      </c>
      <c r="ED30" t="n" s="515">
        <v>-0.26991239190101624</v>
      </c>
      <c r="EE30" t="n" s="515">
        <v>-0.22401602566242218</v>
      </c>
      <c r="EF30" t="n" s="515">
        <v>-0.029491228982806206</v>
      </c>
      <c r="EG30" t="n" s="515">
        <v>0.18444912135601044</v>
      </c>
      <c r="EH30" t="n" s="515">
        <v>0.2924879491329193</v>
      </c>
      <c r="EI30" t="n" s="515">
        <v>0.37289518117904663</v>
      </c>
      <c r="EJ30" t="n" s="515">
        <v>0.5356471538543701</v>
      </c>
      <c r="EK30" t="n" s="515">
        <v>0.7353960871696472</v>
      </c>
      <c r="EL30" t="n" s="515">
        <v>0.6762517690658569</v>
      </c>
      <c r="EM30" t="n" s="515">
        <v>0.5495471954345703</v>
      </c>
      <c r="EN30" t="n" s="515">
        <v>0.5379122495651245</v>
      </c>
      <c r="EO30" t="n" s="515">
        <v>0.3258541524410248</v>
      </c>
      <c r="EP30" t="n" s="515">
        <v>-0.01638844981789589</v>
      </c>
      <c r="EQ30" t="n" s="515">
        <v>-0.03948294743895531</v>
      </c>
      <c r="ER30" t="n" s="515">
        <v>-0.13530127704143524</v>
      </c>
      <c r="ES30" t="n" s="515">
        <v>-0.3579308092594147</v>
      </c>
      <c r="ET30" t="n" s="515">
        <v>-0.6234421133995056</v>
      </c>
      <c r="EU30" t="n" s="515">
        <v>-0.7965248823165894</v>
      </c>
      <c r="EV30" t="n" s="515">
        <v>-1.068447470664978</v>
      </c>
      <c r="EW30" t="n" s="515">
        <v>-1.405263066291809</v>
      </c>
      <c r="EX30" t="n" s="515">
        <v>-1.6214675903320312</v>
      </c>
      <c r="EY30" t="n" s="515">
        <v>-1.4169411659240723</v>
      </c>
      <c r="EZ30" t="n" s="515">
        <v>-1.1003892421722412</v>
      </c>
      <c r="FA30" t="n" s="515">
        <v>-0.6731292605400085</v>
      </c>
      <c r="FB30" t="n" s="515">
        <v>-0.25862911343574524</v>
      </c>
      <c r="FC30" t="n" s="515">
        <v>0.20078007876873016</v>
      </c>
      <c r="FD30" t="n" s="515">
        <v>0.7485347390174866</v>
      </c>
      <c r="FE30" t="n" s="515">
        <v>1.2543190717697144</v>
      </c>
      <c r="FF30" t="n" s="515">
        <v>1.8015568256378174</v>
      </c>
      <c r="FG30" t="n" s="515">
        <v>2.159871816635132</v>
      </c>
      <c r="FH30" t="n" s="515">
        <v>2.307762861251831</v>
      </c>
      <c r="FI30" t="n" s="515">
        <v>2.472198247909546</v>
      </c>
      <c r="FJ30" t="n" s="515">
        <v>2.573533535003662</v>
      </c>
      <c r="FK30" t="n" s="515">
        <v>2.6416919231414795</v>
      </c>
      <c r="FL30" t="n" s="515">
        <v>2.646165370941162</v>
      </c>
      <c r="FM30" t="n" s="515">
        <v>2.6557273864746094</v>
      </c>
      <c r="FN30" t="n" s="515">
        <v>2.525770664215088</v>
      </c>
      <c r="FO30" t="n" s="515">
        <v>2.385638952255249</v>
      </c>
      <c r="FP30" t="n" s="515">
        <v>2.233383893966675</v>
      </c>
      <c r="FQ30" t="n" s="515">
        <v>1.8305323123931885</v>
      </c>
      <c r="FR30" t="n" s="515">
        <v>1.459059476852417</v>
      </c>
      <c r="FS30" t="n" s="515">
        <v>1.1141467094421387</v>
      </c>
      <c r="FT30" t="n" s="515">
        <v>0.5817914605140686</v>
      </c>
      <c r="FU30" t="n" s="515">
        <v>0.37351056933403015</v>
      </c>
      <c r="FV30" t="n" s="515">
        <v>0.0945022851228714</v>
      </c>
      <c r="FW30" t="n" s="515">
        <v>-0.3500446379184723</v>
      </c>
      <c r="FX30" t="n" s="515">
        <v>-0.8619422316551208</v>
      </c>
      <c r="FY30" t="n" s="515">
        <v>-1.2989861965179443</v>
      </c>
      <c r="FZ30" t="n" s="515">
        <v>-1.4709734916687012</v>
      </c>
      <c r="GA30" t="n" s="515">
        <v>-1.3965893983840942</v>
      </c>
      <c r="GB30" t="n" s="515">
        <v>-1.3085851669311523</v>
      </c>
      <c r="GC30" t="n" s="515">
        <v>-1.2292704582214355</v>
      </c>
      <c r="GD30" t="n" s="515">
        <v>-1.12160062789917</v>
      </c>
      <c r="GE30" t="n" s="515">
        <v>-0.9831303954124451</v>
      </c>
      <c r="GF30" t="n" s="515">
        <v>-0.8280351758003235</v>
      </c>
      <c r="GG30" t="n" s="515">
        <v>-0.6430134177207947</v>
      </c>
      <c r="GH30" t="n" s="515">
        <v>-0.4682685136795044</v>
      </c>
      <c r="GI30" t="n" s="515">
        <v>-0.31842589378356934</v>
      </c>
      <c r="GJ30" t="n" s="515">
        <v>-0.18851135671138763</v>
      </c>
      <c r="GK30" t="n" s="515">
        <v>-0.05963153392076492</v>
      </c>
      <c r="GL30" t="n" s="515">
        <v>0.03677549213171005</v>
      </c>
      <c r="GM30" t="n" s="515">
        <v>0.2843739688396454</v>
      </c>
      <c r="GN30" t="n" s="515">
        <v>0.7046524882316589</v>
      </c>
      <c r="GO30" t="n" s="515">
        <v>0.9400839805603027</v>
      </c>
      <c r="GP30" t="n" s="515">
        <v>1.1444683074951172</v>
      </c>
      <c r="GQ30" t="n" s="515">
        <v>1.3812010288238525</v>
      </c>
      <c r="GR30" t="n" s="515">
        <v>1.5476741790771484</v>
      </c>
      <c r="GS30" t="n" s="515">
        <v>1.4702068567276</v>
      </c>
      <c r="GT30" t="n" s="515">
        <v>1.3933616876602173</v>
      </c>
      <c r="GU30" t="n" s="515">
        <v>1.147347092628479</v>
      </c>
      <c r="GV30" t="n" s="515">
        <v>0.7459293007850647</v>
      </c>
      <c r="GW30" t="n" s="515">
        <v>0.3121810555458069</v>
      </c>
      <c r="GX30" t="n" s="515">
        <v>-0.181059330701828</v>
      </c>
      <c r="GY30" t="n" s="515">
        <v>-0.7010347843170166</v>
      </c>
      <c r="GZ30" t="n" s="515">
        <v>-1.181900143623352</v>
      </c>
      <c r="HA30" t="n" s="515">
        <v>-1.4350199699401855</v>
      </c>
      <c r="HB30" t="n" s="515">
        <v>-1.2026526927947998</v>
      </c>
      <c r="HC30" t="n" s="515">
        <v>-0.8995580673217773</v>
      </c>
      <c r="HD30" t="n" s="515">
        <v>-0.5493400692939758</v>
      </c>
      <c r="HE30" t="n" s="515">
        <v>-0.259636253118515</v>
      </c>
      <c r="HF30" t="n" s="515">
        <v>0.2598264813423157</v>
      </c>
      <c r="HG30" t="n" s="515">
        <v>0.620341420173645</v>
      </c>
      <c r="HH30" t="n" s="515">
        <v>0.9727036356925964</v>
      </c>
      <c r="HI30" t="n" s="515">
        <v>1.377976417541504</v>
      </c>
      <c r="HJ30" t="n" s="515">
        <v>1.5581929683685303</v>
      </c>
      <c r="HK30" t="n" s="515">
        <v>1.7484699487686157</v>
      </c>
      <c r="HL30" t="n" s="515">
        <v>2.0779953002929688</v>
      </c>
      <c r="HM30" t="n" s="515">
        <v>2.3792126178741455</v>
      </c>
      <c r="HN30" t="n" s="515">
        <v>2.772977352142334</v>
      </c>
      <c r="HO30" t="n" s="515">
        <v>3.1337761878967285</v>
      </c>
      <c r="HP30" t="n" s="515">
        <v>3.511132001876831</v>
      </c>
      <c r="HQ30" t="n" s="515">
        <v>3.821054220199585</v>
      </c>
      <c r="HR30" t="n" s="515">
        <v>4.108258247375488</v>
      </c>
      <c r="HS30" t="n" s="515">
        <v>4.28450345993042</v>
      </c>
      <c r="HT30" t="n" s="515">
        <v>4.168509483337402</v>
      </c>
      <c r="HU30" t="n" s="515">
        <v>4.056986331939697</v>
      </c>
      <c r="HV30" t="n" s="515">
        <v>3.8296985626220703</v>
      </c>
      <c r="HW30" t="n" s="515">
        <v>3.503436803817749</v>
      </c>
      <c r="HX30" t="n" s="515">
        <v>3.421659469604492</v>
      </c>
      <c r="HY30" t="n" s="515">
        <v>3.168475389480591</v>
      </c>
      <c r="HZ30" t="n" s="515">
        <v>2.8839924335479736</v>
      </c>
      <c r="IA30" t="n" s="515">
        <v>2.5469400882720947</v>
      </c>
      <c r="IB30" t="n" s="515">
        <v>2.2699880599975586</v>
      </c>
      <c r="IC30" t="n" s="515">
        <v>2.154695987701416</v>
      </c>
    </row>
    <row r="31">
      <c r="A31" s="514">
        <f>A30+ABS(B31-B30)</f>
      </c>
      <c r="B31" s="514">
        <f>684.0/12</f>
      </c>
      <c r="C31" t="n" s="514">
        <v>684.0</v>
      </c>
      <c r="D31" t="n" s="515">
        <v>1.6627962589263916</v>
      </c>
      <c r="E31" t="n" s="515">
        <v>1.523747205734253</v>
      </c>
      <c r="F31" t="n" s="515">
        <v>1.451246738433838</v>
      </c>
      <c r="G31" t="n" s="515">
        <v>1.2982977628707886</v>
      </c>
      <c r="H31" t="n" s="515">
        <v>1.3434621095657349</v>
      </c>
      <c r="I31" t="n" s="515">
        <v>1.1922721862792969</v>
      </c>
      <c r="J31" t="n" s="515">
        <v>1.0095781087875366</v>
      </c>
      <c r="K31" t="n" s="515">
        <v>1.2593891620635986</v>
      </c>
      <c r="L31" t="n" s="515">
        <v>1.2618796825408936</v>
      </c>
      <c r="M31" t="n" s="515">
        <v>1.2650026082992554</v>
      </c>
      <c r="N31" t="n" s="515">
        <v>1.3375693559646606</v>
      </c>
      <c r="O31" t="n" s="515">
        <v>1.2924121618270874</v>
      </c>
      <c r="P31" t="n" s="515">
        <v>1.3083374500274658</v>
      </c>
      <c r="Q31" t="n" s="515">
        <v>1.2341142892837524</v>
      </c>
      <c r="R31" t="n" s="515">
        <v>1.1778452396392822</v>
      </c>
      <c r="S31" t="n" s="515">
        <v>1.1304572820663452</v>
      </c>
      <c r="T31" t="n" s="515">
        <v>0.9303185939788818</v>
      </c>
      <c r="U31" t="n" s="515">
        <v>0.5523821115493774</v>
      </c>
      <c r="V31" t="n" s="515">
        <v>0.10645531117916107</v>
      </c>
      <c r="W31" t="n" s="515">
        <v>-0.1590881645679474</v>
      </c>
      <c r="X31" t="n" s="515">
        <v>-0.543282687664032</v>
      </c>
      <c r="Y31" t="n" s="515">
        <v>-1.223330020904541</v>
      </c>
      <c r="Z31" t="n" s="515">
        <v>-1.7812392711639404</v>
      </c>
      <c r="AA31" t="n" s="515">
        <v>-2.1016809940338135</v>
      </c>
      <c r="AB31" t="n" s="515">
        <v>-2.0478193759918213</v>
      </c>
      <c r="AC31" t="n" s="515">
        <v>-1.6632647514343262</v>
      </c>
      <c r="AD31" t="n" s="515">
        <v>-1.1200318336486816</v>
      </c>
      <c r="AE31" t="n" s="515">
        <v>-0.5719327926635742</v>
      </c>
      <c r="AF31" t="n" s="515">
        <v>0.09702999144792557</v>
      </c>
      <c r="AG31" t="n" s="515">
        <v>0.5204964280128479</v>
      </c>
      <c r="AH31" t="n" s="515">
        <v>0.9992952942848206</v>
      </c>
      <c r="AI31" t="n" s="515">
        <v>1.4598740339279175</v>
      </c>
      <c r="AJ31" t="n" s="515">
        <v>1.7912242412567139</v>
      </c>
      <c r="AK31" t="n" s="515">
        <v>2.2995612621307373</v>
      </c>
      <c r="AL31" t="n" s="515">
        <v>1.533301830291748</v>
      </c>
      <c r="AM31" t="n" s="515">
        <v>2.7590346336364746</v>
      </c>
      <c r="AN31" t="n" s="515">
        <v>2.714869260787964</v>
      </c>
      <c r="AO31" t="n" s="515">
        <v>2.920741558074951</v>
      </c>
      <c r="AP31" t="n" s="515">
        <v>3.246614933013916</v>
      </c>
      <c r="AQ31" t="n" s="515">
        <v>3.495087146759033</v>
      </c>
      <c r="AR31" t="n" s="515">
        <v>3.747509479522705</v>
      </c>
      <c r="AS31" t="n" s="515">
        <v>4.016175270080566</v>
      </c>
      <c r="AT31" t="n" s="515">
        <v>4.30947208404541</v>
      </c>
      <c r="AU31" t="n" s="515">
        <v>4.530203342437744</v>
      </c>
      <c r="AV31" t="n" s="515">
        <v>4.522341728210449</v>
      </c>
      <c r="AW31" t="n" s="515">
        <v>4.340545654296875</v>
      </c>
      <c r="AX31" t="n" s="515">
        <v>4.243547439575195</v>
      </c>
      <c r="AY31" t="n" s="515">
        <v>4.1297197341918945</v>
      </c>
      <c r="AZ31" t="n" s="515">
        <v>3.793018102645874</v>
      </c>
      <c r="BA31" t="n" s="515">
        <v>3.3603227138519287</v>
      </c>
      <c r="BB31" t="n" s="515">
        <v>2.822420358657837</v>
      </c>
      <c r="BC31" t="n" s="515">
        <v>2.410173177719116</v>
      </c>
      <c r="BD31" t="n" s="515">
        <v>2.168962001800537</v>
      </c>
      <c r="BE31" t="n" s="515">
        <v>2.2460367679595947</v>
      </c>
      <c r="BF31" t="n" s="515">
        <v>2.1178107261657715</v>
      </c>
      <c r="BG31" t="n" s="515">
        <v>1.7864701747894287</v>
      </c>
      <c r="BH31" t="n" s="515">
        <v>1.4915038347244263</v>
      </c>
      <c r="BI31" t="n" s="515">
        <v>1.3776142597198486</v>
      </c>
      <c r="BJ31" t="n" s="515">
        <v>1.306276798248291</v>
      </c>
      <c r="BK31" t="n" s="515">
        <v>1.172492265701294</v>
      </c>
      <c r="BL31" t="n" s="515">
        <v>1.1238298416137695</v>
      </c>
      <c r="BM31" t="n" s="515">
        <v>1.2118909358978271</v>
      </c>
      <c r="BN31" t="n" s="515">
        <v>1.2205055952072144</v>
      </c>
      <c r="BO31" t="n" s="515">
        <v>1.1399791240692139</v>
      </c>
      <c r="BP31" t="n" s="515">
        <v>1.185045838356018</v>
      </c>
      <c r="BQ31" t="n" s="515">
        <v>1.32387113571167</v>
      </c>
      <c r="BR31" t="n" s="515">
        <v>1.3598920106887817</v>
      </c>
      <c r="BS31" t="n" s="515">
        <v>1.483843207359314</v>
      </c>
      <c r="BT31" t="n" s="515">
        <v>1.726907730102539</v>
      </c>
      <c r="BU31" t="n" s="515">
        <v>1.9115468263626099</v>
      </c>
      <c r="BV31" t="n" s="515">
        <v>1.8669047355651855</v>
      </c>
      <c r="BW31" t="n" s="515">
        <v>1.7545026540756226</v>
      </c>
      <c r="BX31" t="n" s="515">
        <v>1.337931752204895</v>
      </c>
      <c r="BY31" t="n" s="515">
        <v>1.575029730796814</v>
      </c>
      <c r="BZ31" t="n" s="515">
        <v>1.2980868816375732</v>
      </c>
      <c r="CA31" t="n" s="515">
        <v>0.896201491355896</v>
      </c>
      <c r="CB31" t="n" s="515">
        <v>0.59999680519104</v>
      </c>
      <c r="CC31" t="n" s="515">
        <v>0.2724684774875641</v>
      </c>
      <c r="CD31" t="n" s="515">
        <v>-0.10965509712696075</v>
      </c>
      <c r="CE31" t="n" s="515">
        <v>-0.4410116374492645</v>
      </c>
      <c r="CF31" t="n" s="515">
        <v>-0.7236950993537903</v>
      </c>
      <c r="CG31" t="n" s="515">
        <v>-0.9591192603111267</v>
      </c>
      <c r="CH31" t="n" s="515">
        <v>-1.2442383766174316</v>
      </c>
      <c r="CI31" t="n" s="515">
        <v>-1.252328634262085</v>
      </c>
      <c r="CJ31" t="n" s="515">
        <v>-1.1484726667404175</v>
      </c>
      <c r="CK31" t="n" s="515">
        <v>-1.0474002361297607</v>
      </c>
      <c r="CL31" t="n" s="515">
        <v>-0.9621235132217407</v>
      </c>
      <c r="CM31" t="n" s="515">
        <v>-0.6655310988426208</v>
      </c>
      <c r="CN31" t="n" s="515">
        <v>-0.4544644355773926</v>
      </c>
      <c r="CO31" t="n" s="515">
        <v>-0.3834482729434967</v>
      </c>
      <c r="CP31" t="n" s="515">
        <v>-0.07485052943229675</v>
      </c>
      <c r="CQ31" t="n" s="515">
        <v>0.3794153928756714</v>
      </c>
      <c r="CR31" t="n" s="515">
        <v>0.7262707948684692</v>
      </c>
      <c r="CS31" t="n" s="515">
        <v>0.036874208599328995</v>
      </c>
      <c r="CT31" t="n" s="515">
        <v>1.396994948387146</v>
      </c>
      <c r="CU31" t="n" s="515">
        <v>1.7510030269622803</v>
      </c>
      <c r="CV31" t="n" s="515">
        <v>2.1665003299713135</v>
      </c>
      <c r="CW31" t="n" s="515">
        <v>2.3555264472961426</v>
      </c>
      <c r="CX31" t="n" s="515">
        <v>1.7945654392242432</v>
      </c>
      <c r="CY31" t="n" s="515">
        <v>-0.3914274573326111</v>
      </c>
      <c r="CZ31" t="n" s="515">
        <v>1.8400365114212036</v>
      </c>
      <c r="DA31" t="n" s="515">
        <v>1.8115954399108887</v>
      </c>
      <c r="DB31" t="n" s="515">
        <v>1.6392877101898193</v>
      </c>
      <c r="DC31" t="n" s="515">
        <v>1.3870387077331543</v>
      </c>
      <c r="DD31" t="n" s="515">
        <v>1.0725139379501343</v>
      </c>
      <c r="DE31" t="n" s="515">
        <v>0.7876120209693909</v>
      </c>
      <c r="DF31" t="n" s="515">
        <v>0.4383997321128845</v>
      </c>
      <c r="DG31" t="n" s="515">
        <v>0.5250276327133179</v>
      </c>
      <c r="DH31" t="n" s="515">
        <v>0.7289694547653198</v>
      </c>
      <c r="DI31" t="n" s="515">
        <v>0.3435136675834656</v>
      </c>
      <c r="DJ31" t="n" s="515">
        <v>-0.046376653015613556</v>
      </c>
      <c r="DK31" t="n" s="515">
        <v>-0.18047162890434265</v>
      </c>
      <c r="DL31" t="n" s="515">
        <v>-0.6158503890037537</v>
      </c>
      <c r="DM31" t="n" s="515">
        <v>-1.0578755140304565</v>
      </c>
      <c r="DN31" t="n" s="515">
        <v>-1.3609806299209595</v>
      </c>
      <c r="DO31" t="n" s="515">
        <v>-1.4763799905776978</v>
      </c>
      <c r="DP31" t="n" s="515">
        <v>-1.511944055557251</v>
      </c>
      <c r="DQ31" t="n" s="515">
        <v>-1.4992917776107788</v>
      </c>
      <c r="DR31" t="n" s="515">
        <v>-1.36146879196167</v>
      </c>
      <c r="DS31" t="n" s="515">
        <v>-1.2323453426361084</v>
      </c>
      <c r="DT31" t="n" s="515">
        <v>-1.1717690229415894</v>
      </c>
      <c r="DU31" t="n" s="515">
        <v>-1.1499172449111938</v>
      </c>
      <c r="DV31" t="n" s="515">
        <v>-1.3502295017242432</v>
      </c>
      <c r="DW31" t="n" s="515">
        <v>-1.6080968379974365</v>
      </c>
      <c r="DX31" t="n" s="515">
        <v>-1.318386435508728</v>
      </c>
      <c r="DY31" t="n" s="515">
        <v>-0.9041329026222229</v>
      </c>
      <c r="DZ31" t="n" s="515">
        <v>-0.6184218525886536</v>
      </c>
      <c r="EA31" t="n" s="515">
        <v>-0.5184270739555359</v>
      </c>
      <c r="EB31" t="n" s="515">
        <v>-0.595771074295044</v>
      </c>
      <c r="EC31" t="n" s="515">
        <v>-1.3643478155136108</v>
      </c>
      <c r="ED31" t="n" s="515">
        <v>-0.4506639540195465</v>
      </c>
      <c r="EE31" t="n" s="515">
        <v>-0.45763933658599854</v>
      </c>
      <c r="EF31" t="n" s="515">
        <v>-0.39097461104393005</v>
      </c>
      <c r="EG31" t="n" s="515">
        <v>-0.26910385489463806</v>
      </c>
      <c r="EH31" t="n" s="515">
        <v>-0.242618590593338</v>
      </c>
      <c r="EI31" t="n" s="515">
        <v>-0.17221656441688538</v>
      </c>
      <c r="EJ31" t="n" s="515">
        <v>0.09771675616502762</v>
      </c>
      <c r="EK31" t="n" s="515">
        <v>0.3520244061946869</v>
      </c>
      <c r="EL31" t="n" s="515">
        <v>0.3935443162918091</v>
      </c>
      <c r="EM31" t="n" s="515">
        <v>0.3809647858142853</v>
      </c>
      <c r="EN31" t="n" s="515">
        <v>0.45153161883354187</v>
      </c>
      <c r="EO31" t="n" s="515">
        <v>0.3065275549888611</v>
      </c>
      <c r="EP31" t="n" s="515">
        <v>-0.030576545745134354</v>
      </c>
      <c r="EQ31" t="n" s="515">
        <v>0.5071613192558289</v>
      </c>
      <c r="ER31" t="n" s="515">
        <v>0.7593905925750732</v>
      </c>
      <c r="ES31" t="n" s="515">
        <v>0.09170413762331009</v>
      </c>
      <c r="ET31" t="n" s="515">
        <v>-0.6459534764289856</v>
      </c>
      <c r="EU31" t="n" s="515">
        <v>-0.9035618305206299</v>
      </c>
      <c r="EV31" t="n" s="515">
        <v>-1.1673215627670288</v>
      </c>
      <c r="EW31" t="n" s="515">
        <v>-1.4914578199386597</v>
      </c>
      <c r="EX31" t="n" s="515">
        <v>-1.7923548221588135</v>
      </c>
      <c r="EY31" t="n" s="515">
        <v>-1.6232624053955078</v>
      </c>
      <c r="EZ31" t="n" s="515">
        <v>-1.3761405944824219</v>
      </c>
      <c r="FA31" t="n" s="515">
        <v>-1.0774509906768799</v>
      </c>
      <c r="FB31" t="n" s="515">
        <v>-0.7450746297836304</v>
      </c>
      <c r="FC31" t="n" s="515">
        <v>-0.19263911247253418</v>
      </c>
      <c r="FD31" t="n" s="515">
        <v>0.48490333557128906</v>
      </c>
      <c r="FE31" t="n" s="515">
        <v>1.0700383186340332</v>
      </c>
      <c r="FF31" t="n" s="515">
        <v>1.649632215499878</v>
      </c>
      <c r="FG31" t="n" s="515">
        <v>2.2271535396575928</v>
      </c>
      <c r="FH31" t="n" s="515">
        <v>2.627272844314575</v>
      </c>
      <c r="FI31" t="n" s="515">
        <v>2.680468797683716</v>
      </c>
      <c r="FJ31" t="n" s="515">
        <v>2.814392566680908</v>
      </c>
      <c r="FK31" t="n" s="515">
        <v>2.801487922668457</v>
      </c>
      <c r="FL31" t="n" s="515">
        <v>2.700242280960083</v>
      </c>
      <c r="FM31" t="n" s="515">
        <v>2.6391971111297607</v>
      </c>
      <c r="FN31" t="n" s="515">
        <v>2.5364489555358887</v>
      </c>
      <c r="FO31" t="n" s="515">
        <v>2.2932162284851074</v>
      </c>
      <c r="FP31" t="n" s="515">
        <v>2.032668352127075</v>
      </c>
      <c r="FQ31" t="n" s="515">
        <v>1.6449874639511108</v>
      </c>
      <c r="FR31" t="n" s="515">
        <v>1.2480710744857788</v>
      </c>
      <c r="FS31" t="n" s="515">
        <v>0.8483422994613647</v>
      </c>
      <c r="FT31" t="n" s="515">
        <v>0.3664032220840454</v>
      </c>
      <c r="FU31" t="n" s="515">
        <v>0.1489994078874588</v>
      </c>
      <c r="FV31" t="n" s="515">
        <v>0.012861834838986397</v>
      </c>
      <c r="FW31" t="n" s="515">
        <v>-0.31816762685775757</v>
      </c>
      <c r="FX31" t="n" s="515">
        <v>-0.779393196105957</v>
      </c>
      <c r="FY31" t="n" s="515">
        <v>-1.1534831523895264</v>
      </c>
      <c r="FZ31" t="n" s="515">
        <v>-1.2802327871322632</v>
      </c>
      <c r="GA31" t="n" s="515">
        <v>-1.2125037908554077</v>
      </c>
      <c r="GB31" t="n" s="515">
        <v>-1.1299246549606323</v>
      </c>
      <c r="GC31" t="n" s="515">
        <v>-1.1320489645004272</v>
      </c>
      <c r="GD31" t="n" s="515">
        <v>-1.1232414245605469</v>
      </c>
      <c r="GE31" t="n" s="515">
        <v>-1.0051724910736084</v>
      </c>
      <c r="GF31" t="n" s="515">
        <v>-0.8150806427001953</v>
      </c>
      <c r="GG31" t="n" s="515">
        <v>-0.6917858719825745</v>
      </c>
      <c r="GH31" t="n" s="515">
        <v>-0.5503669381141663</v>
      </c>
      <c r="GI31" t="n" s="515">
        <v>-0.41092804074287415</v>
      </c>
      <c r="GJ31" t="n" s="515">
        <v>-0.2870793044567108</v>
      </c>
      <c r="GK31" t="n" s="515">
        <v>-0.23587529361248016</v>
      </c>
      <c r="GL31" t="n" s="515">
        <v>-0.2577197849750519</v>
      </c>
      <c r="GM31" t="n" s="515">
        <v>0.32619601488113403</v>
      </c>
      <c r="GN31" t="n" s="515">
        <v>1.1038968563079834</v>
      </c>
      <c r="GO31" t="n" s="515">
        <v>1.1401097774505615</v>
      </c>
      <c r="GP31" t="n" s="515">
        <v>1.117675542831421</v>
      </c>
      <c r="GQ31" t="n" s="515">
        <v>1.427890419960022</v>
      </c>
      <c r="GR31" t="n" s="515">
        <v>1.5616713762283325</v>
      </c>
      <c r="GS31" t="n" s="515">
        <v>1.660421371459961</v>
      </c>
      <c r="GT31" t="n" s="515">
        <v>1.7899161577224731</v>
      </c>
      <c r="GU31" t="n" s="515">
        <v>1.6213313341140747</v>
      </c>
      <c r="GV31" t="n" s="515">
        <v>1.217259407043457</v>
      </c>
      <c r="GW31" t="n" s="515">
        <v>0.7842622995376587</v>
      </c>
      <c r="GX31" t="n" s="515">
        <v>0.24127602577209473</v>
      </c>
      <c r="GY31" t="n" s="515">
        <v>-0.5062318444252014</v>
      </c>
      <c r="GZ31" t="n" s="515">
        <v>-1.133191466331482</v>
      </c>
      <c r="HA31" t="n" s="515">
        <v>-1.3126684427261353</v>
      </c>
      <c r="HB31" t="n" s="515">
        <v>-1.1351134777069092</v>
      </c>
      <c r="HC31" t="n" s="515">
        <v>-0.8246940970420837</v>
      </c>
      <c r="HD31" t="n" s="515">
        <v>-0.43059542775154114</v>
      </c>
      <c r="HE31" t="n" s="515">
        <v>-0.05051809176802635</v>
      </c>
      <c r="HF31" t="n" s="515">
        <v>0.637673020362854</v>
      </c>
      <c r="HG31" t="n" s="515">
        <v>1.0701481103897095</v>
      </c>
      <c r="HH31" t="n" s="515">
        <v>1.3758330345153809</v>
      </c>
      <c r="HI31" t="n" s="515">
        <v>1.843724012374878</v>
      </c>
      <c r="HJ31" t="n" s="515">
        <v>2.2406411170959473</v>
      </c>
      <c r="HK31" t="n" s="515">
        <v>2.321859836578369</v>
      </c>
      <c r="HL31" t="n" s="515">
        <v>2.6555047035217285</v>
      </c>
      <c r="HM31" t="n" s="515">
        <v>3.026366949081421</v>
      </c>
      <c r="HN31" t="n" s="515">
        <v>3.3139536380767822</v>
      </c>
      <c r="HO31" t="n" s="515">
        <v>3.6411259174346924</v>
      </c>
      <c r="HP31" t="n" s="515">
        <v>3.9847538471221924</v>
      </c>
      <c r="HQ31" t="n" s="515">
        <v>4.2400078773498535</v>
      </c>
      <c r="HR31" t="n" s="515">
        <v>4.4529032707214355</v>
      </c>
      <c r="HS31" t="n" s="515">
        <v>4.594015598297119</v>
      </c>
      <c r="HT31" t="n" s="515">
        <v>4.600947380065918</v>
      </c>
      <c r="HU31" t="n" s="515">
        <v>4.5265984535217285</v>
      </c>
      <c r="HV31" t="n" s="515">
        <v>4.29966926574707</v>
      </c>
      <c r="HW31" t="n" s="515">
        <v>4.009568214416504</v>
      </c>
      <c r="HX31" t="n" s="515">
        <v>3.8791065216064453</v>
      </c>
      <c r="HY31" t="n" s="515">
        <v>3.5815184116363525</v>
      </c>
      <c r="HZ31" t="n" s="515">
        <v>3.1516261100769043</v>
      </c>
      <c r="IA31" t="n" s="515">
        <v>2.717940092086792</v>
      </c>
      <c r="IB31" t="n" s="515">
        <v>2.331636667251587</v>
      </c>
      <c r="IC31" t="n" s="515">
        <v>2.20184588432312</v>
      </c>
    </row>
    <row r="32">
      <c r="A32" s="514">
        <f>A31+ABS(B32-B31)</f>
      </c>
      <c r="B32" s="514">
        <f>708.0/12</f>
      </c>
      <c r="C32" t="n" s="514">
        <v>708.0</v>
      </c>
      <c r="D32" t="n" s="515">
        <v>1.354838490486145</v>
      </c>
      <c r="E32" t="n" s="515">
        <v>1.1967957019805908</v>
      </c>
      <c r="F32" t="n" s="515">
        <v>1.1942071914672852</v>
      </c>
      <c r="G32" t="n" s="515">
        <v>1.175906777381897</v>
      </c>
      <c r="H32" t="n" s="515">
        <v>1.2019869089126587</v>
      </c>
      <c r="I32" t="n" s="515">
        <v>1.1223102807998657</v>
      </c>
      <c r="J32" t="n" s="515">
        <v>1.0122456550598145</v>
      </c>
      <c r="K32" t="n" s="515">
        <v>1.067649483680725</v>
      </c>
      <c r="L32" t="n" s="515">
        <v>1.0026679039001465</v>
      </c>
      <c r="M32" t="n" s="515">
        <v>0.9461394548416138</v>
      </c>
      <c r="N32" t="n" s="515">
        <v>0.9333210587501526</v>
      </c>
      <c r="O32" t="n" s="515">
        <v>0.9074129462242126</v>
      </c>
      <c r="P32" t="n" s="515">
        <v>0.8940522074699402</v>
      </c>
      <c r="Q32" t="n" s="515">
        <v>0.8270227909088135</v>
      </c>
      <c r="R32" t="n" s="515">
        <v>0.7611952424049377</v>
      </c>
      <c r="S32" t="n" s="515">
        <v>0.7621860504150391</v>
      </c>
      <c r="T32" t="n" s="515">
        <v>0.5537295937538147</v>
      </c>
      <c r="U32" t="n" s="515">
        <v>0.23229946196079254</v>
      </c>
      <c r="V32" t="n" s="515">
        <v>-0.06126638129353523</v>
      </c>
      <c r="W32" t="n" s="515">
        <v>-0.31601613759994507</v>
      </c>
      <c r="X32" t="n" s="515">
        <v>-0.707160472869873</v>
      </c>
      <c r="Y32" t="n" s="515">
        <v>-1.2209258079528809</v>
      </c>
      <c r="Z32" t="n" s="515">
        <v>-1.636374831199646</v>
      </c>
      <c r="AA32" t="n" s="515">
        <v>-1.8624486923217773</v>
      </c>
      <c r="AB32" t="n" s="515">
        <v>-1.862005352973938</v>
      </c>
      <c r="AC32" t="n" s="515">
        <v>-1.6927978992462158</v>
      </c>
      <c r="AD32" t="n" s="515">
        <v>-1.342892050743103</v>
      </c>
      <c r="AE32" t="n" s="515">
        <v>-0.9612114429473877</v>
      </c>
      <c r="AF32" t="n" s="515">
        <v>-0.5023013353347778</v>
      </c>
      <c r="AG32" t="n" s="515">
        <v>-0.05276419594883919</v>
      </c>
      <c r="AH32" t="n" s="515">
        <v>0.41909000277519226</v>
      </c>
      <c r="AI32" t="n" s="515">
        <v>0.9143924117088318</v>
      </c>
      <c r="AJ32" t="n" s="515">
        <v>1.2855905294418335</v>
      </c>
      <c r="AK32" t="n" s="515">
        <v>1.9816454648971558</v>
      </c>
      <c r="AL32" t="n" s="515">
        <v>1.2476121187210083</v>
      </c>
      <c r="AM32" t="n" s="515">
        <v>2.7730729579925537</v>
      </c>
      <c r="AN32" t="n" s="515">
        <v>2.8993325233459473</v>
      </c>
      <c r="AO32" t="n" s="515">
        <v>3.2196645736694336</v>
      </c>
      <c r="AP32" t="n" s="515">
        <v>3.553607225418091</v>
      </c>
      <c r="AQ32" t="n" s="515">
        <v>3.7757015228271484</v>
      </c>
      <c r="AR32" t="n" s="515">
        <v>3.918198347091675</v>
      </c>
      <c r="AS32" t="n" s="515">
        <v>4.042598724365234</v>
      </c>
      <c r="AT32" t="n" s="515">
        <v>4.2025861740112305</v>
      </c>
      <c r="AU32" t="n" s="515">
        <v>4.321237564086914</v>
      </c>
      <c r="AV32" t="n" s="515">
        <v>4.254513740539551</v>
      </c>
      <c r="AW32" t="n" s="515">
        <v>4.065313816070557</v>
      </c>
      <c r="AX32" t="n" s="515">
        <v>3.9136929512023926</v>
      </c>
      <c r="AY32" t="n" s="515">
        <v>3.7154898643493652</v>
      </c>
      <c r="AZ32" t="n" s="515">
        <v>3.401759624481201</v>
      </c>
      <c r="BA32" t="n" s="515">
        <v>2.9705867767333984</v>
      </c>
      <c r="BB32" t="n" s="515">
        <v>2.493802547454834</v>
      </c>
      <c r="BC32" t="n" s="515">
        <v>2.0894758701324463</v>
      </c>
      <c r="BD32" t="n" s="515">
        <v>1.9918651580810547</v>
      </c>
      <c r="BE32" t="n" s="515">
        <v>2.033478260040283</v>
      </c>
      <c r="BF32" t="n" s="515">
        <v>1.8824361562728882</v>
      </c>
      <c r="BG32" t="n" s="515">
        <v>1.6228809356689453</v>
      </c>
      <c r="BH32" t="n" s="515">
        <v>1.361240267753601</v>
      </c>
      <c r="BI32" t="n" s="515">
        <v>1.2816863059997559</v>
      </c>
      <c r="BJ32" t="n" s="515">
        <v>1.1608144044876099</v>
      </c>
      <c r="BK32" t="n" s="515">
        <v>0.9744673371315002</v>
      </c>
      <c r="BL32" t="n" s="515">
        <v>0.8917714953422546</v>
      </c>
      <c r="BM32" t="n" s="515">
        <v>0.902280867099762</v>
      </c>
      <c r="BN32" t="n" s="515">
        <v>0.9112000465393066</v>
      </c>
      <c r="BO32" t="n" s="515">
        <v>0.8691737651824951</v>
      </c>
      <c r="BP32" t="n" s="515">
        <v>0.9257678985595703</v>
      </c>
      <c r="BQ32" t="n" s="515">
        <v>1.032538890838623</v>
      </c>
      <c r="BR32" t="n" s="515">
        <v>1.1245404481887817</v>
      </c>
      <c r="BS32" t="n" s="515">
        <v>1.3372913599014282</v>
      </c>
      <c r="BT32" t="n" s="515">
        <v>1.5880804061889648</v>
      </c>
      <c r="BU32" t="n" s="515">
        <v>1.7314732074737549</v>
      </c>
      <c r="BV32" t="n" s="515">
        <v>1.7707912921905518</v>
      </c>
      <c r="BW32" t="n" s="515">
        <v>1.677243709564209</v>
      </c>
      <c r="BX32" t="n" s="515">
        <v>1.1063616275787354</v>
      </c>
      <c r="BY32" t="n" s="515">
        <v>1.3465354442596436</v>
      </c>
      <c r="BZ32" t="n" s="515">
        <v>1.2558016777038574</v>
      </c>
      <c r="CA32" t="n" s="515">
        <v>0.8720029592514038</v>
      </c>
      <c r="CB32" t="n" s="515">
        <v>0.5725599527359009</v>
      </c>
      <c r="CC32" t="n" s="515">
        <v>0.23227137327194214</v>
      </c>
      <c r="CD32" t="n" s="515">
        <v>-0.163886159658432</v>
      </c>
      <c r="CE32" t="n" s="515">
        <v>-0.5926046967506409</v>
      </c>
      <c r="CF32" t="n" s="515">
        <v>-1.029987096786499</v>
      </c>
      <c r="CG32" t="n" s="515">
        <v>-1.4237537384033203</v>
      </c>
      <c r="CH32" t="n" s="515">
        <v>-1.7535566091537476</v>
      </c>
      <c r="CI32" t="n" s="515">
        <v>-1.9176546335220337</v>
      </c>
      <c r="CJ32" t="n" s="515">
        <v>-1.861141324043274</v>
      </c>
      <c r="CK32" t="n" s="515">
        <v>-1.7070242166519165</v>
      </c>
      <c r="CL32" t="n" s="515">
        <v>-1.5215346813201904</v>
      </c>
      <c r="CM32" t="n" s="515">
        <v>-1.2116585969924927</v>
      </c>
      <c r="CN32" t="n" s="515">
        <v>-0.7481675744056702</v>
      </c>
      <c r="CO32" t="n" s="515">
        <v>-0.5954034924507141</v>
      </c>
      <c r="CP32" t="n" s="515">
        <v>-0.27710041403770447</v>
      </c>
      <c r="CQ32" t="n" s="515">
        <v>0.17584596574306488</v>
      </c>
      <c r="CR32" t="n" s="515">
        <v>0.5214635133743286</v>
      </c>
      <c r="CS32" t="n" s="515">
        <v>-0.2989059388637543</v>
      </c>
      <c r="CT32" t="n" s="515">
        <v>1.1213629245758057</v>
      </c>
      <c r="CU32" t="n" s="515">
        <v>1.5259594917297363</v>
      </c>
      <c r="CV32" t="n" s="515">
        <v>1.9060932397842407</v>
      </c>
      <c r="CW32" t="n" s="515">
        <v>1.7165521383285522</v>
      </c>
      <c r="CX32" t="n" s="515">
        <v>-0.4748789370059967</v>
      </c>
      <c r="CY32" t="n" s="515">
        <v>1.920606017112732</v>
      </c>
      <c r="CZ32" t="n" s="515">
        <v>1.9022823572158813</v>
      </c>
      <c r="DA32" t="n" s="515">
        <v>1.7074159383773804</v>
      </c>
      <c r="DB32" t="n" s="515">
        <v>1.5220364332199097</v>
      </c>
      <c r="DC32" t="n" s="515">
        <v>1.2742735147476196</v>
      </c>
      <c r="DD32" t="n" s="515">
        <v>0.9670776724815369</v>
      </c>
      <c r="DE32" t="n" s="515">
        <v>0.5749672651290894</v>
      </c>
      <c r="DF32" t="n" s="515">
        <v>0.21304340660572052</v>
      </c>
      <c r="DG32" t="n" s="515">
        <v>0.1674715131521225</v>
      </c>
      <c r="DH32" t="n" s="515">
        <v>0.23313407599925995</v>
      </c>
      <c r="DI32" t="n" s="515">
        <v>-0.00674852030351758</v>
      </c>
      <c r="DJ32" t="n" s="515">
        <v>-0.31061917543411255</v>
      </c>
      <c r="DK32" t="n" s="515">
        <v>-0.5203125476837158</v>
      </c>
      <c r="DL32" t="n" s="515">
        <v>-0.8762359619140625</v>
      </c>
      <c r="DM32" t="n" s="515">
        <v>-1.296142578125</v>
      </c>
      <c r="DN32" t="n" s="515">
        <v>-1.6327077150344849</v>
      </c>
      <c r="DO32" t="n" s="515">
        <v>-1.8664908409118652</v>
      </c>
      <c r="DP32" t="n" s="515">
        <v>-1.9938372373580933</v>
      </c>
      <c r="DQ32" t="n" s="515">
        <v>-1.983694314956665</v>
      </c>
      <c r="DR32" t="n" s="515">
        <v>-1.8498729467391968</v>
      </c>
      <c r="DS32" t="n" s="515">
        <v>-1.688091516494751</v>
      </c>
      <c r="DT32" t="n" s="515">
        <v>-1.5397847890853882</v>
      </c>
      <c r="DU32" t="n" s="515">
        <v>-1.3826602697372437</v>
      </c>
      <c r="DV32" t="n" s="515">
        <v>-1.4215259552001953</v>
      </c>
      <c r="DW32" t="n" s="515">
        <v>-1.6268173456192017</v>
      </c>
      <c r="DX32" t="n" s="515">
        <v>-1.4476698637008667</v>
      </c>
      <c r="DY32" t="n" s="515">
        <v>-1.146809697151184</v>
      </c>
      <c r="DZ32" t="n" s="515">
        <v>-0.7396351099014282</v>
      </c>
      <c r="EA32" t="n" s="515">
        <v>-0.5474039912223816</v>
      </c>
      <c r="EB32" t="n" s="515">
        <v>-0.5407612919807434</v>
      </c>
      <c r="EC32" t="n" s="515">
        <v>-1.2462443113327026</v>
      </c>
      <c r="ED32" t="n" s="515">
        <v>-0.4820975959300995</v>
      </c>
      <c r="EE32" t="n" s="515">
        <v>-0.5388342142105103</v>
      </c>
      <c r="EF32" t="n" s="515">
        <v>-0.572009801864624</v>
      </c>
      <c r="EG32" t="n" s="515">
        <v>-0.5682455897331238</v>
      </c>
      <c r="EH32" t="n" s="515">
        <v>-0.6080675721168518</v>
      </c>
      <c r="EI32" t="n" s="515">
        <v>-0.5304837822914124</v>
      </c>
      <c r="EJ32" t="n" s="515">
        <v>-0.34821921586990356</v>
      </c>
      <c r="EK32" t="n" s="515">
        <v>-0.16244001686573029</v>
      </c>
      <c r="EL32" t="n" s="515">
        <v>-0.04928218200802803</v>
      </c>
      <c r="EM32" t="n" s="515">
        <v>0.10106256604194641</v>
      </c>
      <c r="EN32" t="n" s="515">
        <v>0.252334326505661</v>
      </c>
      <c r="EO32" t="n" s="515">
        <v>0.1433260142803192</v>
      </c>
      <c r="EP32" t="n" s="515">
        <v>-0.02492518536746502</v>
      </c>
      <c r="EQ32" t="n" s="515">
        <v>0.5921474099159241</v>
      </c>
      <c r="ER32" t="n" s="515">
        <v>0.712814450263977</v>
      </c>
      <c r="ES32" t="n" s="515">
        <v>0.05554252490401268</v>
      </c>
      <c r="ET32" t="n" s="515">
        <v>-0.6958566308021545</v>
      </c>
      <c r="EU32" t="n" s="515">
        <v>-1.027736783027649</v>
      </c>
      <c r="EV32" t="n" s="515">
        <v>-1.3108185529708862</v>
      </c>
      <c r="EW32" t="n" s="515">
        <v>-1.7503421306610107</v>
      </c>
      <c r="EX32" t="n" s="515">
        <v>-2.012113094329834</v>
      </c>
      <c r="EY32" t="n" s="515">
        <v>-1.9043571949005127</v>
      </c>
      <c r="EZ32" t="n" s="515">
        <v>-1.6537744998931885</v>
      </c>
      <c r="FA32" t="n" s="515">
        <v>-1.3871595859527588</v>
      </c>
      <c r="FB32" t="n" s="515">
        <v>-1.0324989557266235</v>
      </c>
      <c r="FC32" t="n" s="515">
        <v>-0.4972641170024872</v>
      </c>
      <c r="FD32" t="n" s="515">
        <v>0.14268185198307037</v>
      </c>
      <c r="FE32" t="n" s="515">
        <v>0.7359903454780579</v>
      </c>
      <c r="FF32" t="n" s="515">
        <v>1.3187764883041382</v>
      </c>
      <c r="FG32" t="n" s="515">
        <v>1.8527549505233765</v>
      </c>
      <c r="FH32" t="n" s="515">
        <v>2.3435616493225098</v>
      </c>
      <c r="FI32" t="n" s="515">
        <v>2.4793925285339355</v>
      </c>
      <c r="FJ32" t="n" s="515">
        <v>2.647857666015625</v>
      </c>
      <c r="FK32" t="n" s="515">
        <v>2.660224437713623</v>
      </c>
      <c r="FL32" t="n" s="515">
        <v>2.538029670715332</v>
      </c>
      <c r="FM32" t="n" s="515">
        <v>2.425386667251587</v>
      </c>
      <c r="FN32" t="n" s="515">
        <v>2.285752296447754</v>
      </c>
      <c r="FO32" t="n" s="515">
        <v>2.0446503162384033</v>
      </c>
      <c r="FP32" t="n" s="515">
        <v>1.7577260732650757</v>
      </c>
      <c r="FQ32" t="n" s="515">
        <v>1.4297837018966675</v>
      </c>
      <c r="FR32" t="n" s="515">
        <v>1.0442310571670532</v>
      </c>
      <c r="FS32" t="n" s="515">
        <v>0.6294448971748352</v>
      </c>
      <c r="FT32" t="n" s="515">
        <v>0.19872285425662994</v>
      </c>
      <c r="FU32" t="n" s="515">
        <v>-0.11789792031049728</v>
      </c>
      <c r="FV32" t="n" s="515">
        <v>-0.3175654113292694</v>
      </c>
      <c r="FW32" t="n" s="515">
        <v>-0.5898752212524414</v>
      </c>
      <c r="FX32" t="n" s="515">
        <v>-0.9501819610595703</v>
      </c>
      <c r="FY32" t="n" s="515">
        <v>-1.2585475444793701</v>
      </c>
      <c r="FZ32" t="n" s="515">
        <v>-1.3939297199249268</v>
      </c>
      <c r="GA32" t="n" s="515">
        <v>-1.2885913848876953</v>
      </c>
      <c r="GB32" t="n" s="515">
        <v>-1.2251853942871094</v>
      </c>
      <c r="GC32" t="n" s="515">
        <v>-1.2683727741241455</v>
      </c>
      <c r="GD32" t="n" s="515">
        <v>-1.291398286819458</v>
      </c>
      <c r="GE32" t="n" s="515">
        <v>-1.2039809226989746</v>
      </c>
      <c r="GF32" t="n" s="515">
        <v>-1.0549520254135132</v>
      </c>
      <c r="GG32" t="n" s="515">
        <v>-0.923011839389801</v>
      </c>
      <c r="GH32" t="n" s="515">
        <v>-0.7431554794311523</v>
      </c>
      <c r="GI32" t="n" s="515">
        <v>-0.5618137121200562</v>
      </c>
      <c r="GJ32" t="n" s="515">
        <v>-0.41638511419296265</v>
      </c>
      <c r="GK32" t="n" s="515">
        <v>-0.3518190383911133</v>
      </c>
      <c r="GL32" t="n" s="515">
        <v>-0.3496442437171936</v>
      </c>
      <c r="GM32" t="n" s="515">
        <v>0.09480206668376923</v>
      </c>
      <c r="GN32" t="n" s="515">
        <v>0.6382963061332703</v>
      </c>
      <c r="GO32" t="n" s="515">
        <v>0.6281338930130005</v>
      </c>
      <c r="GP32" t="n" s="515">
        <v>0.6063830256462097</v>
      </c>
      <c r="GQ32" t="n" s="515">
        <v>0.8203253149986267</v>
      </c>
      <c r="GR32" t="n" s="515">
        <v>0.9597634673118591</v>
      </c>
      <c r="GS32" t="n" s="515">
        <v>1.0683423280715942</v>
      </c>
      <c r="GT32" t="n" s="515">
        <v>1.1268696784973145</v>
      </c>
      <c r="GU32" t="n" s="515">
        <v>0.9649756550788879</v>
      </c>
      <c r="GV32" t="n" s="515">
        <v>0.6263197660446167</v>
      </c>
      <c r="GW32" t="n" s="515">
        <v>0.2681005895137787</v>
      </c>
      <c r="GX32" t="n" s="515">
        <v>-0.14153189957141876</v>
      </c>
      <c r="GY32" t="n" s="515">
        <v>-0.7096619606018066</v>
      </c>
      <c r="GZ32" t="n" s="515">
        <v>-1.1558773517608643</v>
      </c>
      <c r="HA32" t="n" s="515">
        <v>-1.3076696395874023</v>
      </c>
      <c r="HB32" t="n" s="515">
        <v>-1.2358314990997314</v>
      </c>
      <c r="HC32" t="n" s="515">
        <v>-1.031286597251892</v>
      </c>
      <c r="HD32" t="n" s="515">
        <v>-0.7266454696655273</v>
      </c>
      <c r="HE32" t="n" s="515">
        <v>-0.38422152400016785</v>
      </c>
      <c r="HF32" t="n" s="515">
        <v>0.21417781710624695</v>
      </c>
      <c r="HG32" t="n" s="515">
        <v>0.7481300830841064</v>
      </c>
      <c r="HH32" t="n" s="515">
        <v>1.2046922445297241</v>
      </c>
      <c r="HI32" t="n" s="515">
        <v>1.8128609657287598</v>
      </c>
      <c r="HJ32" t="n" s="515">
        <v>2.327366352081299</v>
      </c>
      <c r="HK32" t="n" s="515">
        <v>2.563422679901123</v>
      </c>
      <c r="HL32" t="n" s="515">
        <v>2.876052141189575</v>
      </c>
      <c r="HM32" t="n" s="515">
        <v>3.211481809616089</v>
      </c>
      <c r="HN32" t="n" s="515">
        <v>3.457716703414917</v>
      </c>
      <c r="HO32" t="n" s="515">
        <v>3.711923599243164</v>
      </c>
      <c r="HP32" t="n" s="515">
        <v>4.004275321960449</v>
      </c>
      <c r="HQ32" t="n" s="515">
        <v>4.196447372436523</v>
      </c>
      <c r="HR32" t="n" s="515">
        <v>4.33322286605835</v>
      </c>
      <c r="HS32" t="n" s="515">
        <v>4.426436424255371</v>
      </c>
      <c r="HT32" t="n" s="515">
        <v>4.415189266204834</v>
      </c>
      <c r="HU32" t="n" s="515">
        <v>4.264242649078369</v>
      </c>
      <c r="HV32" t="n" s="515">
        <v>4.023474216461182</v>
      </c>
      <c r="HW32" t="n" s="515">
        <v>3.774980306625366</v>
      </c>
      <c r="HX32" t="n" s="515">
        <v>3.5448803901672363</v>
      </c>
      <c r="HY32" t="n" s="515">
        <v>3.2339603900909424</v>
      </c>
      <c r="HZ32" t="n" s="515">
        <v>2.822244167327881</v>
      </c>
      <c r="IA32" t="n" s="515">
        <v>2.3699779510498047</v>
      </c>
      <c r="IB32" t="n" s="515">
        <v>1.9740511178970337</v>
      </c>
      <c r="IC32" t="n" s="515">
        <v>1.864844560623169</v>
      </c>
    </row>
    <row r="33">
      <c r="A33" s="514">
        <f>A32+ABS(B33-B32)</f>
      </c>
      <c r="B33" s="514">
        <f>732.0/12</f>
      </c>
      <c r="C33" t="n" s="514">
        <v>732.0</v>
      </c>
      <c r="D33" t="n" s="515">
        <v>1.2728805541992188</v>
      </c>
      <c r="E33" t="n" s="515">
        <v>1.1717102527618408</v>
      </c>
      <c r="F33" t="n" s="515">
        <v>1.2299573421478271</v>
      </c>
      <c r="G33" t="n" s="515">
        <v>1.2556207180023193</v>
      </c>
      <c r="H33" t="n" s="515">
        <v>1.2765063047409058</v>
      </c>
      <c r="I33" t="n" s="515">
        <v>1.198535442352295</v>
      </c>
      <c r="J33" t="n" s="515">
        <v>1.0661722421646118</v>
      </c>
      <c r="K33" t="n" s="515">
        <v>1.038585901260376</v>
      </c>
      <c r="L33" t="n" s="515">
        <v>0.9461701512336731</v>
      </c>
      <c r="M33" t="n" s="515">
        <v>0.8630154728889465</v>
      </c>
      <c r="N33" t="n" s="515">
        <v>0.7746367454528809</v>
      </c>
      <c r="O33" t="n" s="515">
        <v>0.7619841694831848</v>
      </c>
      <c r="P33" t="n" s="515">
        <v>0.7358024716377258</v>
      </c>
      <c r="Q33" t="n" s="515">
        <v>0.6813075542449951</v>
      </c>
      <c r="R33" t="n" s="515">
        <v>0.528926432132721</v>
      </c>
      <c r="S33" t="n" s="515">
        <v>0.42997923493385315</v>
      </c>
      <c r="T33" t="n" s="515">
        <v>0.3150191605091095</v>
      </c>
      <c r="U33" t="n" s="515">
        <v>0.2362368106842041</v>
      </c>
      <c r="V33" t="n" s="515">
        <v>0.05195161700248718</v>
      </c>
      <c r="W33" t="n" s="515">
        <v>-0.23958754539489746</v>
      </c>
      <c r="X33" t="n" s="515">
        <v>-0.5988812446594238</v>
      </c>
      <c r="Y33" t="n" s="515">
        <v>-0.9896335005760193</v>
      </c>
      <c r="Z33" t="n" s="515">
        <v>-1.331035852432251</v>
      </c>
      <c r="AA33" t="n" s="515">
        <v>-1.5611519813537598</v>
      </c>
      <c r="AB33" t="n" s="515">
        <v>-1.6128920316696167</v>
      </c>
      <c r="AC33" t="n" s="515">
        <v>-1.5793805122375488</v>
      </c>
      <c r="AD33" t="n" s="515">
        <v>-1.3632147312164307</v>
      </c>
      <c r="AE33" t="n" s="515">
        <v>-1.177098035812378</v>
      </c>
      <c r="AF33" t="n" s="515">
        <v>-0.9546778202056885</v>
      </c>
      <c r="AG33" t="n" s="515">
        <v>-0.51882404088974</v>
      </c>
      <c r="AH33" t="n" s="515">
        <v>-0.010911316610872746</v>
      </c>
      <c r="AI33" t="n" s="515">
        <v>0.5359454154968262</v>
      </c>
      <c r="AJ33" t="n" s="515">
        <v>0.994850218296051</v>
      </c>
      <c r="AK33" t="n" s="515">
        <v>1.8541465997695923</v>
      </c>
      <c r="AL33" t="n" s="515">
        <v>0.3748578727245331</v>
      </c>
      <c r="AM33" t="n" s="515">
        <v>3.0022192001342773</v>
      </c>
      <c r="AN33" t="n" s="515">
        <v>3.504727602005005</v>
      </c>
      <c r="AO33" t="n" s="515">
        <v>3.804154872894287</v>
      </c>
      <c r="AP33" t="n" s="515">
        <v>4.080434322357178</v>
      </c>
      <c r="AQ33" t="n" s="515">
        <v>4.216396808624268</v>
      </c>
      <c r="AR33" t="n" s="515">
        <v>4.2829179763793945</v>
      </c>
      <c r="AS33" t="n" s="515">
        <v>4.270768165588379</v>
      </c>
      <c r="AT33" t="n" s="515">
        <v>4.325662612915039</v>
      </c>
      <c r="AU33" t="n" s="515">
        <v>4.382016181945801</v>
      </c>
      <c r="AV33" t="n" s="515">
        <v>4.293264865875244</v>
      </c>
      <c r="AW33" t="n" s="515">
        <v>4.107966423034668</v>
      </c>
      <c r="AX33" t="n" s="515">
        <v>3.866637945175171</v>
      </c>
      <c r="AY33" t="n" s="515">
        <v>3.6182379722595215</v>
      </c>
      <c r="AZ33" t="n" s="515">
        <v>3.2713286876678467</v>
      </c>
      <c r="BA33" t="n" s="515">
        <v>2.8455090522766113</v>
      </c>
      <c r="BB33" t="n" s="515">
        <v>2.3394813537597656</v>
      </c>
      <c r="BC33" t="n" s="515">
        <v>1.876312494277954</v>
      </c>
      <c r="BD33" t="n" s="515">
        <v>1.816107153892517</v>
      </c>
      <c r="BE33" t="n" s="515">
        <v>1.9340507984161377</v>
      </c>
      <c r="BF33" t="n" s="515">
        <v>1.8592835664749146</v>
      </c>
      <c r="BG33" t="n" s="515">
        <v>1.6766939163208008</v>
      </c>
      <c r="BH33" t="n" s="515">
        <v>1.443679928779602</v>
      </c>
      <c r="BI33" t="n" s="515">
        <v>1.3306065797805786</v>
      </c>
      <c r="BJ33" t="n" s="515">
        <v>1.1701642274856567</v>
      </c>
      <c r="BK33" t="n" s="515">
        <v>0.9272598624229431</v>
      </c>
      <c r="BL33" t="n" s="515">
        <v>0.8204711079597473</v>
      </c>
      <c r="BM33" t="n" s="515">
        <v>0.7828419208526611</v>
      </c>
      <c r="BN33" t="n" s="515">
        <v>0.8151245713233948</v>
      </c>
      <c r="BO33" t="n" s="515">
        <v>0.8281686305999756</v>
      </c>
      <c r="BP33" t="n" s="515">
        <v>0.9088388681411743</v>
      </c>
      <c r="BQ33" t="n" s="515">
        <v>1.004589557647705</v>
      </c>
      <c r="BR33" t="n" s="515">
        <v>1.0968164205551147</v>
      </c>
      <c r="BS33" t="n" s="515">
        <v>1.343870997428894</v>
      </c>
      <c r="BT33" t="n" s="515">
        <v>1.567824363708496</v>
      </c>
      <c r="BU33" t="n" s="515">
        <v>1.7138391733169556</v>
      </c>
      <c r="BV33" t="n" s="515">
        <v>0.8004933595657349</v>
      </c>
      <c r="BW33" t="n" s="515">
        <v>1.7675786018371582</v>
      </c>
      <c r="BX33" t="n" s="515">
        <v>-0.6055551767349243</v>
      </c>
      <c r="BY33" t="n" s="515">
        <v>1.4213905334472656</v>
      </c>
      <c r="BZ33" t="n" s="515">
        <v>1.4453173875808716</v>
      </c>
      <c r="CA33" t="n" s="515">
        <v>1.06999933719635</v>
      </c>
      <c r="CB33" t="n" s="515">
        <v>0.7495607733726501</v>
      </c>
      <c r="CC33" t="n" s="515">
        <v>0.393352210521698</v>
      </c>
      <c r="CD33" t="n" s="515">
        <v>-0.053820762783288956</v>
      </c>
      <c r="CE33" t="n" s="515">
        <v>-0.5129731893539429</v>
      </c>
      <c r="CF33" t="n" s="515">
        <v>-1.0115922689437866</v>
      </c>
      <c r="CG33" t="n" s="515">
        <v>-1.5448919534683228</v>
      </c>
      <c r="CH33" t="n" s="515">
        <v>-2.067070722579956</v>
      </c>
      <c r="CI33" t="n" s="515">
        <v>-2.380220890045166</v>
      </c>
      <c r="CJ33" t="n" s="515">
        <v>-2.3834047317504883</v>
      </c>
      <c r="CK33" t="n" s="515">
        <v>-2.160238027572632</v>
      </c>
      <c r="CL33" t="n" s="515">
        <v>-1.8773348331451416</v>
      </c>
      <c r="CM33" t="n" s="515">
        <v>-1.5587060451507568</v>
      </c>
      <c r="CN33" t="n" s="515">
        <v>-0.9477851986885071</v>
      </c>
      <c r="CO33" t="n" s="515">
        <v>-0.5928097367286682</v>
      </c>
      <c r="CP33" t="n" s="515">
        <v>-0.20112787187099457</v>
      </c>
      <c r="CQ33" t="n" s="515">
        <v>0.20357570052146912</v>
      </c>
      <c r="CR33" t="n" s="515">
        <v>0.5289567708969116</v>
      </c>
      <c r="CS33" t="n" s="515">
        <v>-0.9813488125801086</v>
      </c>
      <c r="CT33" t="n" s="515">
        <v>1.1261035203933716</v>
      </c>
      <c r="CU33" t="n" s="515">
        <v>1.4452707767486572</v>
      </c>
      <c r="CV33" t="n" s="515">
        <v>1.5169458389282227</v>
      </c>
      <c r="CW33" t="n" s="515">
        <v>-0.8397032022476196</v>
      </c>
      <c r="CX33" t="n" s="515">
        <v>1.866053819656372</v>
      </c>
      <c r="CY33" t="n" s="515">
        <v>2.192842483520508</v>
      </c>
      <c r="CZ33" t="n" s="515">
        <v>2.0489938259124756</v>
      </c>
      <c r="DA33" t="n" s="515">
        <v>1.8586463928222656</v>
      </c>
      <c r="DB33" t="n" s="515">
        <v>1.6213310956954956</v>
      </c>
      <c r="DC33" t="n" s="515">
        <v>1.3276405334472656</v>
      </c>
      <c r="DD33" t="n" s="515">
        <v>0.9752504229545593</v>
      </c>
      <c r="DE33" t="n" s="515">
        <v>0.6032117009162903</v>
      </c>
      <c r="DF33" t="n" s="515">
        <v>0.24236568808555603</v>
      </c>
      <c r="DG33" t="n" s="515">
        <v>0.10964851081371307</v>
      </c>
      <c r="DH33" t="n" s="515">
        <v>0.07125422358512878</v>
      </c>
      <c r="DI33" t="n" s="515">
        <v>-0.11959828436374664</v>
      </c>
      <c r="DJ33" t="n" s="515">
        <v>-0.3854934275150299</v>
      </c>
      <c r="DK33" t="n" s="515">
        <v>-0.6020694375038147</v>
      </c>
      <c r="DL33" t="n" s="515">
        <v>-0.9443175196647644</v>
      </c>
      <c r="DM33" t="n" s="515">
        <v>-1.3713195323944092</v>
      </c>
      <c r="DN33" t="n" s="515">
        <v>-1.7775131464004517</v>
      </c>
      <c r="DO33" t="n" s="515">
        <v>-2.118863821029663</v>
      </c>
      <c r="DP33" t="n" s="515">
        <v>-2.2998249530792236</v>
      </c>
      <c r="DQ33" t="n" s="515">
        <v>-2.3294637203216553</v>
      </c>
      <c r="DR33" t="n" s="515">
        <v>-2.148418664932251</v>
      </c>
      <c r="DS33" t="n" s="515">
        <v>-1.9278607368469238</v>
      </c>
      <c r="DT33" t="n" s="515">
        <v>-1.6894235610961914</v>
      </c>
      <c r="DU33" t="n" s="515">
        <v>-1.373206377029419</v>
      </c>
      <c r="DV33" t="n" s="515">
        <v>-1.3016889095306396</v>
      </c>
      <c r="DW33" t="n" s="515">
        <v>-1.455862283706665</v>
      </c>
      <c r="DX33" t="n" s="515">
        <v>-1.419813632965088</v>
      </c>
      <c r="DY33" t="n" s="515">
        <v>-1.020307183265686</v>
      </c>
      <c r="DZ33" t="n" s="515">
        <v>-0.4826522469520569</v>
      </c>
      <c r="EA33" t="n" s="515">
        <v>-0.26559942960739136</v>
      </c>
      <c r="EB33" t="n" s="515">
        <v>-0.27437910437583923</v>
      </c>
      <c r="EC33" t="n" s="515">
        <v>-1.114935278892517</v>
      </c>
      <c r="ED33" t="n" s="515">
        <v>-0.3528887629508972</v>
      </c>
      <c r="EE33" t="n" s="515">
        <v>-0.47362735867500305</v>
      </c>
      <c r="EF33" t="n" s="515">
        <v>-0.5883317589759827</v>
      </c>
      <c r="EG33" t="n" s="515">
        <v>-0.6608524322509766</v>
      </c>
      <c r="EH33" t="n" s="515">
        <v>-0.817419707775116</v>
      </c>
      <c r="EI33" t="n" s="515">
        <v>-0.7518905401229858</v>
      </c>
      <c r="EJ33" t="n" s="515">
        <v>-0.5721940398216248</v>
      </c>
      <c r="EK33" t="n" s="515">
        <v>-0.4318670630455017</v>
      </c>
      <c r="EL33" t="n" s="515">
        <v>-0.3000568449497223</v>
      </c>
      <c r="EM33" t="n" s="515">
        <v>0.023136256262660027</v>
      </c>
      <c r="EN33" t="n" s="515">
        <v>0.29003962874412537</v>
      </c>
      <c r="EO33" t="n" s="515">
        <v>0.27429330348968506</v>
      </c>
      <c r="EP33" t="n" s="515">
        <v>0.18783913552761078</v>
      </c>
      <c r="EQ33" t="n" s="515">
        <v>0.3653086721897125</v>
      </c>
      <c r="ER33" t="n" s="515">
        <v>0.35444703698158264</v>
      </c>
      <c r="ES33" t="n" s="515">
        <v>-0.0712246224284172</v>
      </c>
      <c r="ET33" t="n" s="515">
        <v>-0.6264191269874573</v>
      </c>
      <c r="EU33" t="n" s="515">
        <v>-0.7845358848571777</v>
      </c>
      <c r="EV33" t="n" s="515">
        <v>-1.0045850276947021</v>
      </c>
      <c r="EW33" t="n" s="515">
        <v>-1.7893301248550415</v>
      </c>
      <c r="EX33" t="n" s="515">
        <v>-2.1115314960479736</v>
      </c>
      <c r="EY33" t="n" s="515">
        <v>-2.075812339782715</v>
      </c>
      <c r="EZ33" t="n" s="515">
        <v>-1.8664711713790894</v>
      </c>
      <c r="FA33" t="n" s="515">
        <v>-1.5398626327514648</v>
      </c>
      <c r="FB33" t="n" s="515">
        <v>-1.1574509143829346</v>
      </c>
      <c r="FC33" t="n" s="515">
        <v>-0.6774376034736633</v>
      </c>
      <c r="FD33" t="n" s="515">
        <v>-0.10394250601530075</v>
      </c>
      <c r="FE33" t="n" s="515">
        <v>0.5082115530967712</v>
      </c>
      <c r="FF33" t="n" s="515">
        <v>1.0896105766296387</v>
      </c>
      <c r="FG33" t="n" s="515">
        <v>1.581642746925354</v>
      </c>
      <c r="FH33" t="n" s="515">
        <v>2.1058847904205322</v>
      </c>
      <c r="FI33" t="n" s="515">
        <v>2.386992931365967</v>
      </c>
      <c r="FJ33" t="n" s="515">
        <v>2.633699893951416</v>
      </c>
      <c r="FK33" t="n" s="515">
        <v>2.692063570022583</v>
      </c>
      <c r="FL33" t="n" s="515">
        <v>2.557215690612793</v>
      </c>
      <c r="FM33" t="n" s="515">
        <v>2.415131092071533</v>
      </c>
      <c r="FN33" t="n" s="515">
        <v>2.217841863632202</v>
      </c>
      <c r="FO33" t="n" s="515">
        <v>1.9589142799377441</v>
      </c>
      <c r="FP33" t="n" s="515">
        <v>1.6680530309677124</v>
      </c>
      <c r="FQ33" t="n" s="515">
        <v>1.3426121473312378</v>
      </c>
      <c r="FR33" t="n" s="515">
        <v>0.9860684275627136</v>
      </c>
      <c r="FS33" t="n" s="515">
        <v>0.5798477530479431</v>
      </c>
      <c r="FT33" t="n" s="515">
        <v>0.1439531296491623</v>
      </c>
      <c r="FU33" t="n" s="515">
        <v>-0.24565061926841736</v>
      </c>
      <c r="FV33" t="n" s="515">
        <v>-0.4592088460922241</v>
      </c>
      <c r="FW33" t="n" s="515">
        <v>-0.6810148358345032</v>
      </c>
      <c r="FX33" t="n" s="515">
        <v>-0.9635720252990723</v>
      </c>
      <c r="FY33" t="n" s="515">
        <v>-1.2337596416473389</v>
      </c>
      <c r="FZ33" t="n" s="515">
        <v>-1.4593372344970703</v>
      </c>
      <c r="GA33" t="n" s="515">
        <v>-1.3667583465576172</v>
      </c>
      <c r="GB33" t="n" s="515">
        <v>-1.2705460786819458</v>
      </c>
      <c r="GC33" t="n" s="515">
        <v>-1.2742363214492798</v>
      </c>
      <c r="GD33" t="n" s="515">
        <v>-1.3194670677185059</v>
      </c>
      <c r="GE33" t="n" s="515">
        <v>-1.263236403465271</v>
      </c>
      <c r="GF33" t="n" s="515">
        <v>-1.1733677387237549</v>
      </c>
      <c r="GG33" t="n" s="515">
        <v>-1.025623083114624</v>
      </c>
      <c r="GH33" t="n" s="515">
        <v>-0.8409256935119629</v>
      </c>
      <c r="GI33" t="n" s="515">
        <v>-0.6095337271690369</v>
      </c>
      <c r="GJ33" t="n" s="515">
        <v>-0.40860792994499207</v>
      </c>
      <c r="GK33" t="n" s="515">
        <v>-0.27251335978507996</v>
      </c>
      <c r="GL33" t="n" s="515">
        <v>-0.19860203564167023</v>
      </c>
      <c r="GM33" t="n" s="515">
        <v>-2.631631214171648E-4</v>
      </c>
      <c r="GN33" t="n" s="515">
        <v>0.2524619996547699</v>
      </c>
      <c r="GO33" t="n" s="515">
        <v>0.27146661281585693</v>
      </c>
      <c r="GP33" t="n" s="515">
        <v>0.2544264793395996</v>
      </c>
      <c r="GQ33" t="n" s="515">
        <v>0.2859882712364197</v>
      </c>
      <c r="GR33" t="n" s="515">
        <v>0.2722076177597046</v>
      </c>
      <c r="GS33" t="n" s="515">
        <v>0.34549424052238464</v>
      </c>
      <c r="GT33" t="n" s="515">
        <v>0.4823368191719055</v>
      </c>
      <c r="GU33" t="n" s="515">
        <v>0.49355462193489075</v>
      </c>
      <c r="GV33" t="n" s="515">
        <v>0.310920774936676</v>
      </c>
      <c r="GW33" t="n" s="515">
        <v>0.06679129600524902</v>
      </c>
      <c r="GX33" t="n" s="515">
        <v>-0.20862001180648804</v>
      </c>
      <c r="GY33" t="n" s="515">
        <v>-0.6135907173156738</v>
      </c>
      <c r="GZ33" t="n" s="515">
        <v>-0.9497003555297852</v>
      </c>
      <c r="HA33" t="n" s="515">
        <v>-1.1585532426834106</v>
      </c>
      <c r="HB33" t="n" s="515">
        <v>-1.159401774406433</v>
      </c>
      <c r="HC33" t="n" s="515">
        <v>-1.0342508554458618</v>
      </c>
      <c r="HD33" t="n" s="515">
        <v>-0.7740099430084229</v>
      </c>
      <c r="HE33" t="n" s="515">
        <v>-0.49689429998397827</v>
      </c>
      <c r="HF33" t="n" s="515">
        <v>-0.2324955314397812</v>
      </c>
      <c r="HG33" t="n" s="515">
        <v>0.7598183155059814</v>
      </c>
      <c r="HH33" t="n" s="515">
        <v>1.3675787448883057</v>
      </c>
      <c r="HI33" t="n" s="515">
        <v>2.0903091430664062</v>
      </c>
      <c r="HJ33" t="n" s="515">
        <v>2.644505739212036</v>
      </c>
      <c r="HK33" t="n" s="515">
        <v>2.999525547027588</v>
      </c>
      <c r="HL33" t="n" s="515">
        <v>3.3457677364349365</v>
      </c>
      <c r="HM33" t="n" s="515">
        <v>3.639577865600586</v>
      </c>
      <c r="HN33" t="n" s="515">
        <v>3.828075885772705</v>
      </c>
      <c r="HO33" t="n" s="515">
        <v>3.9852399826049805</v>
      </c>
      <c r="HP33" t="n" s="515">
        <v>4.2027363777160645</v>
      </c>
      <c r="HQ33" t="n" s="515">
        <v>4.332915782928467</v>
      </c>
      <c r="HR33" t="n" s="515">
        <v>4.446964740753174</v>
      </c>
      <c r="HS33" t="n" s="515">
        <v>4.535109043121338</v>
      </c>
      <c r="HT33" t="n" s="515">
        <v>4.520906448364258</v>
      </c>
      <c r="HU33" t="n" s="515">
        <v>4.401140213012695</v>
      </c>
      <c r="HV33" t="n" s="515">
        <v>4.180465221405029</v>
      </c>
      <c r="HW33" t="n" s="515">
        <v>3.905064821243286</v>
      </c>
      <c r="HX33" t="n" s="515">
        <v>3.5902233123779297</v>
      </c>
      <c r="HY33" t="n" s="515">
        <v>3.211505889892578</v>
      </c>
      <c r="HZ33" t="n" s="515">
        <v>2.7430999279022217</v>
      </c>
      <c r="IA33" t="n" s="515">
        <v>2.2068541049957275</v>
      </c>
      <c r="IB33" t="n" s="515">
        <v>1.7330641746520996</v>
      </c>
      <c r="IC33" t="n" s="515">
        <v>1.5530034303665161</v>
      </c>
    </row>
    <row r="34">
      <c r="A34" s="514">
        <f>A33+ABS(B34-B33)</f>
      </c>
      <c r="B34" s="514">
        <f>756.0/12</f>
      </c>
      <c r="C34" t="n" s="514">
        <v>756.0</v>
      </c>
      <c r="D34" t="n" s="515">
        <v>1.1277339458465576</v>
      </c>
      <c r="E34" t="n" s="515">
        <v>1.1530812978744507</v>
      </c>
      <c r="F34" t="n" s="515">
        <v>1.2830742597579956</v>
      </c>
      <c r="G34" t="n" s="515">
        <v>1.327538251876831</v>
      </c>
      <c r="H34" t="n" s="515">
        <v>1.3475735187530518</v>
      </c>
      <c r="I34" t="n" s="515">
        <v>1.277461051940918</v>
      </c>
      <c r="J34" t="n" s="515">
        <v>1.1411219835281372</v>
      </c>
      <c r="K34" t="n" s="515">
        <v>1.0466740131378174</v>
      </c>
      <c r="L34" t="n" s="515">
        <v>0.8846728801727295</v>
      </c>
      <c r="M34" t="n" s="515">
        <v>0.7589007019996643</v>
      </c>
      <c r="N34" t="n" s="515">
        <v>0.5992278456687927</v>
      </c>
      <c r="O34" t="n" s="515">
        <v>0.5782115459442139</v>
      </c>
      <c r="P34" t="n" s="515">
        <v>0.5871562361717224</v>
      </c>
      <c r="Q34" t="n" s="515">
        <v>0.5725449323654175</v>
      </c>
      <c r="R34" t="n" s="515">
        <v>0.44195857644081116</v>
      </c>
      <c r="S34" t="n" s="515">
        <v>0.29973140358924866</v>
      </c>
      <c r="T34" t="n" s="515">
        <v>0.2708720862865448</v>
      </c>
      <c r="U34" t="n" s="515">
        <v>0.3100046217441559</v>
      </c>
      <c r="V34" t="n" s="515">
        <v>0.14367134869098663</v>
      </c>
      <c r="W34" t="n" s="515">
        <v>-0.11926143616437912</v>
      </c>
      <c r="X34" t="n" s="515">
        <v>-0.42296189069747925</v>
      </c>
      <c r="Y34" t="n" s="515">
        <v>-0.7375093102455139</v>
      </c>
      <c r="Z34" t="n" s="515">
        <v>-1.0439637899398804</v>
      </c>
      <c r="AA34" t="n" s="515">
        <v>-1.2811301946640015</v>
      </c>
      <c r="AB34" t="n" s="515">
        <v>-1.3265459537506104</v>
      </c>
      <c r="AC34" t="n" s="515">
        <v>-1.4132752418518066</v>
      </c>
      <c r="AD34" t="n" s="515">
        <v>-1.3089643716812134</v>
      </c>
      <c r="AE34" t="n" s="515">
        <v>-1.2524101734161377</v>
      </c>
      <c r="AF34" t="n" s="515">
        <v>-1.3498921394348145</v>
      </c>
      <c r="AG34" t="n" s="515">
        <v>-0.9998019933700562</v>
      </c>
      <c r="AH34" t="n" s="515">
        <v>-0.4157382547855377</v>
      </c>
      <c r="AI34" t="n" s="515">
        <v>0.2331535965204239</v>
      </c>
      <c r="AJ34" t="n" s="515">
        <v>0.9168387055397034</v>
      </c>
      <c r="AK34" t="n" s="515">
        <v>1.9083530902862549</v>
      </c>
      <c r="AL34" t="n" s="515">
        <v>-0.7842428088188171</v>
      </c>
      <c r="AM34" t="n" s="515">
        <v>3.691765069961548</v>
      </c>
      <c r="AN34" t="n" s="515">
        <v>4.192658424377441</v>
      </c>
      <c r="AO34" t="n" s="515">
        <v>4.454631328582764</v>
      </c>
      <c r="AP34" t="n" s="515">
        <v>4.7051262855529785</v>
      </c>
      <c r="AQ34" t="n" s="515">
        <v>4.723850727081299</v>
      </c>
      <c r="AR34" t="n" s="515">
        <v>4.671465873718262</v>
      </c>
      <c r="AS34" t="n" s="515">
        <v>4.530370712280273</v>
      </c>
      <c r="AT34" t="n" s="515">
        <v>4.490759372711182</v>
      </c>
      <c r="AU34" t="n" s="515">
        <v>4.5043864250183105</v>
      </c>
      <c r="AV34" t="n" s="515">
        <v>4.3728437423706055</v>
      </c>
      <c r="AW34" t="n" s="515">
        <v>4.206439971923828</v>
      </c>
      <c r="AX34" t="n" s="515">
        <v>3.9190287590026855</v>
      </c>
      <c r="AY34" t="n" s="515">
        <v>3.628922939300537</v>
      </c>
      <c r="AZ34" t="n" s="515">
        <v>3.2829689979553223</v>
      </c>
      <c r="BA34" t="n" s="515">
        <v>2.788649082183838</v>
      </c>
      <c r="BB34" t="n" s="515">
        <v>2.32863712310791</v>
      </c>
      <c r="BC34" t="n" s="515">
        <v>1.9505064487457275</v>
      </c>
      <c r="BD34" t="n" s="515">
        <v>1.7741758823394775</v>
      </c>
      <c r="BE34" t="n" s="515">
        <v>1.906927466392517</v>
      </c>
      <c r="BF34" t="n" s="515">
        <v>1.9247229099273682</v>
      </c>
      <c r="BG34" t="n" s="515">
        <v>1.8355892896652222</v>
      </c>
      <c r="BH34" t="n" s="515">
        <v>1.6478567123413086</v>
      </c>
      <c r="BI34" t="n" s="515">
        <v>1.480011224746704</v>
      </c>
      <c r="BJ34" t="n" s="515">
        <v>1.1982046365737915</v>
      </c>
      <c r="BK34" t="n" s="515">
        <v>0.9385101795196533</v>
      </c>
      <c r="BL34" t="n" s="515">
        <v>0.8208248615264893</v>
      </c>
      <c r="BM34" t="n" s="515">
        <v>0.7455427050590515</v>
      </c>
      <c r="BN34" t="n" s="515">
        <v>0.7583217024803162</v>
      </c>
      <c r="BO34" t="n" s="515">
        <v>0.7656047344207764</v>
      </c>
      <c r="BP34" t="n" s="515">
        <v>0.9210277199745178</v>
      </c>
      <c r="BQ34" t="n" s="515">
        <v>1.0661317110061646</v>
      </c>
      <c r="BR34" t="n" s="515">
        <v>1.176913857460022</v>
      </c>
      <c r="BS34" t="n" s="515">
        <v>1.3985600471496582</v>
      </c>
      <c r="BT34" t="n" s="515">
        <v>1.6201297044754028</v>
      </c>
      <c r="BU34" t="n" s="515">
        <v>1.8277263641357422</v>
      </c>
      <c r="BV34" t="n" s="515">
        <v>1.9437718391418457</v>
      </c>
      <c r="BW34" t="n" s="515">
        <v>1.8358690738677979</v>
      </c>
      <c r="BX34" t="n" s="515">
        <v>1.5194071531295776</v>
      </c>
      <c r="BY34" t="n" s="515">
        <v>1.9811923503875732</v>
      </c>
      <c r="BZ34" t="n" s="515">
        <v>1.6947602033615112</v>
      </c>
      <c r="CA34" t="n" s="515">
        <v>1.3762105703353882</v>
      </c>
      <c r="CB34" t="n" s="515">
        <v>1.03177809715271</v>
      </c>
      <c r="CC34" t="n" s="515">
        <v>0.6802401542663574</v>
      </c>
      <c r="CD34" t="n" s="515">
        <v>0.19467158615589142</v>
      </c>
      <c r="CE34" t="n" s="515">
        <v>-0.29822415113449097</v>
      </c>
      <c r="CF34" t="n" s="515">
        <v>-0.7241093516349792</v>
      </c>
      <c r="CG34" t="n" s="515">
        <v>-1.5098285675048828</v>
      </c>
      <c r="CH34" t="n" s="515">
        <v>-2.285738468170166</v>
      </c>
      <c r="CI34" t="n" s="515">
        <v>-2.759031057357788</v>
      </c>
      <c r="CJ34" t="n" s="515">
        <v>-2.8395144939422607</v>
      </c>
      <c r="CK34" t="n" s="515">
        <v>-2.5315263271331787</v>
      </c>
      <c r="CL34" t="n" s="515">
        <v>-2.072352170944214</v>
      </c>
      <c r="CM34" t="n" s="515">
        <v>-1.6683303117752075</v>
      </c>
      <c r="CN34" t="n" s="515">
        <v>-0.9811383485794067</v>
      </c>
      <c r="CO34" t="n" s="515">
        <v>-0.4050530195236206</v>
      </c>
      <c r="CP34" t="n" s="515">
        <v>0.0223678071051836</v>
      </c>
      <c r="CQ34" t="n" s="515">
        <v>0.42433154582977295</v>
      </c>
      <c r="CR34" t="n" s="515">
        <v>1.0485918521881104</v>
      </c>
      <c r="CS34" t="n" s="515">
        <v>-1.7032960653305054</v>
      </c>
      <c r="CT34" t="n" s="515">
        <v>0.6489105820655823</v>
      </c>
      <c r="CU34" t="n" s="515">
        <v>0.9452085494995117</v>
      </c>
      <c r="CV34" t="n" s="515">
        <v>-1.0046038627624512</v>
      </c>
      <c r="CW34" t="n" s="515">
        <v>1.2940489053726196</v>
      </c>
      <c r="CX34" t="n" s="515">
        <v>2.472097158432007</v>
      </c>
      <c r="CY34" t="n" s="515">
        <v>2.3497183322906494</v>
      </c>
      <c r="CZ34" t="n" s="515">
        <v>2.296475410461426</v>
      </c>
      <c r="DA34" t="n" s="515">
        <v>2.1806421279907227</v>
      </c>
      <c r="DB34" t="n" s="515">
        <v>1.8635505437850952</v>
      </c>
      <c r="DC34" t="n" s="515">
        <v>1.6666667461395264</v>
      </c>
      <c r="DD34" t="n" s="515">
        <v>1.418939471244812</v>
      </c>
      <c r="DE34" t="n" s="515">
        <v>0.952903687953949</v>
      </c>
      <c r="DF34" t="n" s="515">
        <v>0.7890945672988892</v>
      </c>
      <c r="DG34" t="n" s="515">
        <v>0.5727329850196838</v>
      </c>
      <c r="DH34" t="n" s="515">
        <v>0.27275729179382324</v>
      </c>
      <c r="DI34" t="n" s="515">
        <v>0.1542457789182663</v>
      </c>
      <c r="DJ34" t="n" s="515">
        <v>-0.008980568498373032</v>
      </c>
      <c r="DK34" t="n" s="515">
        <v>-0.4047030210494995</v>
      </c>
      <c r="DL34" t="n" s="515">
        <v>-0.7078161835670471</v>
      </c>
      <c r="DM34" t="n" s="515">
        <v>-1.1809003353118896</v>
      </c>
      <c r="DN34" t="n" s="515">
        <v>-1.7557884454727173</v>
      </c>
      <c r="DO34" t="n" s="515">
        <v>-2.163123369216919</v>
      </c>
      <c r="DP34" t="n" s="515">
        <v>-2.3889341354370117</v>
      </c>
      <c r="DQ34" t="n" s="515">
        <v>-2.5725765228271484</v>
      </c>
      <c r="DR34" t="n" s="515">
        <v>-2.2610795497894287</v>
      </c>
      <c r="DS34" t="n" s="515">
        <v>-1.9041647911071777</v>
      </c>
      <c r="DT34" t="n" s="515">
        <v>-1.5566240549087524</v>
      </c>
      <c r="DU34" t="n" s="515">
        <v>-0.8394153714179993</v>
      </c>
      <c r="DV34" t="n" s="515">
        <v>-0.7754108905792236</v>
      </c>
      <c r="DW34" t="n" s="515">
        <v>-0.6646436452865601</v>
      </c>
      <c r="DX34" t="n" s="515">
        <v>-0.4896691143512726</v>
      </c>
      <c r="DY34" t="n" s="515">
        <v>-0.11653272807598114</v>
      </c>
      <c r="DZ34" t="n" s="515">
        <v>0.25124743580818176</v>
      </c>
      <c r="EA34" t="n" s="515">
        <v>0.6780681610107422</v>
      </c>
      <c r="EB34" t="n" s="515">
        <v>0.36499354243278503</v>
      </c>
      <c r="EC34" t="n" s="515">
        <v>-0.7844035029411316</v>
      </c>
      <c r="ED34" t="n" s="515">
        <v>0.18131907284259796</v>
      </c>
      <c r="EE34" t="n" s="515">
        <v>-0.14453227818012238</v>
      </c>
      <c r="EF34" t="n" s="515">
        <v>-0.41039758920669556</v>
      </c>
      <c r="EG34" t="n" s="515">
        <v>-0.3442605137825012</v>
      </c>
      <c r="EH34" t="n" s="515">
        <v>-0.8266723155975342</v>
      </c>
      <c r="EI34" t="n" s="515">
        <v>-0.8901408910751343</v>
      </c>
      <c r="EJ34" t="n" s="515">
        <v>-0.48801881074905396</v>
      </c>
      <c r="EK34" t="n" s="515">
        <v>-0.5145106315612793</v>
      </c>
      <c r="EL34" t="n" s="515">
        <v>-0.3245052397251129</v>
      </c>
      <c r="EM34" t="n" s="515">
        <v>0.4183085858821869</v>
      </c>
      <c r="EN34" t="n" s="515">
        <v>0.6618112325668335</v>
      </c>
      <c r="EO34" t="n" s="515">
        <v>0.8372604846954346</v>
      </c>
      <c r="EP34" t="n" s="515">
        <v>1.0627223253250122</v>
      </c>
      <c r="EQ34" t="n" s="515">
        <v>0.7902917265892029</v>
      </c>
      <c r="ER34" t="n" s="515">
        <v>0.6343520879745483</v>
      </c>
      <c r="ES34" t="n" s="515">
        <v>0.23604917526245117</v>
      </c>
      <c r="ET34" t="n" s="515">
        <v>-0.4075133204460144</v>
      </c>
      <c r="EU34" t="n" s="515">
        <v>-0.3505558669567108</v>
      </c>
      <c r="EV34" t="n" s="515">
        <v>-0.7730183005332947</v>
      </c>
      <c r="EW34" t="n" s="515">
        <v>-1.7283004522323608</v>
      </c>
      <c r="EX34" t="n" s="515">
        <v>-1.9938633441925049</v>
      </c>
      <c r="EY34" t="n" s="515">
        <v>-2.091670274734497</v>
      </c>
      <c r="EZ34" t="n" s="515">
        <v>-1.9654947519302368</v>
      </c>
      <c r="FA34" t="n" s="515">
        <v>-1.4357417821884155</v>
      </c>
      <c r="FB34" t="n" s="515">
        <v>-1.0978049039840698</v>
      </c>
      <c r="FC34" t="n" s="515">
        <v>-0.8028281927108765</v>
      </c>
      <c r="FD34" t="n" s="515">
        <v>-0.17427265644073486</v>
      </c>
      <c r="FE34" t="n" s="515">
        <v>0.5068730711936951</v>
      </c>
      <c r="FF34" t="n" s="515">
        <v>1.0458718538284302</v>
      </c>
      <c r="FG34" t="n" s="515">
        <v>1.7028559446334839</v>
      </c>
      <c r="FH34" t="n" s="515">
        <v>2.436630964279175</v>
      </c>
      <c r="FI34" t="n" s="515">
        <v>2.7189676761627197</v>
      </c>
      <c r="FJ34" t="n" s="515">
        <v>3.052039623260498</v>
      </c>
      <c r="FK34" t="n" s="515">
        <v>3.0340960025787354</v>
      </c>
      <c r="FL34" t="n" s="515">
        <v>2.7295684814453125</v>
      </c>
      <c r="FM34" t="n" s="515">
        <v>2.450897216796875</v>
      </c>
      <c r="FN34" t="n" s="515">
        <v>2.161198139190674</v>
      </c>
      <c r="FO34" t="n" s="515">
        <v>1.8842295408248901</v>
      </c>
      <c r="FP34" t="n" s="515">
        <v>1.655594825744629</v>
      </c>
      <c r="FQ34" t="n" s="515">
        <v>1.3935447931289673</v>
      </c>
      <c r="FR34" t="n" s="515">
        <v>1.0311616659164429</v>
      </c>
      <c r="FS34" t="n" s="515">
        <v>0.7266755104064941</v>
      </c>
      <c r="FT34" t="n" s="515">
        <v>0.18580210208892822</v>
      </c>
      <c r="FU34" t="n" s="515">
        <v>-0.3224959075450897</v>
      </c>
      <c r="FV34" t="n" s="515">
        <v>-0.3882448375225067</v>
      </c>
      <c r="FW34" t="n" s="515">
        <v>-0.619683563709259</v>
      </c>
      <c r="FX34" t="n" s="515">
        <v>-0.8879706859588623</v>
      </c>
      <c r="FY34" t="n" s="515">
        <v>-0.9592477679252625</v>
      </c>
      <c r="FZ34" t="n" s="515">
        <v>-1.1008762121200562</v>
      </c>
      <c r="GA34" t="n" s="515">
        <v>-1.1419646739959717</v>
      </c>
      <c r="GB34" t="n" s="515">
        <v>-1.0649203062057495</v>
      </c>
      <c r="GC34" t="n" s="515">
        <v>-1.1663919687271118</v>
      </c>
      <c r="GD34" t="n" s="515">
        <v>-1.2355034351348877</v>
      </c>
      <c r="GE34" t="n" s="515">
        <v>-1.1531833410263062</v>
      </c>
      <c r="GF34" t="n" s="515">
        <v>-1.1744894981384277</v>
      </c>
      <c r="GG34" t="n" s="515">
        <v>-1.0736348628997803</v>
      </c>
      <c r="GH34" t="n" s="515">
        <v>-0.8131011128425598</v>
      </c>
      <c r="GI34" t="n" s="515">
        <v>-0.5459367632865906</v>
      </c>
      <c r="GJ34" t="n" s="515">
        <v>-0.2837914824485779</v>
      </c>
      <c r="GK34" t="n" s="515">
        <v>-0.03625567629933357</v>
      </c>
      <c r="GL34" t="n" s="515">
        <v>0.03957853466272354</v>
      </c>
      <c r="GM34" t="n" s="515">
        <v>0.13171251118183136</v>
      </c>
      <c r="GN34" t="n" s="515">
        <v>0.2511025071144104</v>
      </c>
      <c r="GO34" t="n" s="515">
        <v>0.13844208419322968</v>
      </c>
      <c r="GP34" t="n" s="515">
        <v>-0.03549133613705635</v>
      </c>
      <c r="GQ34" t="n" s="515">
        <v>-0.1436498612165451</v>
      </c>
      <c r="GR34" t="n" s="515">
        <v>-0.2912052273750305</v>
      </c>
      <c r="GS34" t="n" s="515">
        <v>-0.2224384993314743</v>
      </c>
      <c r="GT34" t="n" s="515">
        <v>0.045920755714178085</v>
      </c>
      <c r="GU34" t="n" s="515">
        <v>0.17134582996368408</v>
      </c>
      <c r="GV34" t="n" s="515">
        <v>0.13708119094371796</v>
      </c>
      <c r="GW34" t="n" s="515">
        <v>0.03995522856712341</v>
      </c>
      <c r="GX34" t="n" s="515">
        <v>-0.12242062389850616</v>
      </c>
      <c r="GY34" t="n" s="515">
        <v>-0.47446495294570923</v>
      </c>
      <c r="GZ34" t="n" s="515">
        <v>-0.7867440581321716</v>
      </c>
      <c r="HA34" t="n" s="515">
        <v>-1.0007394552230835</v>
      </c>
      <c r="HB34" t="n" s="515">
        <v>-1.0490024089813232</v>
      </c>
      <c r="HC34" t="n" s="515">
        <v>-1.0453674793243408</v>
      </c>
      <c r="HD34" t="n" s="515">
        <v>-0.8692912459373474</v>
      </c>
      <c r="HE34" t="n" s="515">
        <v>-0.606740415096283</v>
      </c>
      <c r="HF34" t="n" s="515">
        <v>-1.8553310632705688</v>
      </c>
      <c r="HG34" t="n" s="515">
        <v>0.2807808816432953</v>
      </c>
      <c r="HH34" t="n" s="515">
        <v>1.5421931743621826</v>
      </c>
      <c r="HI34" t="n" s="515">
        <v>2.411449670791626</v>
      </c>
      <c r="HJ34" t="n" s="515">
        <v>3.0559117794036865</v>
      </c>
      <c r="HK34" t="n" s="515">
        <v>3.5164012908935547</v>
      </c>
      <c r="HL34" t="n" s="515">
        <v>3.82649564743042</v>
      </c>
      <c r="HM34" t="n" s="515">
        <v>4.0669732093811035</v>
      </c>
      <c r="HN34" t="n" s="515">
        <v>4.207912445068359</v>
      </c>
      <c r="HO34" t="n" s="515">
        <v>4.300989627838135</v>
      </c>
      <c r="HP34" t="n" s="515">
        <v>4.438991069793701</v>
      </c>
      <c r="HQ34" t="n" s="515">
        <v>4.483660697937012</v>
      </c>
      <c r="HR34" t="n" s="515">
        <v>4.575780868530273</v>
      </c>
      <c r="HS34" t="n" s="515">
        <v>4.697977066040039</v>
      </c>
      <c r="HT34" t="n" s="515">
        <v>4.669374465942383</v>
      </c>
      <c r="HU34" t="n" s="515">
        <v>4.552067279815674</v>
      </c>
      <c r="HV34" t="n" s="515">
        <v>4.345262050628662</v>
      </c>
      <c r="HW34" t="n" s="515">
        <v>4.045486927032471</v>
      </c>
      <c r="HX34" t="n" s="515">
        <v>3.7085859775543213</v>
      </c>
      <c r="HY34" t="n" s="515">
        <v>3.2648472785949707</v>
      </c>
      <c r="HZ34" t="n" s="515">
        <v>2.7099311351776123</v>
      </c>
      <c r="IA34" t="n" s="515">
        <v>2.1159956455230713</v>
      </c>
      <c r="IB34" t="n" s="515">
        <v>1.5815874338150024</v>
      </c>
      <c r="IC34" t="n" s="515">
        <v>1.2725807428359985</v>
      </c>
    </row>
    <row r="35">
      <c r="A35" s="514">
        <f>A34+ABS(B35-B34)</f>
      </c>
      <c r="B35" s="514">
        <f>780.0/12</f>
      </c>
      <c r="C35" t="n" s="514">
        <v>780.0</v>
      </c>
      <c r="D35" t="n" s="515">
        <v>1.4047566652297974</v>
      </c>
      <c r="E35" t="n" s="515">
        <v>1.5966850519180298</v>
      </c>
      <c r="F35" t="n" s="515">
        <v>1.8013843297958374</v>
      </c>
      <c r="G35" t="n" s="515">
        <v>1.891302466392517</v>
      </c>
      <c r="H35" t="n" s="515">
        <v>1.8653045892715454</v>
      </c>
      <c r="I35" t="n" s="515">
        <v>1.8351114988327026</v>
      </c>
      <c r="J35" t="n" s="515">
        <v>1.674166202545166</v>
      </c>
      <c r="K35" t="n" s="515">
        <v>1.5545624494552612</v>
      </c>
      <c r="L35" t="n" s="515">
        <v>1.3391497135162354</v>
      </c>
      <c r="M35" t="n" s="515">
        <v>1.1703863143920898</v>
      </c>
      <c r="N35" t="n" s="515">
        <v>0.9698360562324524</v>
      </c>
      <c r="O35" t="n" s="515">
        <v>0.9311917424201965</v>
      </c>
      <c r="P35" t="n" s="515">
        <v>0.988280713558197</v>
      </c>
      <c r="Q35" t="n" s="515">
        <v>1.0536543130874634</v>
      </c>
      <c r="R35" t="n" s="515">
        <v>1.0568374395370483</v>
      </c>
      <c r="S35" t="n" s="515">
        <v>1.024142861366272</v>
      </c>
      <c r="T35" t="n" s="515">
        <v>0.9581426382064819</v>
      </c>
      <c r="U35" t="n" s="515">
        <v>0.974373459815979</v>
      </c>
      <c r="V35" t="n" s="515">
        <v>0.7633097767829895</v>
      </c>
      <c r="W35" t="n" s="515">
        <v>0.5220553874969482</v>
      </c>
      <c r="X35" t="n" s="515">
        <v>0.24181507527828217</v>
      </c>
      <c r="Y35" t="n" s="515">
        <v>-0.010386679321527481</v>
      </c>
      <c r="Z35" t="n" s="515">
        <v>-0.35363373160362244</v>
      </c>
      <c r="AA35" t="n" s="515">
        <v>-0.5826634764671326</v>
      </c>
      <c r="AB35" t="n" s="515">
        <v>-0.6262972354888916</v>
      </c>
      <c r="AC35" t="n" s="515">
        <v>-0.8012905120849609</v>
      </c>
      <c r="AD35" t="n" s="515">
        <v>-0.8063601851463318</v>
      </c>
      <c r="AE35" t="n" s="515">
        <v>-0.8730072975158691</v>
      </c>
      <c r="AF35" t="n" s="515">
        <v>-1.2299357652664185</v>
      </c>
      <c r="AG35" t="n" s="515">
        <v>-0.9755049347877502</v>
      </c>
      <c r="AH35" t="n" s="515">
        <v>-0.25744950771331787</v>
      </c>
      <c r="AI35" t="n" s="515">
        <v>0.5061923265457153</v>
      </c>
      <c r="AJ35" t="n" s="515">
        <v>1.4901667833328247</v>
      </c>
      <c r="AK35" t="n" s="515">
        <v>2.731929302215576</v>
      </c>
      <c r="AL35" t="n" s="515">
        <v>-0.4707024097442627</v>
      </c>
      <c r="AM35" t="n" s="515">
        <v>4.832845687866211</v>
      </c>
      <c r="AN35" t="n" s="515">
        <v>5.3614678382873535</v>
      </c>
      <c r="AO35" t="n" s="515">
        <v>5.634698867797852</v>
      </c>
      <c r="AP35" t="n" s="515">
        <v>5.8272705078125</v>
      </c>
      <c r="AQ35" t="n" s="515">
        <v>5.6814141273498535</v>
      </c>
      <c r="AR35" t="n" s="515">
        <v>5.430643558502197</v>
      </c>
      <c r="AS35" t="n" s="515">
        <v>5.18027925491333</v>
      </c>
      <c r="AT35" t="n" s="515">
        <v>5.049466609954834</v>
      </c>
      <c r="AU35" t="n" s="515">
        <v>4.975369453430176</v>
      </c>
      <c r="AV35" t="n" s="515">
        <v>4.794673919677734</v>
      </c>
      <c r="AW35" t="n" s="515">
        <v>4.6731414794921875</v>
      </c>
      <c r="AX35" t="n" s="515">
        <v>4.416772842407227</v>
      </c>
      <c r="AY35" t="n" s="515">
        <v>4.180983066558838</v>
      </c>
      <c r="AZ35" t="n" s="515">
        <v>3.757011890411377</v>
      </c>
      <c r="BA35" t="n" s="515">
        <v>3.188451051712036</v>
      </c>
      <c r="BB35" t="n" s="515">
        <v>2.7254996299743652</v>
      </c>
      <c r="BC35" t="n" s="515">
        <v>2.4800846576690674</v>
      </c>
      <c r="BD35" t="n" s="515">
        <v>2.2569453716278076</v>
      </c>
      <c r="BE35" t="n" s="515">
        <v>2.4005300998687744</v>
      </c>
      <c r="BF35" t="n" s="515">
        <v>2.456480026245117</v>
      </c>
      <c r="BG35" t="n" s="515">
        <v>2.4131619930267334</v>
      </c>
      <c r="BH35" t="n" s="515">
        <v>2.31885027885437</v>
      </c>
      <c r="BI35" t="n" s="515">
        <v>2.0748910903930664</v>
      </c>
      <c r="BJ35" t="n" s="515">
        <v>1.6291004419326782</v>
      </c>
      <c r="BK35" t="n" s="515">
        <v>1.3489062786102295</v>
      </c>
      <c r="BL35" t="n" s="515">
        <v>1.1928799152374268</v>
      </c>
      <c r="BM35" t="n" s="515">
        <v>1.0513068437576294</v>
      </c>
      <c r="BN35" t="n" s="515">
        <v>1.0628647804260254</v>
      </c>
      <c r="BO35" t="n" s="515">
        <v>1.0802072286605835</v>
      </c>
      <c r="BP35" t="n" s="515">
        <v>1.3250372409820557</v>
      </c>
      <c r="BQ35" t="n" s="515">
        <v>1.5206915140151978</v>
      </c>
      <c r="BR35" t="n" s="515">
        <v>1.6862841844558716</v>
      </c>
      <c r="BS35" t="n" s="515">
        <v>1.9251948595046997</v>
      </c>
      <c r="BT35" t="n" s="515">
        <v>2.193113327026367</v>
      </c>
      <c r="BU35" t="n" s="515">
        <v>2.3973450660705566</v>
      </c>
      <c r="BV35" t="n" s="515">
        <v>2.738637685775757</v>
      </c>
      <c r="BW35" t="n" s="515">
        <v>2.684238910675049</v>
      </c>
      <c r="BX35" t="n" s="515">
        <v>2.43282413482666</v>
      </c>
      <c r="BY35" t="n" s="515">
        <v>2.87378191947937</v>
      </c>
      <c r="BZ35" t="n" s="515">
        <v>2.6015679836273193</v>
      </c>
      <c r="CA35" t="n" s="515">
        <v>2.17828631401062</v>
      </c>
      <c r="CB35" t="n" s="515">
        <v>1.7712291479110718</v>
      </c>
      <c r="CC35" t="n" s="515">
        <v>1.4188454151153564</v>
      </c>
      <c r="CD35" t="n" s="515">
        <v>0.9048671722412109</v>
      </c>
      <c r="CE35" t="n" s="515">
        <v>0.2723326086997986</v>
      </c>
      <c r="CF35" t="n" s="515">
        <v>-0.2659339904785156</v>
      </c>
      <c r="CG35" t="n" s="515">
        <v>-1.1353880167007446</v>
      </c>
      <c r="CH35" t="n" s="515">
        <v>-2.0436365604400635</v>
      </c>
      <c r="CI35" t="n" s="515">
        <v>-2.6415352821350098</v>
      </c>
      <c r="CJ35" t="n" s="515">
        <v>-2.801236391067505</v>
      </c>
      <c r="CK35" t="n" s="515">
        <v>-2.4478986263275146</v>
      </c>
      <c r="CL35" t="n" s="515">
        <v>-1.887458324432373</v>
      </c>
      <c r="CM35" t="n" s="515">
        <v>-1.2921240329742432</v>
      </c>
      <c r="CN35" t="n" s="515">
        <v>-0.5225715637207031</v>
      </c>
      <c r="CO35" t="n" s="515">
        <v>0.16674812138080597</v>
      </c>
      <c r="CP35" t="n" s="515">
        <v>0.6145025491714478</v>
      </c>
      <c r="CQ35" t="n" s="515">
        <v>1.1148141622543335</v>
      </c>
      <c r="CR35" t="n" s="515">
        <v>1.8884422779083252</v>
      </c>
      <c r="CS35" t="n" s="515">
        <v>-3.4425597190856934</v>
      </c>
      <c r="CT35" t="n" s="515">
        <v>-1.4015337228775024</v>
      </c>
      <c r="CU35" t="n" s="515">
        <v>-1.1392889022827148</v>
      </c>
      <c r="CV35" t="n" s="515">
        <v>0.1831396520137787</v>
      </c>
      <c r="CW35" t="n" s="515">
        <v>2.994278907775879</v>
      </c>
      <c r="CX35" t="n" s="515">
        <v>3.1689906120300293</v>
      </c>
      <c r="CY35" t="n" s="515">
        <v>3.096644163131714</v>
      </c>
      <c r="CZ35" t="n" s="515">
        <v>3.0788471698760986</v>
      </c>
      <c r="DA35" t="n" s="515">
        <v>3.075065851211548</v>
      </c>
      <c r="DB35" t="n" s="515">
        <v>2.7261404991149902</v>
      </c>
      <c r="DC35" t="n" s="515">
        <v>2.516078472137451</v>
      </c>
      <c r="DD35" t="n" s="515">
        <v>2.257808208465576</v>
      </c>
      <c r="DE35" t="n" s="515">
        <v>1.864140510559082</v>
      </c>
      <c r="DF35" t="n" s="515">
        <v>1.6684069633483887</v>
      </c>
      <c r="DG35" t="n" s="515">
        <v>1.4443039894104004</v>
      </c>
      <c r="DH35" t="n" s="515">
        <v>1.1630223989486694</v>
      </c>
      <c r="DI35" t="n" s="515">
        <v>0.9884131550788879</v>
      </c>
      <c r="DJ35" t="n" s="515">
        <v>0.7837053537368774</v>
      </c>
      <c r="DK35" t="n" s="515">
        <v>0.3069692552089691</v>
      </c>
      <c r="DL35" t="n" s="515">
        <v>-0.03899567946791649</v>
      </c>
      <c r="DM35" t="n" s="515">
        <v>-0.6152099370956421</v>
      </c>
      <c r="DN35" t="n" s="515">
        <v>-1.2867027521133423</v>
      </c>
      <c r="DO35" t="n" s="515">
        <v>-1.8540093898773193</v>
      </c>
      <c r="DP35" t="n" s="515">
        <v>-2.177835464477539</v>
      </c>
      <c r="DQ35" t="n" s="515">
        <v>-2.3133761882781982</v>
      </c>
      <c r="DR35" t="n" s="515">
        <v>-2.0204241275787354</v>
      </c>
      <c r="DS35" t="n" s="515">
        <v>-1.4741402864456177</v>
      </c>
      <c r="DT35" t="n" s="515">
        <v>-0.821639895439148</v>
      </c>
      <c r="DU35" t="n" s="515">
        <v>-0.17654018104076385</v>
      </c>
      <c r="DV35" t="n" s="515">
        <v>0.1723429560661316</v>
      </c>
      <c r="DW35" t="n" s="515">
        <v>0.6369730830192566</v>
      </c>
      <c r="DX35" t="n" s="515">
        <v>1.0213675498962402</v>
      </c>
      <c r="DY35" t="n" s="515">
        <v>1.3416717052459717</v>
      </c>
      <c r="DZ35" t="n" s="515">
        <v>1.5107717514038086</v>
      </c>
      <c r="EA35" t="n" s="515">
        <v>1.7452263832092285</v>
      </c>
      <c r="EB35" t="n" s="515">
        <v>1.5446017980575562</v>
      </c>
      <c r="EC35" t="n" s="515">
        <v>-0.8011308312416077</v>
      </c>
      <c r="ED35" t="n" s="515">
        <v>1.0748374462127686</v>
      </c>
      <c r="EE35" t="n" s="515">
        <v>0.6718752980232239</v>
      </c>
      <c r="EF35" t="n" s="515">
        <v>0.30037665367126465</v>
      </c>
      <c r="EG35" t="n" s="515">
        <v>0.12945744395256042</v>
      </c>
      <c r="EH35" t="n" s="515">
        <v>-0.3310762643814087</v>
      </c>
      <c r="EI35" t="n" s="515">
        <v>-0.415023535490036</v>
      </c>
      <c r="EJ35" t="n" s="515">
        <v>-0.14364716410636902</v>
      </c>
      <c r="EK35" t="n" s="515">
        <v>0.027457285672426224</v>
      </c>
      <c r="EL35" t="n" s="515">
        <v>0.3667023479938507</v>
      </c>
      <c r="EM35" t="n" s="515">
        <v>1.0446935892105103</v>
      </c>
      <c r="EN35" t="n" s="515">
        <v>1.519836664199829</v>
      </c>
      <c r="EO35" t="n" s="515">
        <v>1.9065076112747192</v>
      </c>
      <c r="EP35" t="n" s="515">
        <v>2.1921393871307373</v>
      </c>
      <c r="EQ35" t="n" s="515">
        <v>1.8668829202651978</v>
      </c>
      <c r="ER35" t="n" s="515">
        <v>1.550642728805542</v>
      </c>
      <c r="ES35" t="n" s="515">
        <v>1.0324537754058838</v>
      </c>
      <c r="ET35" t="n" s="515">
        <v>0.31670549511909485</v>
      </c>
      <c r="EU35" t="n" s="515">
        <v>0.014538473449647427</v>
      </c>
      <c r="EV35" t="n" s="515">
        <v>-0.5796253085136414</v>
      </c>
      <c r="EW35" t="n" s="515">
        <v>-1.072393774986267</v>
      </c>
      <c r="EX35" t="n" s="515">
        <v>-1.3339269161224365</v>
      </c>
      <c r="EY35" t="n" s="515">
        <v>-2.686908483505249</v>
      </c>
      <c r="EZ35" t="n" s="515">
        <v>-1.7514042854309082</v>
      </c>
      <c r="FA35" t="n" s="515">
        <v>-0.8516142964363098</v>
      </c>
      <c r="FB35" t="n" s="515">
        <v>-0.6410589814186096</v>
      </c>
      <c r="FC35" t="n" s="515">
        <v>-0.37132421135902405</v>
      </c>
      <c r="FD35" t="n" s="515">
        <v>0.2911168932914734</v>
      </c>
      <c r="FE35" t="n" s="515">
        <v>0.974678635597229</v>
      </c>
      <c r="FF35" t="n" s="515">
        <v>1.635773777961731</v>
      </c>
      <c r="FG35" t="n" s="515">
        <v>2.443298101425171</v>
      </c>
      <c r="FH35" t="n" s="515">
        <v>3.301011800765991</v>
      </c>
      <c r="FI35" t="n" s="515">
        <v>3.670935869216919</v>
      </c>
      <c r="FJ35" t="n" s="515">
        <v>3.958752393722534</v>
      </c>
      <c r="FK35" t="n" s="515">
        <v>3.8983981609344482</v>
      </c>
      <c r="FL35" t="n" s="515">
        <v>3.5399463176727295</v>
      </c>
      <c r="FM35" t="n" s="515">
        <v>3.0249202251434326</v>
      </c>
      <c r="FN35" t="n" s="515">
        <v>2.6060168743133545</v>
      </c>
      <c r="FO35" t="n" s="515">
        <v>2.314269542694092</v>
      </c>
      <c r="FP35" t="n" s="515">
        <v>2.120668411254883</v>
      </c>
      <c r="FQ35" t="n" s="515">
        <v>1.9307425022125244</v>
      </c>
      <c r="FR35" t="n" s="515">
        <v>1.6341094970703125</v>
      </c>
      <c r="FS35" t="n" s="515">
        <v>1.3466147184371948</v>
      </c>
      <c r="FT35" t="n" s="515">
        <v>0.7536786794662476</v>
      </c>
      <c r="FU35" t="n" s="515">
        <v>0.12444085627794266</v>
      </c>
      <c r="FV35" t="n" s="515">
        <v>0.0625578835606575</v>
      </c>
      <c r="FW35" t="n" s="515">
        <v>-0.14499279856681824</v>
      </c>
      <c r="FX35" t="n" s="515">
        <v>-0.27979540824890137</v>
      </c>
      <c r="FY35" t="n" s="515">
        <v>-0.24752269685268402</v>
      </c>
      <c r="FZ35" t="n" s="515">
        <v>-0.30756065249443054</v>
      </c>
      <c r="GA35" t="n" s="515">
        <v>-0.4155086874961853</v>
      </c>
      <c r="GB35" t="n" s="515">
        <v>-0.42291203141212463</v>
      </c>
      <c r="GC35" t="n" s="515">
        <v>-0.5871374607086182</v>
      </c>
      <c r="GD35" t="n" s="515">
        <v>-0.6417727470397949</v>
      </c>
      <c r="GE35" t="n" s="515">
        <v>-0.5961089134216309</v>
      </c>
      <c r="GF35" t="n" s="515">
        <v>-0.716383695602417</v>
      </c>
      <c r="GG35" t="n" s="515">
        <v>-0.6426555514335632</v>
      </c>
      <c r="GH35" t="n" s="515">
        <v>-0.3485386073589325</v>
      </c>
      <c r="GI35" t="n" s="515">
        <v>-0.02811863087117672</v>
      </c>
      <c r="GJ35" t="n" s="515">
        <v>0.270474910736084</v>
      </c>
      <c r="GK35" t="n" s="515">
        <v>0.5877430438995361</v>
      </c>
      <c r="GL35" t="n" s="515">
        <v>0.6603123545646667</v>
      </c>
      <c r="GM35" t="n" s="515">
        <v>0.7101294994354248</v>
      </c>
      <c r="GN35" t="n" s="515">
        <v>0.7130139470100403</v>
      </c>
      <c r="GO35" t="n" s="515">
        <v>0.4350179135799408</v>
      </c>
      <c r="GP35" t="n" s="515">
        <v>0.10534901171922684</v>
      </c>
      <c r="GQ35" t="n" s="515">
        <v>-0.06436866521835327</v>
      </c>
      <c r="GR35" t="n" s="515">
        <v>-0.17404672503471375</v>
      </c>
      <c r="GS35" t="n" s="515">
        <v>-0.05133923515677452</v>
      </c>
      <c r="GT35" t="n" s="515">
        <v>0.3305823802947998</v>
      </c>
      <c r="GU35" t="n" s="515">
        <v>0.5268959999084473</v>
      </c>
      <c r="GV35" t="n" s="515">
        <v>0.6419430375099182</v>
      </c>
      <c r="GW35" t="n" s="515">
        <v>0.6525158286094666</v>
      </c>
      <c r="GX35" t="n" s="515">
        <v>0.4594164490699768</v>
      </c>
      <c r="GY35" t="n" s="515">
        <v>0.10498792678117752</v>
      </c>
      <c r="GZ35" t="n" s="515">
        <v>-0.19761379063129425</v>
      </c>
      <c r="HA35" t="n" s="515">
        <v>-0.4768388271331787</v>
      </c>
      <c r="HB35" t="n" s="515">
        <v>-0.6107019782066345</v>
      </c>
      <c r="HC35" t="n" s="515">
        <v>-0.6773797273635864</v>
      </c>
      <c r="HD35" t="n" s="515">
        <v>-0.5619845986366272</v>
      </c>
      <c r="HE35" t="n" s="515">
        <v>-0.3197762370109558</v>
      </c>
      <c r="HF35" t="n" s="515">
        <v>-3.082123041152954</v>
      </c>
      <c r="HG35" t="n" s="515">
        <v>-0.743851900100708</v>
      </c>
      <c r="HH35" t="n" s="515">
        <v>2.4443604946136475</v>
      </c>
      <c r="HI35" t="n" s="515">
        <v>3.229442834854126</v>
      </c>
      <c r="HJ35" t="n" s="515">
        <v>3.8596301078796387</v>
      </c>
      <c r="HK35" t="n" s="515">
        <v>4.317845821380615</v>
      </c>
      <c r="HL35" t="n" s="515">
        <v>4.57390832901001</v>
      </c>
      <c r="HM35" t="n" s="515">
        <v>4.777524948120117</v>
      </c>
      <c r="HN35" t="n" s="515">
        <v>4.938439846038818</v>
      </c>
      <c r="HO35" t="n" s="515">
        <v>4.986565113067627</v>
      </c>
      <c r="HP35" t="n" s="515">
        <v>5.035294532775879</v>
      </c>
      <c r="HQ35" t="n" s="515">
        <v>5.023414134979248</v>
      </c>
      <c r="HR35" t="n" s="515">
        <v>5.079258441925049</v>
      </c>
      <c r="HS35" t="n" s="515">
        <v>5.182716369628906</v>
      </c>
      <c r="HT35" t="n" s="515">
        <v>5.1610918045043945</v>
      </c>
      <c r="HU35" t="n" s="515">
        <v>5.043642997741699</v>
      </c>
      <c r="HV35" t="n" s="515">
        <v>4.862414836883545</v>
      </c>
      <c r="HW35" t="n" s="515">
        <v>4.571872711181641</v>
      </c>
      <c r="HX35" t="n" s="515">
        <v>4.264096736907959</v>
      </c>
      <c r="HY35" t="n" s="515">
        <v>3.6899895668029785</v>
      </c>
      <c r="HZ35" t="n" s="515">
        <v>3.0651159286499023</v>
      </c>
      <c r="IA35" t="n" s="515">
        <v>2.423759937286377</v>
      </c>
      <c r="IB35" t="n" s="515">
        <v>1.8210973739624023</v>
      </c>
      <c r="IC35" t="n" s="515">
        <v>1.4292865991592407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baseType="lpstr" size="37">
      <vt:lpstr>Shell Distortion Criteria</vt:lpstr>
      <vt:lpstr>_roundnessc</vt:lpstr>
      <vt:lpstr>'Shell Distortion Criteria'!_tk1</vt:lpstr>
      <vt:lpstr>'Shell Distortion Criteria'!_tk10</vt:lpstr>
      <vt:lpstr>'Shell Distortion Criteria'!_tk2</vt:lpstr>
      <vt:lpstr>'Shell Distortion Criteria'!_tk3</vt:lpstr>
      <vt:lpstr>'Shell Distortion Criteria'!_tk4</vt:lpstr>
      <vt:lpstr>'Shell Distortion Criteria'!_tk5</vt:lpstr>
      <vt:lpstr>'Shell Distortion Criteria'!_tk6</vt:lpstr>
      <vt:lpstr>'Shell Distortion Criteria'!_tk7</vt:lpstr>
      <vt:lpstr>'Shell Distortion Criteria'!_tk8</vt:lpstr>
      <vt:lpstr>'Shell Distortion Criteria'!_tk9</vt:lpstr>
      <vt:lpstr>_tr1</vt:lpstr>
      <vt:lpstr>_tr2</vt:lpstr>
      <vt:lpstr>_tr3</vt:lpstr>
      <vt:lpstr>_tr4</vt:lpstr>
      <vt:lpstr>_tr5</vt:lpstr>
      <vt:lpstr>aadsf</vt:lpstr>
      <vt:lpstr>'Shell Distortion Criteria'!Controling_Height</vt:lpstr>
      <vt:lpstr>'Shell Distortion Criteria'!Controling_S</vt:lpstr>
      <vt:lpstr>'Shell Distortion Criteria'!Course_Height</vt:lpstr>
      <vt:lpstr>'Shell Distortion Criteria'!d</vt:lpstr>
      <vt:lpstr>'Shell Distortion Criteria'!Diameter</vt:lpstr>
      <vt:lpstr>'Shell Distortion Criteria'!E</vt:lpstr>
      <vt:lpstr>'Shell Distortion Criteria'!Fill_Height</vt:lpstr>
      <vt:lpstr>fulltolerance</vt:lpstr>
      <vt:lpstr>'Shell Distortion Criteria'!g</vt:lpstr>
      <vt:lpstr>'Shell Distortion Criteria'!Height</vt:lpstr>
      <vt:lpstr>'Shell Distortion Criteria'!high_G</vt:lpstr>
      <vt:lpstr>'Shell Distortion Criteria'!Max_G</vt:lpstr>
      <vt:lpstr>'Shell Distortion Criteria'!Max_G_Shell</vt:lpstr>
      <vt:lpstr>'Shell Distortion Criteria'!Print_Area</vt:lpstr>
      <vt:lpstr>'Shell Distortion Criteria'!S</vt:lpstr>
      <vt:lpstr>'Shell Distortion Criteria'!TempModifier</vt:lpstr>
      <vt:lpstr>'Shell Distortion Criteria'!Thick</vt:lpstr>
      <vt:lpstr>tr_3</vt:lpstr>
      <vt:lpstr>'Shell Distortion Criteria'!Year_Built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2019-11-13T20:22:42Z</dcterms:modified>
</cp:coreProperties>
</file>