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junos\OneDrive\Documents\"/>
    </mc:Choice>
  </mc:AlternateContent>
  <xr:revisionPtr revIDLastSave="0" documentId="13_ncr:1_{F8A70F91-A5F4-4F05-97EC-150EC66F9B04}" xr6:coauthVersionLast="47" xr6:coauthVersionMax="47" xr10:uidLastSave="{00000000-0000-0000-0000-000000000000}"/>
  <bookViews>
    <workbookView xWindow="2955" yWindow="4035" windowWidth="15645" windowHeight="15345" activeTab="1" xr2:uid="{9F9F0BC8-40C0-4F4F-AFAD-C23A8ED0AD01}"/>
  </bookViews>
  <sheets>
    <sheet name="MediCare_Data" sheetId="2" r:id="rId1"/>
    <sheet name="Detail1" sheetId="10" r:id="rId2"/>
    <sheet name="Analysis" sheetId="7" r:id="rId3"/>
    <sheet name="Visualization" sheetId="4" r:id="rId4"/>
    <sheet name="Dashboard" sheetId="8" r:id="rId5"/>
    <sheet name="Dashboard Insights" sheetId="9" r:id="rId6"/>
  </sheets>
  <definedNames>
    <definedName name="ExternalData_1" localSheetId="0" hidden="1">MediCare_Data!$A$1:$P$1001</definedName>
    <definedName name="Slicer_Department">#N/A</definedName>
    <definedName name="Slicer_Doctor_Name">#N/A</definedName>
    <definedName name="Slicer_Insurance_Type">#N/A</definedName>
    <definedName name="Slicer_Patient_by_Age_Group">#N/A</definedName>
    <definedName name="Slicer_Patient_Gender">#N/A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2" l="1"/>
  <c r="Q2"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X13" i="2"/>
  <c r="X12" i="2"/>
  <c r="X11" i="2"/>
  <c r="X10" i="2"/>
  <c r="X9" i="2"/>
  <c r="X8" i="2"/>
  <c r="X7" i="2"/>
  <c r="W13" i="2"/>
  <c r="W12" i="2"/>
  <c r="W11" i="2"/>
  <c r="W10" i="2"/>
  <c r="W9" i="2"/>
  <c r="W8" i="2"/>
  <c r="W7" i="2"/>
  <c r="W6" i="2"/>
  <c r="V13" i="2"/>
  <c r="V12" i="2"/>
  <c r="V11" i="2"/>
  <c r="V10" i="2"/>
  <c r="V9" i="2"/>
  <c r="V8" i="2"/>
  <c r="V7" i="2"/>
  <c r="V6" i="2"/>
  <c r="X6"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V31" i="2" l="1"/>
  <c r="U6" i="2" a="1"/>
  <c r="U6" i="2" s="1"/>
  <c r="W20" i="2" l="1"/>
  <c r="V18" i="2"/>
  <c r="V20" i="2"/>
  <c r="W18" i="2"/>
  <c r="V35" i="2"/>
  <c r="V37" i="2" s="1"/>
  <c r="V29" i="2"/>
  <c r="V27" i="2"/>
  <c r="V23" i="2"/>
  <c r="R2" i="2"/>
  <c r="S2" i="2" s="1"/>
  <c r="R3" i="2"/>
  <c r="S3" i="2" s="1"/>
  <c r="R4" i="2"/>
  <c r="S4" i="2" s="1"/>
  <c r="R5" i="2"/>
  <c r="S5" i="2" s="1"/>
  <c r="R6" i="2"/>
  <c r="S6" i="2" s="1"/>
  <c r="R7" i="2"/>
  <c r="S7" i="2" s="1"/>
  <c r="R8" i="2"/>
  <c r="S8" i="2" s="1"/>
  <c r="R9" i="2"/>
  <c r="S9" i="2" s="1"/>
  <c r="R10" i="2"/>
  <c r="S10" i="2" s="1"/>
  <c r="R11" i="2"/>
  <c r="S11" i="2" s="1"/>
  <c r="R12" i="2"/>
  <c r="S12" i="2" s="1"/>
  <c r="R13" i="2"/>
  <c r="S13" i="2" s="1"/>
  <c r="R14" i="2"/>
  <c r="S14" i="2" s="1"/>
  <c r="R15" i="2"/>
  <c r="S15" i="2" s="1"/>
  <c r="R16" i="2"/>
  <c r="S16" i="2" s="1"/>
  <c r="R17" i="2"/>
  <c r="S17" i="2" s="1"/>
  <c r="R18" i="2"/>
  <c r="S18" i="2" s="1"/>
  <c r="R19" i="2"/>
  <c r="S19" i="2" s="1"/>
  <c r="R20" i="2"/>
  <c r="S20" i="2" s="1"/>
  <c r="R21" i="2"/>
  <c r="S21" i="2" s="1"/>
  <c r="R22" i="2"/>
  <c r="S22" i="2" s="1"/>
  <c r="R23" i="2"/>
  <c r="S23" i="2" s="1"/>
  <c r="R24" i="2"/>
  <c r="S24" i="2" s="1"/>
  <c r="R25" i="2"/>
  <c r="S25" i="2" s="1"/>
  <c r="R26" i="2"/>
  <c r="S26" i="2" s="1"/>
  <c r="R27" i="2"/>
  <c r="S27" i="2" s="1"/>
  <c r="R28" i="2"/>
  <c r="S28" i="2" s="1"/>
  <c r="R29" i="2"/>
  <c r="S29" i="2" s="1"/>
  <c r="R30" i="2"/>
  <c r="S30" i="2" s="1"/>
  <c r="R31" i="2"/>
  <c r="S31" i="2" s="1"/>
  <c r="R32" i="2"/>
  <c r="S32" i="2" s="1"/>
  <c r="R33" i="2"/>
  <c r="S33" i="2" s="1"/>
  <c r="R34" i="2"/>
  <c r="S34" i="2" s="1"/>
  <c r="R35" i="2"/>
  <c r="S35" i="2" s="1"/>
  <c r="R36" i="2"/>
  <c r="S36" i="2" s="1"/>
  <c r="R37" i="2"/>
  <c r="S37" i="2" s="1"/>
  <c r="R38" i="2"/>
  <c r="S38" i="2" s="1"/>
  <c r="R39" i="2"/>
  <c r="S39" i="2" s="1"/>
  <c r="R40" i="2"/>
  <c r="S40" i="2" s="1"/>
  <c r="R41" i="2"/>
  <c r="S41" i="2" s="1"/>
  <c r="R42" i="2"/>
  <c r="S42" i="2" s="1"/>
  <c r="R43" i="2"/>
  <c r="S43" i="2" s="1"/>
  <c r="R44" i="2"/>
  <c r="S44" i="2" s="1"/>
  <c r="R45" i="2"/>
  <c r="S45" i="2" s="1"/>
  <c r="R46" i="2"/>
  <c r="S46" i="2" s="1"/>
  <c r="R47" i="2"/>
  <c r="S47" i="2" s="1"/>
  <c r="R48" i="2"/>
  <c r="S48" i="2" s="1"/>
  <c r="R49" i="2"/>
  <c r="S49" i="2" s="1"/>
  <c r="R50" i="2"/>
  <c r="S50" i="2" s="1"/>
  <c r="R51" i="2"/>
  <c r="S51" i="2" s="1"/>
  <c r="R52" i="2"/>
  <c r="S52" i="2" s="1"/>
  <c r="R53" i="2"/>
  <c r="S53" i="2" s="1"/>
  <c r="R54" i="2"/>
  <c r="S54" i="2" s="1"/>
  <c r="R55" i="2"/>
  <c r="S55" i="2" s="1"/>
  <c r="R56" i="2"/>
  <c r="S56" i="2" s="1"/>
  <c r="R57" i="2"/>
  <c r="S57" i="2" s="1"/>
  <c r="R58" i="2"/>
  <c r="S58" i="2" s="1"/>
  <c r="R59" i="2"/>
  <c r="S59" i="2" s="1"/>
  <c r="R60" i="2"/>
  <c r="S60" i="2" s="1"/>
  <c r="R61" i="2"/>
  <c r="S61" i="2" s="1"/>
  <c r="R62" i="2"/>
  <c r="S62" i="2" s="1"/>
  <c r="R63" i="2"/>
  <c r="S63" i="2" s="1"/>
  <c r="R64" i="2"/>
  <c r="S64" i="2" s="1"/>
  <c r="R65" i="2"/>
  <c r="S65" i="2" s="1"/>
  <c r="R66" i="2"/>
  <c r="S66" i="2" s="1"/>
  <c r="R67" i="2"/>
  <c r="S67" i="2" s="1"/>
  <c r="R68" i="2"/>
  <c r="S68" i="2" s="1"/>
  <c r="R69" i="2"/>
  <c r="S69" i="2" s="1"/>
  <c r="R70" i="2"/>
  <c r="S70" i="2" s="1"/>
  <c r="R71" i="2"/>
  <c r="S71" i="2" s="1"/>
  <c r="R72" i="2"/>
  <c r="S72" i="2" s="1"/>
  <c r="R73" i="2"/>
  <c r="S73" i="2" s="1"/>
  <c r="R74" i="2"/>
  <c r="S74" i="2" s="1"/>
  <c r="R75" i="2"/>
  <c r="S75" i="2" s="1"/>
  <c r="R76" i="2"/>
  <c r="S76" i="2" s="1"/>
  <c r="R77" i="2"/>
  <c r="S77" i="2" s="1"/>
  <c r="R78" i="2"/>
  <c r="S78" i="2" s="1"/>
  <c r="R79" i="2"/>
  <c r="S79" i="2" s="1"/>
  <c r="R80" i="2"/>
  <c r="S80" i="2" s="1"/>
  <c r="R81" i="2"/>
  <c r="S81" i="2" s="1"/>
  <c r="R82" i="2"/>
  <c r="S82" i="2" s="1"/>
  <c r="R83" i="2"/>
  <c r="S83" i="2" s="1"/>
  <c r="R84" i="2"/>
  <c r="S84" i="2" s="1"/>
  <c r="R85" i="2"/>
  <c r="S85" i="2" s="1"/>
  <c r="R86" i="2"/>
  <c r="S86" i="2" s="1"/>
  <c r="R87" i="2"/>
  <c r="S87" i="2" s="1"/>
  <c r="R88" i="2"/>
  <c r="S88" i="2" s="1"/>
  <c r="R89" i="2"/>
  <c r="S89" i="2" s="1"/>
  <c r="R90" i="2"/>
  <c r="S90" i="2" s="1"/>
  <c r="R91" i="2"/>
  <c r="S91" i="2" s="1"/>
  <c r="R92" i="2"/>
  <c r="S92" i="2" s="1"/>
  <c r="R93" i="2"/>
  <c r="S93" i="2" s="1"/>
  <c r="R94" i="2"/>
  <c r="S94" i="2" s="1"/>
  <c r="R95" i="2"/>
  <c r="S95" i="2" s="1"/>
  <c r="R96" i="2"/>
  <c r="S96" i="2" s="1"/>
  <c r="R97" i="2"/>
  <c r="S97" i="2" s="1"/>
  <c r="R98" i="2"/>
  <c r="S98" i="2" s="1"/>
  <c r="R99" i="2"/>
  <c r="S99" i="2" s="1"/>
  <c r="R100" i="2"/>
  <c r="S100" i="2" s="1"/>
  <c r="R101" i="2"/>
  <c r="S101" i="2" s="1"/>
  <c r="R102" i="2"/>
  <c r="S102" i="2" s="1"/>
  <c r="R103" i="2"/>
  <c r="S103" i="2" s="1"/>
  <c r="R104" i="2"/>
  <c r="S104" i="2" s="1"/>
  <c r="R105" i="2"/>
  <c r="S105" i="2" s="1"/>
  <c r="R106" i="2"/>
  <c r="S106" i="2" s="1"/>
  <c r="R107" i="2"/>
  <c r="S107" i="2" s="1"/>
  <c r="R108" i="2"/>
  <c r="S108" i="2" s="1"/>
  <c r="R109" i="2"/>
  <c r="S109" i="2" s="1"/>
  <c r="R110" i="2"/>
  <c r="S110" i="2" s="1"/>
  <c r="R111" i="2"/>
  <c r="S111" i="2" s="1"/>
  <c r="R112" i="2"/>
  <c r="S112" i="2" s="1"/>
  <c r="R113" i="2"/>
  <c r="S113" i="2" s="1"/>
  <c r="R114" i="2"/>
  <c r="S114" i="2" s="1"/>
  <c r="R115" i="2"/>
  <c r="S115" i="2" s="1"/>
  <c r="R116" i="2"/>
  <c r="S116" i="2" s="1"/>
  <c r="R117" i="2"/>
  <c r="S117" i="2" s="1"/>
  <c r="R118" i="2"/>
  <c r="S118" i="2" s="1"/>
  <c r="R119" i="2"/>
  <c r="S119" i="2" s="1"/>
  <c r="R120" i="2"/>
  <c r="S120" i="2" s="1"/>
  <c r="R121" i="2"/>
  <c r="S121" i="2" s="1"/>
  <c r="R122" i="2"/>
  <c r="S122" i="2" s="1"/>
  <c r="R123" i="2"/>
  <c r="S123" i="2" s="1"/>
  <c r="R124" i="2"/>
  <c r="S124" i="2" s="1"/>
  <c r="R125" i="2"/>
  <c r="S125" i="2" s="1"/>
  <c r="R126" i="2"/>
  <c r="S126" i="2" s="1"/>
  <c r="R127" i="2"/>
  <c r="S127" i="2" s="1"/>
  <c r="R128" i="2"/>
  <c r="S128" i="2" s="1"/>
  <c r="R129" i="2"/>
  <c r="S129" i="2" s="1"/>
  <c r="R130" i="2"/>
  <c r="S130" i="2" s="1"/>
  <c r="R131" i="2"/>
  <c r="S131" i="2" s="1"/>
  <c r="R132" i="2"/>
  <c r="S132" i="2" s="1"/>
  <c r="R133" i="2"/>
  <c r="S133" i="2" s="1"/>
  <c r="R134" i="2"/>
  <c r="S134" i="2" s="1"/>
  <c r="R135" i="2"/>
  <c r="S135" i="2" s="1"/>
  <c r="R136" i="2"/>
  <c r="S136" i="2" s="1"/>
  <c r="R137" i="2"/>
  <c r="S137" i="2" s="1"/>
  <c r="R138" i="2"/>
  <c r="S138" i="2" s="1"/>
  <c r="R139" i="2"/>
  <c r="S139" i="2" s="1"/>
  <c r="R140" i="2"/>
  <c r="S140" i="2" s="1"/>
  <c r="R141" i="2"/>
  <c r="S141" i="2" s="1"/>
  <c r="R142" i="2"/>
  <c r="S142" i="2" s="1"/>
  <c r="R143" i="2"/>
  <c r="S143" i="2" s="1"/>
  <c r="R144" i="2"/>
  <c r="S144" i="2" s="1"/>
  <c r="R145" i="2"/>
  <c r="S145" i="2" s="1"/>
  <c r="R146" i="2"/>
  <c r="S146" i="2" s="1"/>
  <c r="R147" i="2"/>
  <c r="S147" i="2" s="1"/>
  <c r="R148" i="2"/>
  <c r="S148" i="2" s="1"/>
  <c r="R149" i="2"/>
  <c r="S149" i="2" s="1"/>
  <c r="R150" i="2"/>
  <c r="S150" i="2" s="1"/>
  <c r="R151" i="2"/>
  <c r="S151" i="2" s="1"/>
  <c r="R152" i="2"/>
  <c r="S152" i="2" s="1"/>
  <c r="R153" i="2"/>
  <c r="S153" i="2" s="1"/>
  <c r="R154" i="2"/>
  <c r="S154" i="2" s="1"/>
  <c r="R155" i="2"/>
  <c r="S155" i="2" s="1"/>
  <c r="R156" i="2"/>
  <c r="S156" i="2" s="1"/>
  <c r="R157" i="2"/>
  <c r="S157" i="2" s="1"/>
  <c r="R158" i="2"/>
  <c r="S158" i="2" s="1"/>
  <c r="R159" i="2"/>
  <c r="S159" i="2" s="1"/>
  <c r="R160" i="2"/>
  <c r="S160" i="2" s="1"/>
  <c r="R161" i="2"/>
  <c r="S161" i="2" s="1"/>
  <c r="R162" i="2"/>
  <c r="S162" i="2" s="1"/>
  <c r="R163" i="2"/>
  <c r="S163" i="2" s="1"/>
  <c r="R164" i="2"/>
  <c r="S164" i="2" s="1"/>
  <c r="R165" i="2"/>
  <c r="S165" i="2" s="1"/>
  <c r="R166" i="2"/>
  <c r="S166" i="2" s="1"/>
  <c r="R167" i="2"/>
  <c r="S167" i="2" s="1"/>
  <c r="R168" i="2"/>
  <c r="S168" i="2" s="1"/>
  <c r="R169" i="2"/>
  <c r="S169" i="2" s="1"/>
  <c r="R170" i="2"/>
  <c r="S170" i="2" s="1"/>
  <c r="R171" i="2"/>
  <c r="S171" i="2" s="1"/>
  <c r="R172" i="2"/>
  <c r="S172" i="2" s="1"/>
  <c r="R173" i="2"/>
  <c r="S173" i="2" s="1"/>
  <c r="R174" i="2"/>
  <c r="S174" i="2" s="1"/>
  <c r="R175" i="2"/>
  <c r="S175" i="2" s="1"/>
  <c r="R176" i="2"/>
  <c r="S176" i="2" s="1"/>
  <c r="R177" i="2"/>
  <c r="S177" i="2" s="1"/>
  <c r="R178" i="2"/>
  <c r="S178" i="2" s="1"/>
  <c r="R179" i="2"/>
  <c r="S179" i="2" s="1"/>
  <c r="R180" i="2"/>
  <c r="S180" i="2" s="1"/>
  <c r="R181" i="2"/>
  <c r="S181" i="2" s="1"/>
  <c r="R182" i="2"/>
  <c r="S182" i="2" s="1"/>
  <c r="R183" i="2"/>
  <c r="S183" i="2" s="1"/>
  <c r="R184" i="2"/>
  <c r="S184" i="2" s="1"/>
  <c r="R185" i="2"/>
  <c r="S185" i="2" s="1"/>
  <c r="R186" i="2"/>
  <c r="S186" i="2" s="1"/>
  <c r="R187" i="2"/>
  <c r="S187" i="2" s="1"/>
  <c r="R188" i="2"/>
  <c r="S188" i="2" s="1"/>
  <c r="R189" i="2"/>
  <c r="S189" i="2" s="1"/>
  <c r="R190" i="2"/>
  <c r="S190" i="2" s="1"/>
  <c r="R191" i="2"/>
  <c r="S191" i="2" s="1"/>
  <c r="R192" i="2"/>
  <c r="S192" i="2" s="1"/>
  <c r="R193" i="2"/>
  <c r="S193" i="2" s="1"/>
  <c r="R194" i="2"/>
  <c r="S194" i="2" s="1"/>
  <c r="R195" i="2"/>
  <c r="S195" i="2" s="1"/>
  <c r="R196" i="2"/>
  <c r="S196" i="2" s="1"/>
  <c r="R197" i="2"/>
  <c r="S197" i="2" s="1"/>
  <c r="R198" i="2"/>
  <c r="S198" i="2" s="1"/>
  <c r="R199" i="2"/>
  <c r="S199" i="2" s="1"/>
  <c r="R200" i="2"/>
  <c r="S200" i="2" s="1"/>
  <c r="R201" i="2"/>
  <c r="S201" i="2" s="1"/>
  <c r="R202" i="2"/>
  <c r="S202" i="2" s="1"/>
  <c r="R203" i="2"/>
  <c r="S203" i="2" s="1"/>
  <c r="R204" i="2"/>
  <c r="S204" i="2" s="1"/>
  <c r="R205" i="2"/>
  <c r="S205" i="2" s="1"/>
  <c r="R206" i="2"/>
  <c r="S206" i="2" s="1"/>
  <c r="R207" i="2"/>
  <c r="S207" i="2" s="1"/>
  <c r="R208" i="2"/>
  <c r="S208" i="2" s="1"/>
  <c r="R209" i="2"/>
  <c r="S209" i="2" s="1"/>
  <c r="R210" i="2"/>
  <c r="S210" i="2" s="1"/>
  <c r="R211" i="2"/>
  <c r="S211" i="2" s="1"/>
  <c r="R212" i="2"/>
  <c r="S212" i="2" s="1"/>
  <c r="R213" i="2"/>
  <c r="S213" i="2" s="1"/>
  <c r="R214" i="2"/>
  <c r="S214" i="2" s="1"/>
  <c r="R215" i="2"/>
  <c r="S215" i="2" s="1"/>
  <c r="R216" i="2"/>
  <c r="S216" i="2" s="1"/>
  <c r="R217" i="2"/>
  <c r="S217" i="2" s="1"/>
  <c r="R218" i="2"/>
  <c r="S218" i="2" s="1"/>
  <c r="R219" i="2"/>
  <c r="S219" i="2" s="1"/>
  <c r="R220" i="2"/>
  <c r="S220" i="2" s="1"/>
  <c r="R221" i="2"/>
  <c r="S221" i="2" s="1"/>
  <c r="R222" i="2"/>
  <c r="S222" i="2" s="1"/>
  <c r="R223" i="2"/>
  <c r="S223" i="2" s="1"/>
  <c r="R224" i="2"/>
  <c r="S224" i="2" s="1"/>
  <c r="R225" i="2"/>
  <c r="S225" i="2" s="1"/>
  <c r="R226" i="2"/>
  <c r="S226" i="2" s="1"/>
  <c r="R227" i="2"/>
  <c r="S227" i="2" s="1"/>
  <c r="R228" i="2"/>
  <c r="S228" i="2" s="1"/>
  <c r="R229" i="2"/>
  <c r="S229" i="2" s="1"/>
  <c r="R230" i="2"/>
  <c r="S230" i="2" s="1"/>
  <c r="R231" i="2"/>
  <c r="S231" i="2" s="1"/>
  <c r="R232" i="2"/>
  <c r="S232" i="2" s="1"/>
  <c r="R233" i="2"/>
  <c r="S233" i="2" s="1"/>
  <c r="R234" i="2"/>
  <c r="S234" i="2" s="1"/>
  <c r="R235" i="2"/>
  <c r="S235" i="2" s="1"/>
  <c r="R236" i="2"/>
  <c r="S236" i="2" s="1"/>
  <c r="R237" i="2"/>
  <c r="S237" i="2" s="1"/>
  <c r="R238" i="2"/>
  <c r="S238" i="2" s="1"/>
  <c r="R239" i="2"/>
  <c r="S239" i="2" s="1"/>
  <c r="R240" i="2"/>
  <c r="S240" i="2" s="1"/>
  <c r="R241" i="2"/>
  <c r="S241" i="2" s="1"/>
  <c r="R242" i="2"/>
  <c r="S242" i="2" s="1"/>
  <c r="R243" i="2"/>
  <c r="S243" i="2" s="1"/>
  <c r="R244" i="2"/>
  <c r="S244" i="2" s="1"/>
  <c r="R245" i="2"/>
  <c r="S245" i="2" s="1"/>
  <c r="R246" i="2"/>
  <c r="S246" i="2" s="1"/>
  <c r="R247" i="2"/>
  <c r="S247" i="2" s="1"/>
  <c r="R248" i="2"/>
  <c r="S248" i="2" s="1"/>
  <c r="R249" i="2"/>
  <c r="S249" i="2" s="1"/>
  <c r="R250" i="2"/>
  <c r="S250" i="2" s="1"/>
  <c r="R251" i="2"/>
  <c r="S251" i="2" s="1"/>
  <c r="R252" i="2"/>
  <c r="S252" i="2" s="1"/>
  <c r="R253" i="2"/>
  <c r="S253" i="2" s="1"/>
  <c r="R254" i="2"/>
  <c r="S254" i="2" s="1"/>
  <c r="R255" i="2"/>
  <c r="S255" i="2" s="1"/>
  <c r="R256" i="2"/>
  <c r="S256" i="2" s="1"/>
  <c r="R257" i="2"/>
  <c r="S257" i="2" s="1"/>
  <c r="R258" i="2"/>
  <c r="S258" i="2" s="1"/>
  <c r="R259" i="2"/>
  <c r="S259" i="2" s="1"/>
  <c r="R260" i="2"/>
  <c r="S260" i="2" s="1"/>
  <c r="R261" i="2"/>
  <c r="S261" i="2" s="1"/>
  <c r="R262" i="2"/>
  <c r="S262" i="2" s="1"/>
  <c r="R263" i="2"/>
  <c r="S263" i="2" s="1"/>
  <c r="R264" i="2"/>
  <c r="S264" i="2" s="1"/>
  <c r="R265" i="2"/>
  <c r="S265" i="2" s="1"/>
  <c r="R266" i="2"/>
  <c r="S266" i="2" s="1"/>
  <c r="R267" i="2"/>
  <c r="S267" i="2" s="1"/>
  <c r="R268" i="2"/>
  <c r="S268" i="2" s="1"/>
  <c r="R269" i="2"/>
  <c r="S269" i="2" s="1"/>
  <c r="R270" i="2"/>
  <c r="S270" i="2" s="1"/>
  <c r="R271" i="2"/>
  <c r="S271" i="2" s="1"/>
  <c r="R272" i="2"/>
  <c r="S272" i="2" s="1"/>
  <c r="R273" i="2"/>
  <c r="S273" i="2" s="1"/>
  <c r="R274" i="2"/>
  <c r="S274" i="2" s="1"/>
  <c r="R275" i="2"/>
  <c r="S275" i="2" s="1"/>
  <c r="R276" i="2"/>
  <c r="S276" i="2" s="1"/>
  <c r="R277" i="2"/>
  <c r="S277" i="2" s="1"/>
  <c r="R278" i="2"/>
  <c r="S278" i="2" s="1"/>
  <c r="R279" i="2"/>
  <c r="S279" i="2" s="1"/>
  <c r="R280" i="2"/>
  <c r="S280" i="2" s="1"/>
  <c r="R281" i="2"/>
  <c r="S281" i="2" s="1"/>
  <c r="R282" i="2"/>
  <c r="S282" i="2" s="1"/>
  <c r="R283" i="2"/>
  <c r="S283" i="2" s="1"/>
  <c r="R284" i="2"/>
  <c r="S284" i="2" s="1"/>
  <c r="R285" i="2"/>
  <c r="S285" i="2" s="1"/>
  <c r="R286" i="2"/>
  <c r="S286" i="2" s="1"/>
  <c r="R287" i="2"/>
  <c r="S287" i="2" s="1"/>
  <c r="R288" i="2"/>
  <c r="S288" i="2" s="1"/>
  <c r="R289" i="2"/>
  <c r="S289" i="2" s="1"/>
  <c r="R290" i="2"/>
  <c r="S290" i="2" s="1"/>
  <c r="R291" i="2"/>
  <c r="S291" i="2" s="1"/>
  <c r="R292" i="2"/>
  <c r="S292" i="2" s="1"/>
  <c r="R293" i="2"/>
  <c r="S293" i="2" s="1"/>
  <c r="R294" i="2"/>
  <c r="S294" i="2" s="1"/>
  <c r="R295" i="2"/>
  <c r="S295" i="2" s="1"/>
  <c r="R296" i="2"/>
  <c r="S296" i="2" s="1"/>
  <c r="R297" i="2"/>
  <c r="S297" i="2" s="1"/>
  <c r="R298" i="2"/>
  <c r="S298" i="2" s="1"/>
  <c r="R299" i="2"/>
  <c r="S299" i="2" s="1"/>
  <c r="R300" i="2"/>
  <c r="S300" i="2" s="1"/>
  <c r="R301" i="2"/>
  <c r="S301" i="2" s="1"/>
  <c r="R302" i="2"/>
  <c r="S302" i="2" s="1"/>
  <c r="R303" i="2"/>
  <c r="S303" i="2" s="1"/>
  <c r="R304" i="2"/>
  <c r="S304" i="2" s="1"/>
  <c r="R305" i="2"/>
  <c r="S305" i="2" s="1"/>
  <c r="R306" i="2"/>
  <c r="S306" i="2" s="1"/>
  <c r="R307" i="2"/>
  <c r="S307" i="2" s="1"/>
  <c r="R308" i="2"/>
  <c r="S308" i="2" s="1"/>
  <c r="R309" i="2"/>
  <c r="S309" i="2" s="1"/>
  <c r="R310" i="2"/>
  <c r="S310" i="2" s="1"/>
  <c r="R311" i="2"/>
  <c r="S311" i="2" s="1"/>
  <c r="R312" i="2"/>
  <c r="S312" i="2" s="1"/>
  <c r="R313" i="2"/>
  <c r="S313" i="2" s="1"/>
  <c r="R314" i="2"/>
  <c r="S314" i="2" s="1"/>
  <c r="R315" i="2"/>
  <c r="S315" i="2" s="1"/>
  <c r="R316" i="2"/>
  <c r="S316" i="2" s="1"/>
  <c r="R317" i="2"/>
  <c r="S317" i="2" s="1"/>
  <c r="R318" i="2"/>
  <c r="S318" i="2" s="1"/>
  <c r="R319" i="2"/>
  <c r="S319" i="2" s="1"/>
  <c r="R320" i="2"/>
  <c r="S320" i="2" s="1"/>
  <c r="R321" i="2"/>
  <c r="S321" i="2" s="1"/>
  <c r="R322" i="2"/>
  <c r="S322" i="2" s="1"/>
  <c r="R323" i="2"/>
  <c r="S323" i="2" s="1"/>
  <c r="R324" i="2"/>
  <c r="S324" i="2" s="1"/>
  <c r="R325" i="2"/>
  <c r="S325" i="2" s="1"/>
  <c r="R326" i="2"/>
  <c r="S326" i="2" s="1"/>
  <c r="R327" i="2"/>
  <c r="S327" i="2" s="1"/>
  <c r="R328" i="2"/>
  <c r="S328" i="2" s="1"/>
  <c r="R329" i="2"/>
  <c r="S329" i="2" s="1"/>
  <c r="R330" i="2"/>
  <c r="S330" i="2" s="1"/>
  <c r="R331" i="2"/>
  <c r="S331" i="2" s="1"/>
  <c r="R332" i="2"/>
  <c r="S332" i="2" s="1"/>
  <c r="R333" i="2"/>
  <c r="S333" i="2" s="1"/>
  <c r="R334" i="2"/>
  <c r="S334" i="2" s="1"/>
  <c r="R335" i="2"/>
  <c r="S335" i="2" s="1"/>
  <c r="R336" i="2"/>
  <c r="S336" i="2" s="1"/>
  <c r="R337" i="2"/>
  <c r="S337" i="2" s="1"/>
  <c r="R338" i="2"/>
  <c r="S338" i="2" s="1"/>
  <c r="R339" i="2"/>
  <c r="S339" i="2" s="1"/>
  <c r="R340" i="2"/>
  <c r="S340" i="2" s="1"/>
  <c r="R341" i="2"/>
  <c r="S341" i="2" s="1"/>
  <c r="R342" i="2"/>
  <c r="S342" i="2" s="1"/>
  <c r="R343" i="2"/>
  <c r="S343" i="2" s="1"/>
  <c r="R344" i="2"/>
  <c r="S344" i="2" s="1"/>
  <c r="R345" i="2"/>
  <c r="S345" i="2" s="1"/>
  <c r="R346" i="2"/>
  <c r="S346" i="2" s="1"/>
  <c r="R347" i="2"/>
  <c r="S347" i="2" s="1"/>
  <c r="R348" i="2"/>
  <c r="S348" i="2" s="1"/>
  <c r="R349" i="2"/>
  <c r="S349" i="2" s="1"/>
  <c r="R350" i="2"/>
  <c r="S350" i="2" s="1"/>
  <c r="R351" i="2"/>
  <c r="S351" i="2" s="1"/>
  <c r="R352" i="2"/>
  <c r="S352" i="2" s="1"/>
  <c r="R353" i="2"/>
  <c r="S353" i="2" s="1"/>
  <c r="R354" i="2"/>
  <c r="S354" i="2" s="1"/>
  <c r="R355" i="2"/>
  <c r="S355" i="2" s="1"/>
  <c r="R356" i="2"/>
  <c r="S356" i="2" s="1"/>
  <c r="R357" i="2"/>
  <c r="S357" i="2" s="1"/>
  <c r="R358" i="2"/>
  <c r="S358" i="2" s="1"/>
  <c r="R359" i="2"/>
  <c r="S359" i="2" s="1"/>
  <c r="R360" i="2"/>
  <c r="S360" i="2" s="1"/>
  <c r="R361" i="2"/>
  <c r="S361" i="2" s="1"/>
  <c r="R362" i="2"/>
  <c r="S362" i="2" s="1"/>
  <c r="R363" i="2"/>
  <c r="S363" i="2" s="1"/>
  <c r="R364" i="2"/>
  <c r="S364" i="2" s="1"/>
  <c r="R365" i="2"/>
  <c r="S365" i="2" s="1"/>
  <c r="R366" i="2"/>
  <c r="S366" i="2" s="1"/>
  <c r="R367" i="2"/>
  <c r="S367" i="2" s="1"/>
  <c r="R368" i="2"/>
  <c r="S368" i="2" s="1"/>
  <c r="R369" i="2"/>
  <c r="S369" i="2" s="1"/>
  <c r="R370" i="2"/>
  <c r="S370" i="2" s="1"/>
  <c r="R371" i="2"/>
  <c r="S371" i="2" s="1"/>
  <c r="R372" i="2"/>
  <c r="S372" i="2" s="1"/>
  <c r="R373" i="2"/>
  <c r="S373" i="2" s="1"/>
  <c r="R374" i="2"/>
  <c r="S374" i="2" s="1"/>
  <c r="R375" i="2"/>
  <c r="S375" i="2" s="1"/>
  <c r="R376" i="2"/>
  <c r="S376" i="2" s="1"/>
  <c r="R377" i="2"/>
  <c r="S377" i="2" s="1"/>
  <c r="R378" i="2"/>
  <c r="S378" i="2" s="1"/>
  <c r="R379" i="2"/>
  <c r="S379" i="2" s="1"/>
  <c r="R380" i="2"/>
  <c r="S380" i="2" s="1"/>
  <c r="R381" i="2"/>
  <c r="S381" i="2" s="1"/>
  <c r="R382" i="2"/>
  <c r="S382" i="2" s="1"/>
  <c r="R383" i="2"/>
  <c r="S383" i="2" s="1"/>
  <c r="R384" i="2"/>
  <c r="S384" i="2" s="1"/>
  <c r="R385" i="2"/>
  <c r="S385" i="2" s="1"/>
  <c r="R386" i="2"/>
  <c r="S386" i="2" s="1"/>
  <c r="R387" i="2"/>
  <c r="S387" i="2" s="1"/>
  <c r="R388" i="2"/>
  <c r="S388" i="2" s="1"/>
  <c r="R389" i="2"/>
  <c r="S389" i="2" s="1"/>
  <c r="R390" i="2"/>
  <c r="S390" i="2" s="1"/>
  <c r="R391" i="2"/>
  <c r="S391" i="2" s="1"/>
  <c r="R392" i="2"/>
  <c r="S392" i="2" s="1"/>
  <c r="R393" i="2"/>
  <c r="S393" i="2" s="1"/>
  <c r="R394" i="2"/>
  <c r="S394" i="2" s="1"/>
  <c r="R395" i="2"/>
  <c r="S395" i="2" s="1"/>
  <c r="R396" i="2"/>
  <c r="S396" i="2" s="1"/>
  <c r="R397" i="2"/>
  <c r="S397" i="2" s="1"/>
  <c r="R398" i="2"/>
  <c r="S398" i="2" s="1"/>
  <c r="R399" i="2"/>
  <c r="S399" i="2" s="1"/>
  <c r="R400" i="2"/>
  <c r="S400" i="2" s="1"/>
  <c r="R401" i="2"/>
  <c r="S401" i="2" s="1"/>
  <c r="R402" i="2"/>
  <c r="S402" i="2" s="1"/>
  <c r="R403" i="2"/>
  <c r="S403" i="2" s="1"/>
  <c r="R404" i="2"/>
  <c r="S404" i="2" s="1"/>
  <c r="R405" i="2"/>
  <c r="S405" i="2" s="1"/>
  <c r="R406" i="2"/>
  <c r="S406" i="2" s="1"/>
  <c r="R407" i="2"/>
  <c r="S407" i="2" s="1"/>
  <c r="R408" i="2"/>
  <c r="S408" i="2" s="1"/>
  <c r="R409" i="2"/>
  <c r="S409" i="2" s="1"/>
  <c r="R410" i="2"/>
  <c r="S410" i="2" s="1"/>
  <c r="R411" i="2"/>
  <c r="S411" i="2" s="1"/>
  <c r="R412" i="2"/>
  <c r="S412" i="2" s="1"/>
  <c r="R413" i="2"/>
  <c r="S413" i="2" s="1"/>
  <c r="R414" i="2"/>
  <c r="S414" i="2" s="1"/>
  <c r="R415" i="2"/>
  <c r="S415" i="2" s="1"/>
  <c r="R416" i="2"/>
  <c r="S416" i="2" s="1"/>
  <c r="R417" i="2"/>
  <c r="S417" i="2" s="1"/>
  <c r="R418" i="2"/>
  <c r="S418" i="2" s="1"/>
  <c r="R419" i="2"/>
  <c r="S419" i="2" s="1"/>
  <c r="R420" i="2"/>
  <c r="S420" i="2" s="1"/>
  <c r="R421" i="2"/>
  <c r="S421" i="2" s="1"/>
  <c r="R422" i="2"/>
  <c r="S422" i="2" s="1"/>
  <c r="R423" i="2"/>
  <c r="S423" i="2" s="1"/>
  <c r="R424" i="2"/>
  <c r="S424" i="2" s="1"/>
  <c r="R425" i="2"/>
  <c r="S425" i="2" s="1"/>
  <c r="R426" i="2"/>
  <c r="S426" i="2" s="1"/>
  <c r="R427" i="2"/>
  <c r="S427" i="2" s="1"/>
  <c r="R428" i="2"/>
  <c r="S428" i="2" s="1"/>
  <c r="R429" i="2"/>
  <c r="S429" i="2" s="1"/>
  <c r="R430" i="2"/>
  <c r="S430" i="2" s="1"/>
  <c r="R431" i="2"/>
  <c r="S431" i="2" s="1"/>
  <c r="R432" i="2"/>
  <c r="S432" i="2" s="1"/>
  <c r="R433" i="2"/>
  <c r="S433" i="2" s="1"/>
  <c r="R434" i="2"/>
  <c r="S434" i="2" s="1"/>
  <c r="R435" i="2"/>
  <c r="S435" i="2" s="1"/>
  <c r="R436" i="2"/>
  <c r="S436" i="2" s="1"/>
  <c r="R437" i="2"/>
  <c r="S437" i="2" s="1"/>
  <c r="R438" i="2"/>
  <c r="S438" i="2" s="1"/>
  <c r="R439" i="2"/>
  <c r="S439" i="2" s="1"/>
  <c r="R440" i="2"/>
  <c r="S440" i="2" s="1"/>
  <c r="R441" i="2"/>
  <c r="S441" i="2" s="1"/>
  <c r="R442" i="2"/>
  <c r="S442" i="2" s="1"/>
  <c r="R443" i="2"/>
  <c r="S443" i="2" s="1"/>
  <c r="R444" i="2"/>
  <c r="S444" i="2" s="1"/>
  <c r="R445" i="2"/>
  <c r="S445" i="2" s="1"/>
  <c r="R446" i="2"/>
  <c r="S446" i="2" s="1"/>
  <c r="R447" i="2"/>
  <c r="S447" i="2" s="1"/>
  <c r="R448" i="2"/>
  <c r="S448" i="2" s="1"/>
  <c r="R449" i="2"/>
  <c r="S449" i="2" s="1"/>
  <c r="R450" i="2"/>
  <c r="S450" i="2" s="1"/>
  <c r="R451" i="2"/>
  <c r="S451" i="2" s="1"/>
  <c r="R452" i="2"/>
  <c r="S452" i="2" s="1"/>
  <c r="R453" i="2"/>
  <c r="S453" i="2" s="1"/>
  <c r="R454" i="2"/>
  <c r="S454" i="2" s="1"/>
  <c r="R455" i="2"/>
  <c r="S455" i="2" s="1"/>
  <c r="R456" i="2"/>
  <c r="S456" i="2" s="1"/>
  <c r="R457" i="2"/>
  <c r="S457" i="2" s="1"/>
  <c r="R458" i="2"/>
  <c r="S458" i="2" s="1"/>
  <c r="R459" i="2"/>
  <c r="S459" i="2" s="1"/>
  <c r="R460" i="2"/>
  <c r="S460" i="2" s="1"/>
  <c r="R461" i="2"/>
  <c r="S461" i="2" s="1"/>
  <c r="R462" i="2"/>
  <c r="S462" i="2" s="1"/>
  <c r="R463" i="2"/>
  <c r="S463" i="2" s="1"/>
  <c r="R464" i="2"/>
  <c r="S464" i="2" s="1"/>
  <c r="R465" i="2"/>
  <c r="S465" i="2" s="1"/>
  <c r="R466" i="2"/>
  <c r="S466" i="2" s="1"/>
  <c r="R467" i="2"/>
  <c r="S467" i="2" s="1"/>
  <c r="R468" i="2"/>
  <c r="S468" i="2" s="1"/>
  <c r="R469" i="2"/>
  <c r="S469" i="2" s="1"/>
  <c r="R470" i="2"/>
  <c r="S470" i="2" s="1"/>
  <c r="R471" i="2"/>
  <c r="S471" i="2" s="1"/>
  <c r="R472" i="2"/>
  <c r="S472" i="2" s="1"/>
  <c r="R473" i="2"/>
  <c r="S473" i="2" s="1"/>
  <c r="R474" i="2"/>
  <c r="S474" i="2" s="1"/>
  <c r="R475" i="2"/>
  <c r="S475" i="2" s="1"/>
  <c r="R476" i="2"/>
  <c r="S476" i="2" s="1"/>
  <c r="R477" i="2"/>
  <c r="S477" i="2" s="1"/>
  <c r="R478" i="2"/>
  <c r="S478" i="2" s="1"/>
  <c r="R479" i="2"/>
  <c r="S479" i="2" s="1"/>
  <c r="R480" i="2"/>
  <c r="S480" i="2" s="1"/>
  <c r="R481" i="2"/>
  <c r="S481" i="2" s="1"/>
  <c r="R482" i="2"/>
  <c r="S482" i="2" s="1"/>
  <c r="R483" i="2"/>
  <c r="S483" i="2" s="1"/>
  <c r="R484" i="2"/>
  <c r="S484" i="2" s="1"/>
  <c r="R485" i="2"/>
  <c r="S485" i="2" s="1"/>
  <c r="R486" i="2"/>
  <c r="S486" i="2" s="1"/>
  <c r="R487" i="2"/>
  <c r="S487" i="2" s="1"/>
  <c r="R488" i="2"/>
  <c r="S488" i="2" s="1"/>
  <c r="R489" i="2"/>
  <c r="S489" i="2" s="1"/>
  <c r="R490" i="2"/>
  <c r="S490" i="2" s="1"/>
  <c r="R491" i="2"/>
  <c r="S491" i="2" s="1"/>
  <c r="R492" i="2"/>
  <c r="S492" i="2" s="1"/>
  <c r="R493" i="2"/>
  <c r="S493" i="2" s="1"/>
  <c r="R494" i="2"/>
  <c r="S494" i="2" s="1"/>
  <c r="R495" i="2"/>
  <c r="S495" i="2" s="1"/>
  <c r="R496" i="2"/>
  <c r="S496" i="2" s="1"/>
  <c r="R497" i="2"/>
  <c r="S497" i="2" s="1"/>
  <c r="R498" i="2"/>
  <c r="S498" i="2" s="1"/>
  <c r="R499" i="2"/>
  <c r="S499" i="2" s="1"/>
  <c r="R500" i="2"/>
  <c r="S500" i="2" s="1"/>
  <c r="R501" i="2"/>
  <c r="S501" i="2" s="1"/>
  <c r="R502" i="2"/>
  <c r="S502" i="2" s="1"/>
  <c r="R503" i="2"/>
  <c r="S503" i="2" s="1"/>
  <c r="R504" i="2"/>
  <c r="S504" i="2" s="1"/>
  <c r="R505" i="2"/>
  <c r="S505" i="2" s="1"/>
  <c r="R506" i="2"/>
  <c r="S506" i="2" s="1"/>
  <c r="R507" i="2"/>
  <c r="S507" i="2" s="1"/>
  <c r="R508" i="2"/>
  <c r="S508" i="2" s="1"/>
  <c r="R509" i="2"/>
  <c r="S509" i="2" s="1"/>
  <c r="R510" i="2"/>
  <c r="S510" i="2" s="1"/>
  <c r="R511" i="2"/>
  <c r="S511" i="2" s="1"/>
  <c r="R512" i="2"/>
  <c r="S512" i="2" s="1"/>
  <c r="R513" i="2"/>
  <c r="S513" i="2" s="1"/>
  <c r="R514" i="2"/>
  <c r="S514" i="2" s="1"/>
  <c r="R515" i="2"/>
  <c r="S515" i="2" s="1"/>
  <c r="R516" i="2"/>
  <c r="S516" i="2" s="1"/>
  <c r="R517" i="2"/>
  <c r="S517" i="2" s="1"/>
  <c r="R518" i="2"/>
  <c r="S518" i="2" s="1"/>
  <c r="R519" i="2"/>
  <c r="S519" i="2" s="1"/>
  <c r="R520" i="2"/>
  <c r="S520" i="2" s="1"/>
  <c r="R521" i="2"/>
  <c r="S521" i="2" s="1"/>
  <c r="R522" i="2"/>
  <c r="S522" i="2" s="1"/>
  <c r="R523" i="2"/>
  <c r="S523" i="2" s="1"/>
  <c r="R524" i="2"/>
  <c r="S524" i="2" s="1"/>
  <c r="R525" i="2"/>
  <c r="S525" i="2" s="1"/>
  <c r="R526" i="2"/>
  <c r="S526" i="2" s="1"/>
  <c r="R527" i="2"/>
  <c r="S527" i="2" s="1"/>
  <c r="R528" i="2"/>
  <c r="S528" i="2" s="1"/>
  <c r="R529" i="2"/>
  <c r="S529" i="2" s="1"/>
  <c r="R530" i="2"/>
  <c r="S530" i="2" s="1"/>
  <c r="R531" i="2"/>
  <c r="S531" i="2" s="1"/>
  <c r="R532" i="2"/>
  <c r="S532" i="2" s="1"/>
  <c r="R533" i="2"/>
  <c r="S533" i="2" s="1"/>
  <c r="R534" i="2"/>
  <c r="S534" i="2" s="1"/>
  <c r="R535" i="2"/>
  <c r="S535" i="2" s="1"/>
  <c r="R536" i="2"/>
  <c r="S536" i="2" s="1"/>
  <c r="R537" i="2"/>
  <c r="S537" i="2" s="1"/>
  <c r="R538" i="2"/>
  <c r="S538" i="2" s="1"/>
  <c r="R539" i="2"/>
  <c r="S539" i="2" s="1"/>
  <c r="R540" i="2"/>
  <c r="S540" i="2" s="1"/>
  <c r="R541" i="2"/>
  <c r="S541" i="2" s="1"/>
  <c r="R542" i="2"/>
  <c r="S542" i="2" s="1"/>
  <c r="R543" i="2"/>
  <c r="S543" i="2" s="1"/>
  <c r="R544" i="2"/>
  <c r="S544" i="2" s="1"/>
  <c r="R545" i="2"/>
  <c r="S545" i="2" s="1"/>
  <c r="R546" i="2"/>
  <c r="S546" i="2" s="1"/>
  <c r="R547" i="2"/>
  <c r="S547" i="2" s="1"/>
  <c r="R548" i="2"/>
  <c r="S548" i="2" s="1"/>
  <c r="R549" i="2"/>
  <c r="S549" i="2" s="1"/>
  <c r="R550" i="2"/>
  <c r="S550" i="2" s="1"/>
  <c r="R551" i="2"/>
  <c r="S551" i="2" s="1"/>
  <c r="R552" i="2"/>
  <c r="S552" i="2" s="1"/>
  <c r="R553" i="2"/>
  <c r="S553" i="2" s="1"/>
  <c r="R554" i="2"/>
  <c r="S554" i="2" s="1"/>
  <c r="R555" i="2"/>
  <c r="S555" i="2" s="1"/>
  <c r="R556" i="2"/>
  <c r="S556" i="2" s="1"/>
  <c r="R557" i="2"/>
  <c r="S557" i="2" s="1"/>
  <c r="R558" i="2"/>
  <c r="S558" i="2" s="1"/>
  <c r="R559" i="2"/>
  <c r="S559" i="2" s="1"/>
  <c r="R560" i="2"/>
  <c r="S560" i="2" s="1"/>
  <c r="R561" i="2"/>
  <c r="S561" i="2" s="1"/>
  <c r="R562" i="2"/>
  <c r="S562" i="2" s="1"/>
  <c r="R563" i="2"/>
  <c r="S563" i="2" s="1"/>
  <c r="R564" i="2"/>
  <c r="S564" i="2" s="1"/>
  <c r="R565" i="2"/>
  <c r="S565" i="2" s="1"/>
  <c r="R566" i="2"/>
  <c r="S566" i="2" s="1"/>
  <c r="R567" i="2"/>
  <c r="S567" i="2" s="1"/>
  <c r="R568" i="2"/>
  <c r="S568" i="2" s="1"/>
  <c r="R569" i="2"/>
  <c r="S569" i="2" s="1"/>
  <c r="R570" i="2"/>
  <c r="S570" i="2" s="1"/>
  <c r="R571" i="2"/>
  <c r="S571" i="2" s="1"/>
  <c r="R572" i="2"/>
  <c r="S572" i="2" s="1"/>
  <c r="R573" i="2"/>
  <c r="S573" i="2" s="1"/>
  <c r="R574" i="2"/>
  <c r="S574" i="2" s="1"/>
  <c r="R575" i="2"/>
  <c r="S575" i="2" s="1"/>
  <c r="R576" i="2"/>
  <c r="S576" i="2" s="1"/>
  <c r="R577" i="2"/>
  <c r="S577" i="2" s="1"/>
  <c r="R578" i="2"/>
  <c r="S578" i="2" s="1"/>
  <c r="R579" i="2"/>
  <c r="S579" i="2" s="1"/>
  <c r="R580" i="2"/>
  <c r="S580" i="2" s="1"/>
  <c r="R581" i="2"/>
  <c r="S581" i="2" s="1"/>
  <c r="R582" i="2"/>
  <c r="S582" i="2" s="1"/>
  <c r="R583" i="2"/>
  <c r="S583" i="2" s="1"/>
  <c r="R584" i="2"/>
  <c r="S584" i="2" s="1"/>
  <c r="R585" i="2"/>
  <c r="S585" i="2" s="1"/>
  <c r="R586" i="2"/>
  <c r="S586" i="2" s="1"/>
  <c r="R587" i="2"/>
  <c r="S587" i="2" s="1"/>
  <c r="R588" i="2"/>
  <c r="S588" i="2" s="1"/>
  <c r="R589" i="2"/>
  <c r="S589" i="2" s="1"/>
  <c r="R590" i="2"/>
  <c r="S590" i="2" s="1"/>
  <c r="R591" i="2"/>
  <c r="S591" i="2" s="1"/>
  <c r="R592" i="2"/>
  <c r="S592" i="2" s="1"/>
  <c r="R593" i="2"/>
  <c r="S593" i="2" s="1"/>
  <c r="R594" i="2"/>
  <c r="S594" i="2" s="1"/>
  <c r="R595" i="2"/>
  <c r="S595" i="2" s="1"/>
  <c r="R596" i="2"/>
  <c r="S596" i="2" s="1"/>
  <c r="R597" i="2"/>
  <c r="S597" i="2" s="1"/>
  <c r="R598" i="2"/>
  <c r="S598" i="2" s="1"/>
  <c r="R599" i="2"/>
  <c r="S599" i="2" s="1"/>
  <c r="R600" i="2"/>
  <c r="S600" i="2" s="1"/>
  <c r="R601" i="2"/>
  <c r="S601" i="2" s="1"/>
  <c r="R602" i="2"/>
  <c r="S602" i="2" s="1"/>
  <c r="R603" i="2"/>
  <c r="S603" i="2" s="1"/>
  <c r="R604" i="2"/>
  <c r="S604" i="2" s="1"/>
  <c r="R605" i="2"/>
  <c r="S605" i="2" s="1"/>
  <c r="R606" i="2"/>
  <c r="S606" i="2" s="1"/>
  <c r="R607" i="2"/>
  <c r="S607" i="2" s="1"/>
  <c r="R608" i="2"/>
  <c r="S608" i="2" s="1"/>
  <c r="R609" i="2"/>
  <c r="S609" i="2" s="1"/>
  <c r="R610" i="2"/>
  <c r="S610" i="2" s="1"/>
  <c r="R611" i="2"/>
  <c r="S611" i="2" s="1"/>
  <c r="R612" i="2"/>
  <c r="S612" i="2" s="1"/>
  <c r="R613" i="2"/>
  <c r="S613" i="2" s="1"/>
  <c r="R614" i="2"/>
  <c r="S614" i="2" s="1"/>
  <c r="R615" i="2"/>
  <c r="S615" i="2" s="1"/>
  <c r="R616" i="2"/>
  <c r="S616" i="2" s="1"/>
  <c r="R617" i="2"/>
  <c r="S617" i="2" s="1"/>
  <c r="R618" i="2"/>
  <c r="S618" i="2" s="1"/>
  <c r="R619" i="2"/>
  <c r="S619" i="2" s="1"/>
  <c r="R620" i="2"/>
  <c r="S620" i="2" s="1"/>
  <c r="R621" i="2"/>
  <c r="S621" i="2" s="1"/>
  <c r="R622" i="2"/>
  <c r="S622" i="2" s="1"/>
  <c r="R623" i="2"/>
  <c r="S623" i="2" s="1"/>
  <c r="R624" i="2"/>
  <c r="S624" i="2" s="1"/>
  <c r="R625" i="2"/>
  <c r="S625" i="2" s="1"/>
  <c r="R626" i="2"/>
  <c r="S626" i="2" s="1"/>
  <c r="R627" i="2"/>
  <c r="S627" i="2" s="1"/>
  <c r="R628" i="2"/>
  <c r="S628" i="2" s="1"/>
  <c r="R629" i="2"/>
  <c r="S629" i="2" s="1"/>
  <c r="R630" i="2"/>
  <c r="S630" i="2" s="1"/>
  <c r="R631" i="2"/>
  <c r="S631" i="2" s="1"/>
  <c r="R632" i="2"/>
  <c r="S632" i="2" s="1"/>
  <c r="R633" i="2"/>
  <c r="S633" i="2" s="1"/>
  <c r="R634" i="2"/>
  <c r="S634" i="2" s="1"/>
  <c r="R635" i="2"/>
  <c r="S635" i="2" s="1"/>
  <c r="R636" i="2"/>
  <c r="S636" i="2" s="1"/>
  <c r="R637" i="2"/>
  <c r="S637" i="2" s="1"/>
  <c r="R638" i="2"/>
  <c r="S638" i="2" s="1"/>
  <c r="R639" i="2"/>
  <c r="S639" i="2" s="1"/>
  <c r="R640" i="2"/>
  <c r="S640" i="2" s="1"/>
  <c r="R641" i="2"/>
  <c r="S641" i="2" s="1"/>
  <c r="R642" i="2"/>
  <c r="S642" i="2" s="1"/>
  <c r="R643" i="2"/>
  <c r="S643" i="2" s="1"/>
  <c r="R644" i="2"/>
  <c r="S644" i="2" s="1"/>
  <c r="R645" i="2"/>
  <c r="S645" i="2" s="1"/>
  <c r="R646" i="2"/>
  <c r="S646" i="2" s="1"/>
  <c r="R647" i="2"/>
  <c r="S647" i="2" s="1"/>
  <c r="R648" i="2"/>
  <c r="S648" i="2" s="1"/>
  <c r="R649" i="2"/>
  <c r="S649" i="2" s="1"/>
  <c r="R650" i="2"/>
  <c r="S650" i="2" s="1"/>
  <c r="R651" i="2"/>
  <c r="S651" i="2" s="1"/>
  <c r="R652" i="2"/>
  <c r="S652" i="2" s="1"/>
  <c r="R653" i="2"/>
  <c r="S653" i="2" s="1"/>
  <c r="R654" i="2"/>
  <c r="S654" i="2" s="1"/>
  <c r="R655" i="2"/>
  <c r="S655" i="2" s="1"/>
  <c r="R656" i="2"/>
  <c r="S656" i="2" s="1"/>
  <c r="R657" i="2"/>
  <c r="S657" i="2" s="1"/>
  <c r="R658" i="2"/>
  <c r="S658" i="2" s="1"/>
  <c r="R659" i="2"/>
  <c r="S659" i="2" s="1"/>
  <c r="R660" i="2"/>
  <c r="S660" i="2" s="1"/>
  <c r="R661" i="2"/>
  <c r="S661" i="2" s="1"/>
  <c r="R662" i="2"/>
  <c r="S662" i="2" s="1"/>
  <c r="R663" i="2"/>
  <c r="S663" i="2" s="1"/>
  <c r="R664" i="2"/>
  <c r="S664" i="2" s="1"/>
  <c r="R665" i="2"/>
  <c r="S665" i="2" s="1"/>
  <c r="R666" i="2"/>
  <c r="S666" i="2" s="1"/>
  <c r="R667" i="2"/>
  <c r="S667" i="2" s="1"/>
  <c r="R668" i="2"/>
  <c r="S668" i="2" s="1"/>
  <c r="R669" i="2"/>
  <c r="S669" i="2" s="1"/>
  <c r="R670" i="2"/>
  <c r="S670" i="2" s="1"/>
  <c r="R671" i="2"/>
  <c r="S671" i="2" s="1"/>
  <c r="R672" i="2"/>
  <c r="S672" i="2" s="1"/>
  <c r="R673" i="2"/>
  <c r="S673" i="2" s="1"/>
  <c r="R674" i="2"/>
  <c r="S674" i="2" s="1"/>
  <c r="R675" i="2"/>
  <c r="S675" i="2" s="1"/>
  <c r="R676" i="2"/>
  <c r="S676" i="2" s="1"/>
  <c r="R677" i="2"/>
  <c r="S677" i="2" s="1"/>
  <c r="R678" i="2"/>
  <c r="S678" i="2" s="1"/>
  <c r="R679" i="2"/>
  <c r="S679" i="2" s="1"/>
  <c r="R680" i="2"/>
  <c r="S680" i="2" s="1"/>
  <c r="R681" i="2"/>
  <c r="S681" i="2" s="1"/>
  <c r="R682" i="2"/>
  <c r="S682" i="2" s="1"/>
  <c r="R683" i="2"/>
  <c r="S683" i="2" s="1"/>
  <c r="R684" i="2"/>
  <c r="S684" i="2" s="1"/>
  <c r="R685" i="2"/>
  <c r="S685" i="2" s="1"/>
  <c r="R686" i="2"/>
  <c r="S686" i="2" s="1"/>
  <c r="R687" i="2"/>
  <c r="S687" i="2" s="1"/>
  <c r="R688" i="2"/>
  <c r="S688" i="2" s="1"/>
  <c r="R689" i="2"/>
  <c r="S689" i="2" s="1"/>
  <c r="R690" i="2"/>
  <c r="S690" i="2" s="1"/>
  <c r="R691" i="2"/>
  <c r="S691" i="2" s="1"/>
  <c r="R692" i="2"/>
  <c r="S692" i="2" s="1"/>
  <c r="R693" i="2"/>
  <c r="S693" i="2" s="1"/>
  <c r="R694" i="2"/>
  <c r="S694" i="2" s="1"/>
  <c r="R695" i="2"/>
  <c r="S695" i="2" s="1"/>
  <c r="R696" i="2"/>
  <c r="S696" i="2" s="1"/>
  <c r="R697" i="2"/>
  <c r="S697" i="2" s="1"/>
  <c r="R698" i="2"/>
  <c r="S698" i="2" s="1"/>
  <c r="R699" i="2"/>
  <c r="S699" i="2" s="1"/>
  <c r="R700" i="2"/>
  <c r="S700" i="2" s="1"/>
  <c r="R701" i="2"/>
  <c r="S701" i="2" s="1"/>
  <c r="R702" i="2"/>
  <c r="S702" i="2" s="1"/>
  <c r="R703" i="2"/>
  <c r="S703" i="2" s="1"/>
  <c r="R704" i="2"/>
  <c r="S704" i="2" s="1"/>
  <c r="R705" i="2"/>
  <c r="S705" i="2" s="1"/>
  <c r="R706" i="2"/>
  <c r="S706" i="2" s="1"/>
  <c r="R707" i="2"/>
  <c r="S707" i="2" s="1"/>
  <c r="R708" i="2"/>
  <c r="S708" i="2" s="1"/>
  <c r="R709" i="2"/>
  <c r="S709" i="2" s="1"/>
  <c r="R710" i="2"/>
  <c r="S710" i="2" s="1"/>
  <c r="R711" i="2"/>
  <c r="S711" i="2" s="1"/>
  <c r="R712" i="2"/>
  <c r="S712" i="2" s="1"/>
  <c r="R713" i="2"/>
  <c r="S713" i="2" s="1"/>
  <c r="R714" i="2"/>
  <c r="S714" i="2" s="1"/>
  <c r="R715" i="2"/>
  <c r="S715" i="2" s="1"/>
  <c r="R716" i="2"/>
  <c r="S716" i="2" s="1"/>
  <c r="R717" i="2"/>
  <c r="S717" i="2" s="1"/>
  <c r="R718" i="2"/>
  <c r="S718" i="2" s="1"/>
  <c r="R719" i="2"/>
  <c r="S719" i="2" s="1"/>
  <c r="R720" i="2"/>
  <c r="S720" i="2" s="1"/>
  <c r="R721" i="2"/>
  <c r="S721" i="2" s="1"/>
  <c r="R722" i="2"/>
  <c r="S722" i="2" s="1"/>
  <c r="R723" i="2"/>
  <c r="S723" i="2" s="1"/>
  <c r="R724" i="2"/>
  <c r="S724" i="2" s="1"/>
  <c r="R725" i="2"/>
  <c r="S725" i="2" s="1"/>
  <c r="R726" i="2"/>
  <c r="S726" i="2" s="1"/>
  <c r="R727" i="2"/>
  <c r="S727" i="2" s="1"/>
  <c r="R728" i="2"/>
  <c r="S728" i="2" s="1"/>
  <c r="R729" i="2"/>
  <c r="S729" i="2" s="1"/>
  <c r="R730" i="2"/>
  <c r="S730" i="2" s="1"/>
  <c r="R731" i="2"/>
  <c r="S731" i="2" s="1"/>
  <c r="R732" i="2"/>
  <c r="S732" i="2" s="1"/>
  <c r="R733" i="2"/>
  <c r="S733" i="2" s="1"/>
  <c r="R734" i="2"/>
  <c r="S734" i="2" s="1"/>
  <c r="R735" i="2"/>
  <c r="S735" i="2" s="1"/>
  <c r="R736" i="2"/>
  <c r="S736" i="2" s="1"/>
  <c r="R737" i="2"/>
  <c r="S737" i="2" s="1"/>
  <c r="R738" i="2"/>
  <c r="S738" i="2" s="1"/>
  <c r="R739" i="2"/>
  <c r="S739" i="2" s="1"/>
  <c r="R740" i="2"/>
  <c r="S740" i="2" s="1"/>
  <c r="R741" i="2"/>
  <c r="S741" i="2" s="1"/>
  <c r="R742" i="2"/>
  <c r="S742" i="2" s="1"/>
  <c r="R743" i="2"/>
  <c r="S743" i="2" s="1"/>
  <c r="R744" i="2"/>
  <c r="S744" i="2" s="1"/>
  <c r="R745" i="2"/>
  <c r="S745" i="2" s="1"/>
  <c r="R746" i="2"/>
  <c r="S746" i="2" s="1"/>
  <c r="R747" i="2"/>
  <c r="S747" i="2" s="1"/>
  <c r="R748" i="2"/>
  <c r="S748" i="2" s="1"/>
  <c r="R749" i="2"/>
  <c r="S749" i="2" s="1"/>
  <c r="R750" i="2"/>
  <c r="S750" i="2" s="1"/>
  <c r="R751" i="2"/>
  <c r="S751" i="2" s="1"/>
  <c r="R752" i="2"/>
  <c r="S752" i="2" s="1"/>
  <c r="R753" i="2"/>
  <c r="S753" i="2" s="1"/>
  <c r="R754" i="2"/>
  <c r="S754" i="2" s="1"/>
  <c r="R755" i="2"/>
  <c r="S755" i="2" s="1"/>
  <c r="R756" i="2"/>
  <c r="S756" i="2" s="1"/>
  <c r="R757" i="2"/>
  <c r="S757" i="2" s="1"/>
  <c r="R758" i="2"/>
  <c r="S758" i="2" s="1"/>
  <c r="R759" i="2"/>
  <c r="S759" i="2" s="1"/>
  <c r="R760" i="2"/>
  <c r="S760" i="2" s="1"/>
  <c r="R761" i="2"/>
  <c r="S761" i="2" s="1"/>
  <c r="R762" i="2"/>
  <c r="S762" i="2" s="1"/>
  <c r="R763" i="2"/>
  <c r="S763" i="2" s="1"/>
  <c r="R764" i="2"/>
  <c r="S764" i="2" s="1"/>
  <c r="R765" i="2"/>
  <c r="S765" i="2" s="1"/>
  <c r="R766" i="2"/>
  <c r="S766" i="2" s="1"/>
  <c r="R767" i="2"/>
  <c r="S767" i="2" s="1"/>
  <c r="R768" i="2"/>
  <c r="S768" i="2" s="1"/>
  <c r="R769" i="2"/>
  <c r="S769" i="2" s="1"/>
  <c r="R770" i="2"/>
  <c r="S770" i="2" s="1"/>
  <c r="R771" i="2"/>
  <c r="S771" i="2" s="1"/>
  <c r="R772" i="2"/>
  <c r="S772" i="2" s="1"/>
  <c r="R773" i="2"/>
  <c r="S773" i="2" s="1"/>
  <c r="R774" i="2"/>
  <c r="S774" i="2" s="1"/>
  <c r="R775" i="2"/>
  <c r="S775" i="2" s="1"/>
  <c r="R776" i="2"/>
  <c r="S776" i="2" s="1"/>
  <c r="R777" i="2"/>
  <c r="S777" i="2" s="1"/>
  <c r="R778" i="2"/>
  <c r="S778" i="2" s="1"/>
  <c r="R779" i="2"/>
  <c r="S779" i="2" s="1"/>
  <c r="R780" i="2"/>
  <c r="S780" i="2" s="1"/>
  <c r="R781" i="2"/>
  <c r="S781" i="2" s="1"/>
  <c r="R782" i="2"/>
  <c r="S782" i="2" s="1"/>
  <c r="R783" i="2"/>
  <c r="S783" i="2" s="1"/>
  <c r="R784" i="2"/>
  <c r="S784" i="2" s="1"/>
  <c r="R785" i="2"/>
  <c r="S785" i="2" s="1"/>
  <c r="R786" i="2"/>
  <c r="S786" i="2" s="1"/>
  <c r="R787" i="2"/>
  <c r="S787" i="2" s="1"/>
  <c r="R788" i="2"/>
  <c r="S788" i="2" s="1"/>
  <c r="R789" i="2"/>
  <c r="S789" i="2" s="1"/>
  <c r="R790" i="2"/>
  <c r="S790" i="2" s="1"/>
  <c r="R791" i="2"/>
  <c r="S791" i="2" s="1"/>
  <c r="R792" i="2"/>
  <c r="S792" i="2" s="1"/>
  <c r="R793" i="2"/>
  <c r="S793" i="2" s="1"/>
  <c r="R794" i="2"/>
  <c r="S794" i="2" s="1"/>
  <c r="R795" i="2"/>
  <c r="S795" i="2" s="1"/>
  <c r="R796" i="2"/>
  <c r="S796" i="2" s="1"/>
  <c r="R797" i="2"/>
  <c r="S797" i="2" s="1"/>
  <c r="R798" i="2"/>
  <c r="S798" i="2" s="1"/>
  <c r="R799" i="2"/>
  <c r="S799" i="2" s="1"/>
  <c r="R800" i="2"/>
  <c r="S800" i="2" s="1"/>
  <c r="R801" i="2"/>
  <c r="S801" i="2" s="1"/>
  <c r="R802" i="2"/>
  <c r="S802" i="2" s="1"/>
  <c r="R803" i="2"/>
  <c r="S803" i="2" s="1"/>
  <c r="R804" i="2"/>
  <c r="S804" i="2" s="1"/>
  <c r="R805" i="2"/>
  <c r="S805" i="2" s="1"/>
  <c r="R806" i="2"/>
  <c r="S806" i="2" s="1"/>
  <c r="R807" i="2"/>
  <c r="S807" i="2" s="1"/>
  <c r="R808" i="2"/>
  <c r="S808" i="2" s="1"/>
  <c r="R809" i="2"/>
  <c r="S809" i="2" s="1"/>
  <c r="R810" i="2"/>
  <c r="S810" i="2" s="1"/>
  <c r="R811" i="2"/>
  <c r="S811" i="2" s="1"/>
  <c r="R812" i="2"/>
  <c r="S812" i="2" s="1"/>
  <c r="R813" i="2"/>
  <c r="S813" i="2" s="1"/>
  <c r="R814" i="2"/>
  <c r="S814" i="2" s="1"/>
  <c r="R815" i="2"/>
  <c r="S815" i="2" s="1"/>
  <c r="R816" i="2"/>
  <c r="S816" i="2" s="1"/>
  <c r="R817" i="2"/>
  <c r="S817" i="2" s="1"/>
  <c r="R818" i="2"/>
  <c r="S818" i="2" s="1"/>
  <c r="R819" i="2"/>
  <c r="S819" i="2" s="1"/>
  <c r="R820" i="2"/>
  <c r="S820" i="2" s="1"/>
  <c r="R821" i="2"/>
  <c r="S821" i="2" s="1"/>
  <c r="R822" i="2"/>
  <c r="S822" i="2" s="1"/>
  <c r="R823" i="2"/>
  <c r="S823" i="2" s="1"/>
  <c r="R824" i="2"/>
  <c r="S824" i="2" s="1"/>
  <c r="R825" i="2"/>
  <c r="S825" i="2" s="1"/>
  <c r="R826" i="2"/>
  <c r="S826" i="2" s="1"/>
  <c r="R827" i="2"/>
  <c r="S827" i="2" s="1"/>
  <c r="R828" i="2"/>
  <c r="S828" i="2" s="1"/>
  <c r="R829" i="2"/>
  <c r="S829" i="2" s="1"/>
  <c r="R830" i="2"/>
  <c r="S830" i="2" s="1"/>
  <c r="R831" i="2"/>
  <c r="S831" i="2" s="1"/>
  <c r="R832" i="2"/>
  <c r="S832" i="2" s="1"/>
  <c r="R833" i="2"/>
  <c r="S833" i="2" s="1"/>
  <c r="R834" i="2"/>
  <c r="S834" i="2" s="1"/>
  <c r="R835" i="2"/>
  <c r="S835" i="2" s="1"/>
  <c r="R836" i="2"/>
  <c r="S836" i="2" s="1"/>
  <c r="R837" i="2"/>
  <c r="S837" i="2" s="1"/>
  <c r="R838" i="2"/>
  <c r="S838" i="2" s="1"/>
  <c r="R839" i="2"/>
  <c r="S839" i="2" s="1"/>
  <c r="R840" i="2"/>
  <c r="S840" i="2" s="1"/>
  <c r="R841" i="2"/>
  <c r="S841" i="2" s="1"/>
  <c r="R842" i="2"/>
  <c r="S842" i="2" s="1"/>
  <c r="R843" i="2"/>
  <c r="S843" i="2" s="1"/>
  <c r="R844" i="2"/>
  <c r="S844" i="2" s="1"/>
  <c r="R845" i="2"/>
  <c r="S845" i="2" s="1"/>
  <c r="R846" i="2"/>
  <c r="S846" i="2" s="1"/>
  <c r="R847" i="2"/>
  <c r="S847" i="2" s="1"/>
  <c r="R848" i="2"/>
  <c r="S848" i="2" s="1"/>
  <c r="R849" i="2"/>
  <c r="S849" i="2" s="1"/>
  <c r="R850" i="2"/>
  <c r="S850" i="2" s="1"/>
  <c r="R851" i="2"/>
  <c r="S851" i="2" s="1"/>
  <c r="R852" i="2"/>
  <c r="S852" i="2" s="1"/>
  <c r="R853" i="2"/>
  <c r="S853" i="2" s="1"/>
  <c r="R854" i="2"/>
  <c r="S854" i="2" s="1"/>
  <c r="R855" i="2"/>
  <c r="S855" i="2" s="1"/>
  <c r="R856" i="2"/>
  <c r="S856" i="2" s="1"/>
  <c r="R857" i="2"/>
  <c r="S857" i="2" s="1"/>
  <c r="R858" i="2"/>
  <c r="S858" i="2" s="1"/>
  <c r="R859" i="2"/>
  <c r="S859" i="2" s="1"/>
  <c r="R860" i="2"/>
  <c r="S860" i="2" s="1"/>
  <c r="R861" i="2"/>
  <c r="S861" i="2" s="1"/>
  <c r="R862" i="2"/>
  <c r="S862" i="2" s="1"/>
  <c r="R863" i="2"/>
  <c r="S863" i="2" s="1"/>
  <c r="R864" i="2"/>
  <c r="S864" i="2" s="1"/>
  <c r="R865" i="2"/>
  <c r="S865" i="2" s="1"/>
  <c r="R866" i="2"/>
  <c r="S866" i="2" s="1"/>
  <c r="R867" i="2"/>
  <c r="S867" i="2" s="1"/>
  <c r="R868" i="2"/>
  <c r="S868" i="2" s="1"/>
  <c r="R869" i="2"/>
  <c r="S869" i="2" s="1"/>
  <c r="R870" i="2"/>
  <c r="S870" i="2" s="1"/>
  <c r="R871" i="2"/>
  <c r="S871" i="2" s="1"/>
  <c r="R872" i="2"/>
  <c r="S872" i="2" s="1"/>
  <c r="R873" i="2"/>
  <c r="S873" i="2" s="1"/>
  <c r="R874" i="2"/>
  <c r="S874" i="2" s="1"/>
  <c r="R875" i="2"/>
  <c r="S875" i="2" s="1"/>
  <c r="R876" i="2"/>
  <c r="S876" i="2" s="1"/>
  <c r="R877" i="2"/>
  <c r="S877" i="2" s="1"/>
  <c r="R878" i="2"/>
  <c r="S878" i="2" s="1"/>
  <c r="R879" i="2"/>
  <c r="S879" i="2" s="1"/>
  <c r="R880" i="2"/>
  <c r="S880" i="2" s="1"/>
  <c r="R881" i="2"/>
  <c r="S881" i="2" s="1"/>
  <c r="R882" i="2"/>
  <c r="S882" i="2" s="1"/>
  <c r="R883" i="2"/>
  <c r="S883" i="2" s="1"/>
  <c r="R884" i="2"/>
  <c r="S884" i="2" s="1"/>
  <c r="R885" i="2"/>
  <c r="S885" i="2" s="1"/>
  <c r="R886" i="2"/>
  <c r="S886" i="2" s="1"/>
  <c r="R887" i="2"/>
  <c r="S887" i="2" s="1"/>
  <c r="R888" i="2"/>
  <c r="S888" i="2" s="1"/>
  <c r="R889" i="2"/>
  <c r="S889" i="2" s="1"/>
  <c r="R890" i="2"/>
  <c r="S890" i="2" s="1"/>
  <c r="R891" i="2"/>
  <c r="S891" i="2" s="1"/>
  <c r="R892" i="2"/>
  <c r="S892" i="2" s="1"/>
  <c r="R893" i="2"/>
  <c r="S893" i="2" s="1"/>
  <c r="R894" i="2"/>
  <c r="S894" i="2" s="1"/>
  <c r="R895" i="2"/>
  <c r="S895" i="2" s="1"/>
  <c r="R896" i="2"/>
  <c r="S896" i="2" s="1"/>
  <c r="R897" i="2"/>
  <c r="S897" i="2" s="1"/>
  <c r="R898" i="2"/>
  <c r="S898" i="2" s="1"/>
  <c r="R899" i="2"/>
  <c r="S899" i="2" s="1"/>
  <c r="R900" i="2"/>
  <c r="S900" i="2" s="1"/>
  <c r="R901" i="2"/>
  <c r="S901" i="2" s="1"/>
  <c r="R902" i="2"/>
  <c r="S902" i="2" s="1"/>
  <c r="R903" i="2"/>
  <c r="S903" i="2" s="1"/>
  <c r="R904" i="2"/>
  <c r="S904" i="2" s="1"/>
  <c r="R905" i="2"/>
  <c r="S905" i="2" s="1"/>
  <c r="R906" i="2"/>
  <c r="S906" i="2" s="1"/>
  <c r="R907" i="2"/>
  <c r="S907" i="2" s="1"/>
  <c r="R908" i="2"/>
  <c r="S908" i="2" s="1"/>
  <c r="R909" i="2"/>
  <c r="S909" i="2" s="1"/>
  <c r="R910" i="2"/>
  <c r="S910" i="2" s="1"/>
  <c r="R911" i="2"/>
  <c r="S911" i="2" s="1"/>
  <c r="R912" i="2"/>
  <c r="S912" i="2" s="1"/>
  <c r="R913" i="2"/>
  <c r="S913" i="2" s="1"/>
  <c r="R914" i="2"/>
  <c r="S914" i="2" s="1"/>
  <c r="R915" i="2"/>
  <c r="S915" i="2" s="1"/>
  <c r="R916" i="2"/>
  <c r="S916" i="2" s="1"/>
  <c r="R917" i="2"/>
  <c r="S917" i="2" s="1"/>
  <c r="R918" i="2"/>
  <c r="S918" i="2" s="1"/>
  <c r="R919" i="2"/>
  <c r="S919" i="2" s="1"/>
  <c r="R920" i="2"/>
  <c r="S920" i="2" s="1"/>
  <c r="R921" i="2"/>
  <c r="S921" i="2" s="1"/>
  <c r="R922" i="2"/>
  <c r="S922" i="2" s="1"/>
  <c r="R923" i="2"/>
  <c r="S923" i="2" s="1"/>
  <c r="R924" i="2"/>
  <c r="S924" i="2" s="1"/>
  <c r="R925" i="2"/>
  <c r="S925" i="2" s="1"/>
  <c r="R926" i="2"/>
  <c r="S926" i="2" s="1"/>
  <c r="R927" i="2"/>
  <c r="S927" i="2" s="1"/>
  <c r="R928" i="2"/>
  <c r="S928" i="2" s="1"/>
  <c r="R929" i="2"/>
  <c r="S929" i="2" s="1"/>
  <c r="R930" i="2"/>
  <c r="S930" i="2" s="1"/>
  <c r="R931" i="2"/>
  <c r="S931" i="2" s="1"/>
  <c r="R932" i="2"/>
  <c r="S932" i="2" s="1"/>
  <c r="R933" i="2"/>
  <c r="S933" i="2" s="1"/>
  <c r="R934" i="2"/>
  <c r="S934" i="2" s="1"/>
  <c r="R935" i="2"/>
  <c r="S935" i="2" s="1"/>
  <c r="R936" i="2"/>
  <c r="S936" i="2" s="1"/>
  <c r="R937" i="2"/>
  <c r="S937" i="2" s="1"/>
  <c r="R938" i="2"/>
  <c r="S938" i="2" s="1"/>
  <c r="R939" i="2"/>
  <c r="S939" i="2" s="1"/>
  <c r="R940" i="2"/>
  <c r="S940" i="2" s="1"/>
  <c r="R941" i="2"/>
  <c r="S941" i="2" s="1"/>
  <c r="R942" i="2"/>
  <c r="S942" i="2" s="1"/>
  <c r="R943" i="2"/>
  <c r="S943" i="2" s="1"/>
  <c r="R944" i="2"/>
  <c r="S944" i="2" s="1"/>
  <c r="R945" i="2"/>
  <c r="S945" i="2" s="1"/>
  <c r="R946" i="2"/>
  <c r="S946" i="2" s="1"/>
  <c r="R947" i="2"/>
  <c r="S947" i="2" s="1"/>
  <c r="R948" i="2"/>
  <c r="S948" i="2" s="1"/>
  <c r="R949" i="2"/>
  <c r="S949" i="2" s="1"/>
  <c r="R950" i="2"/>
  <c r="S950" i="2" s="1"/>
  <c r="R951" i="2"/>
  <c r="S951" i="2" s="1"/>
  <c r="R952" i="2"/>
  <c r="S952" i="2" s="1"/>
  <c r="R953" i="2"/>
  <c r="S953" i="2" s="1"/>
  <c r="R954" i="2"/>
  <c r="S954" i="2" s="1"/>
  <c r="R955" i="2"/>
  <c r="S955" i="2" s="1"/>
  <c r="R956" i="2"/>
  <c r="S956" i="2" s="1"/>
  <c r="R957" i="2"/>
  <c r="S957" i="2" s="1"/>
  <c r="R958" i="2"/>
  <c r="S958" i="2" s="1"/>
  <c r="R959" i="2"/>
  <c r="S959" i="2" s="1"/>
  <c r="R960" i="2"/>
  <c r="S960" i="2" s="1"/>
  <c r="R961" i="2"/>
  <c r="S961" i="2" s="1"/>
  <c r="R962" i="2"/>
  <c r="S962" i="2" s="1"/>
  <c r="R963" i="2"/>
  <c r="S963" i="2" s="1"/>
  <c r="R964" i="2"/>
  <c r="S964" i="2" s="1"/>
  <c r="R965" i="2"/>
  <c r="S965" i="2" s="1"/>
  <c r="R966" i="2"/>
  <c r="S966" i="2" s="1"/>
  <c r="R967" i="2"/>
  <c r="S967" i="2" s="1"/>
  <c r="R968" i="2"/>
  <c r="S968" i="2" s="1"/>
  <c r="R969" i="2"/>
  <c r="S969" i="2" s="1"/>
  <c r="R970" i="2"/>
  <c r="S970" i="2" s="1"/>
  <c r="R971" i="2"/>
  <c r="S971" i="2" s="1"/>
  <c r="R972" i="2"/>
  <c r="S972" i="2" s="1"/>
  <c r="R973" i="2"/>
  <c r="S973" i="2" s="1"/>
  <c r="R974" i="2"/>
  <c r="S974" i="2" s="1"/>
  <c r="R975" i="2"/>
  <c r="S975" i="2" s="1"/>
  <c r="R976" i="2"/>
  <c r="S976" i="2" s="1"/>
  <c r="R977" i="2"/>
  <c r="S977" i="2" s="1"/>
  <c r="R978" i="2"/>
  <c r="S978" i="2" s="1"/>
  <c r="R979" i="2"/>
  <c r="S979" i="2" s="1"/>
  <c r="R980" i="2"/>
  <c r="S980" i="2" s="1"/>
  <c r="R981" i="2"/>
  <c r="S981" i="2" s="1"/>
  <c r="R982" i="2"/>
  <c r="S982" i="2" s="1"/>
  <c r="R983" i="2"/>
  <c r="S983" i="2" s="1"/>
  <c r="R984" i="2"/>
  <c r="S984" i="2" s="1"/>
  <c r="R985" i="2"/>
  <c r="S985" i="2" s="1"/>
  <c r="R986" i="2"/>
  <c r="S986" i="2" s="1"/>
  <c r="R987" i="2"/>
  <c r="S987" i="2" s="1"/>
  <c r="R988" i="2"/>
  <c r="S988" i="2" s="1"/>
  <c r="R989" i="2"/>
  <c r="S989" i="2" s="1"/>
  <c r="R990" i="2"/>
  <c r="S990" i="2" s="1"/>
  <c r="R991" i="2"/>
  <c r="S991" i="2" s="1"/>
  <c r="R992" i="2"/>
  <c r="S992" i="2" s="1"/>
  <c r="R993" i="2"/>
  <c r="S993" i="2" s="1"/>
  <c r="R994" i="2"/>
  <c r="S994" i="2" s="1"/>
  <c r="R995" i="2"/>
  <c r="S995" i="2" s="1"/>
  <c r="R996" i="2"/>
  <c r="S996" i="2" s="1"/>
  <c r="R997" i="2"/>
  <c r="S997" i="2" s="1"/>
  <c r="R998" i="2"/>
  <c r="S998" i="2" s="1"/>
  <c r="R999" i="2"/>
  <c r="S999" i="2" s="1"/>
  <c r="R1000" i="2"/>
  <c r="S1000" i="2" s="1"/>
  <c r="R1001" i="2"/>
  <c r="S1001" i="2" s="1"/>
  <c r="Y13" i="2" l="1"/>
  <c r="Y12" i="2"/>
  <c r="Y11" i="2"/>
  <c r="Y10" i="2"/>
  <c r="Y9" i="2"/>
  <c r="Y8" i="2"/>
  <c r="Y7" i="2"/>
  <c r="Y6" i="2"/>
  <c r="V33" i="2"/>
  <c r="V2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311075-89BA-484E-BFBA-4610F284B881}" keepAlive="1" name="Query - MediCare_Data" description="Connection to the 'MediCare_Data' query in the workbook." type="5" refreshedVersion="8" background="1" saveData="1">
    <dbPr connection="Provider=Microsoft.Mashup.OleDb.1;Data Source=$Workbook$;Location=MediCare_Data;Extended Properties=&quot;&quot;" command="SELECT * FROM [MediCa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<sst xmlns="http://schemas.openxmlformats.org/spreadsheetml/2006/main" count="6717" uniqueCount="1113">
  <si>
    <t>Patient ID</t>
  </si>
  <si>
    <t>Doctor Name</t>
  </si>
  <si>
    <t>Department</t>
  </si>
  <si>
    <t>Patient_Gender</t>
  </si>
  <si>
    <t>Patient_Age</t>
  </si>
  <si>
    <t>Insurance_Type</t>
  </si>
  <si>
    <t>Treatment_Type</t>
  </si>
  <si>
    <t>Patient_Satisfaction_Score</t>
  </si>
  <si>
    <t>Average_Treatment_Cost</t>
  </si>
  <si>
    <t>Readmission_Rate (%)</t>
  </si>
  <si>
    <t>Average_Wait_Time (mins)</t>
  </si>
  <si>
    <t>Staff_Rating</t>
  </si>
  <si>
    <t>Revenue_Generated</t>
  </si>
  <si>
    <t>P-0001</t>
  </si>
  <si>
    <t>Dr. Daniel Morris</t>
  </si>
  <si>
    <t>Emergency</t>
  </si>
  <si>
    <t>Male</t>
  </si>
  <si>
    <t>Medicaid</t>
  </si>
  <si>
    <t>Emergency Care</t>
  </si>
  <si>
    <t>P-0002</t>
  </si>
  <si>
    <t>Radiology</t>
  </si>
  <si>
    <t>Female</t>
  </si>
  <si>
    <t>Medicare</t>
  </si>
  <si>
    <t>Routine Checkup</t>
  </si>
  <si>
    <t>P-0003</t>
  </si>
  <si>
    <t>Dr. Benjamin Scott</t>
  </si>
  <si>
    <t>Private</t>
  </si>
  <si>
    <t>P-0004</t>
  </si>
  <si>
    <t>Dr. James Anderson</t>
  </si>
  <si>
    <t>Pediatrics</t>
  </si>
  <si>
    <t>P-0005</t>
  </si>
  <si>
    <t>Orthopedics</t>
  </si>
  <si>
    <t>Other</t>
  </si>
  <si>
    <t>Diagnostics</t>
  </si>
  <si>
    <t>P-0006</t>
  </si>
  <si>
    <t>Dr. Lisa Carter</t>
  </si>
  <si>
    <t>General Surgery</t>
  </si>
  <si>
    <t>Maternity</t>
  </si>
  <si>
    <t>P-0007</t>
  </si>
  <si>
    <t>Dr. Emily Cooper</t>
  </si>
  <si>
    <t>P-0008</t>
  </si>
  <si>
    <t>Dr. Michael Johnson</t>
  </si>
  <si>
    <t>Cardiology</t>
  </si>
  <si>
    <t>Uninsured</t>
  </si>
  <si>
    <t>P-0009</t>
  </si>
  <si>
    <t>Dr. Olivia Clark</t>
  </si>
  <si>
    <t>Neurology</t>
  </si>
  <si>
    <t>Therapy</t>
  </si>
  <si>
    <t>P-0010</t>
  </si>
  <si>
    <t>Dr. Henry Adams</t>
  </si>
  <si>
    <t>P-0011</t>
  </si>
  <si>
    <t>Surgery</t>
  </si>
  <si>
    <t>P-0012</t>
  </si>
  <si>
    <t>Dr. Robert Mitchell</t>
  </si>
  <si>
    <t>Oncology</t>
  </si>
  <si>
    <t>P-0013</t>
  </si>
  <si>
    <t>Dr. Abigail Foster</t>
  </si>
  <si>
    <t>P-0014</t>
  </si>
  <si>
    <t>Dr. Nathan Turner</t>
  </si>
  <si>
    <t>P-0015</t>
  </si>
  <si>
    <t>P-0016</t>
  </si>
  <si>
    <t>Dr. William Harris</t>
  </si>
  <si>
    <t>P-0017</t>
  </si>
  <si>
    <t>P-0018</t>
  </si>
  <si>
    <t>Dr. Sophia Bennett</t>
  </si>
  <si>
    <t>P-0019</t>
  </si>
  <si>
    <t>P-0020</t>
  </si>
  <si>
    <t>P-0021</t>
  </si>
  <si>
    <t>P-0022</t>
  </si>
  <si>
    <t>P-0023</t>
  </si>
  <si>
    <t>P-0024</t>
  </si>
  <si>
    <t>P-0025</t>
  </si>
  <si>
    <t>P-0026</t>
  </si>
  <si>
    <t>P-0027</t>
  </si>
  <si>
    <t>Dr. Ethan Wright</t>
  </si>
  <si>
    <t>P-0028</t>
  </si>
  <si>
    <t>P-0029</t>
  </si>
  <si>
    <t>P-0030</t>
  </si>
  <si>
    <t>P-0031</t>
  </si>
  <si>
    <t>P-0032</t>
  </si>
  <si>
    <t>P-0033</t>
  </si>
  <si>
    <t>P-0034</t>
  </si>
  <si>
    <t>Dr. Emma Roberts</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</si>
  <si>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</si>
  <si>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</si>
  <si>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</si>
  <si>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</si>
  <si>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</si>
  <si>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</si>
  <si>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</si>
  <si>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</si>
  <si>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</si>
  <si>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</si>
  <si>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</si>
  <si>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</si>
  <si>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</si>
  <si>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</si>
  <si>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</si>
  <si>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</si>
  <si>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</si>
  <si>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</si>
  <si>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</si>
  <si>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</si>
  <si>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</si>
  <si>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</si>
  <si>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</si>
  <si>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</si>
  <si>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</si>
  <si>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</si>
  <si>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</si>
  <si>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</si>
  <si>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</si>
  <si>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</si>
  <si>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</si>
  <si>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</si>
  <si>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</si>
  <si>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</si>
  <si>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</si>
  <si>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</si>
  <si>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</si>
  <si>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</si>
  <si>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</si>
  <si>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</si>
  <si>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</si>
  <si>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</si>
  <si>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</si>
  <si>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</si>
  <si>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</si>
  <si>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</si>
  <si>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</si>
  <si>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</si>
  <si>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</si>
  <si>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</si>
  <si>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</si>
  <si>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</si>
  <si>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</si>
  <si>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</si>
  <si>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</si>
  <si>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</si>
  <si>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</si>
  <si>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</si>
  <si>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</si>
  <si>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</si>
  <si>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</si>
  <si>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</si>
  <si>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</si>
  <si>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</si>
  <si>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</si>
  <si>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</si>
  <si>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</si>
  <si>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</si>
  <si>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</si>
  <si>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</si>
  <si>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</si>
  <si>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</si>
  <si>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</si>
  <si>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</si>
  <si>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</si>
  <si>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P-0110</t>
  </si>
  <si>
    <t>P-0111</t>
  </si>
  <si>
    <t>P-0112</t>
  </si>
  <si>
    <t>P-0113</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</si>
  <si>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</si>
  <si>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</si>
  <si>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</si>
  <si>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</si>
  <si>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</si>
  <si>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</si>
  <si>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</si>
  <si>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</si>
  <si>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</si>
  <si>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</si>
  <si>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</si>
  <si>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</si>
  <si>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</si>
  <si>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</si>
  <si>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</si>
  <si>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</si>
  <si>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</si>
  <si>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</si>
  <si>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</si>
  <si>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</si>
  <si>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</si>
  <si>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</si>
  <si>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</si>
  <si>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</si>
  <si>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</si>
  <si>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</si>
  <si>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</si>
  <si>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</si>
  <si>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</si>
  <si>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</si>
  <si>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</si>
  <si>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</si>
  <si>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</si>
  <si>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</si>
  <si>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</si>
  <si>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</si>
  <si>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</si>
  <si>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</si>
  <si>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</si>
  <si>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</si>
  <si>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</si>
  <si>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</si>
  <si>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</si>
  <si>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</si>
  <si>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</si>
  <si>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</si>
  <si>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</si>
  <si>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</si>
  <si>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</si>
  <si>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</si>
  <si>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</si>
  <si>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</si>
  <si>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</si>
  <si>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</si>
  <si>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</si>
  <si>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</si>
  <si>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</si>
  <si>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</si>
  <si>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</si>
  <si>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</si>
  <si>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</si>
  <si>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</si>
  <si>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</si>
  <si>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</si>
  <si>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</si>
  <si>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</si>
  <si>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</si>
  <si>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</si>
  <si>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</si>
  <si>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</si>
  <si>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</si>
  <si>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</si>
  <si>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</si>
  <si>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</si>
  <si>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</si>
  <si>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</si>
  <si>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</si>
  <si>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</si>
  <si>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</si>
  <si>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</si>
  <si>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</si>
  <si>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</si>
  <si>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P-0196</t>
  </si>
  <si>
    <t>P-0197</t>
  </si>
  <si>
    <t>P-0198</t>
  </si>
  <si>
    <t>P-0199</t>
  </si>
  <si>
    <t>P-0200</t>
  </si>
  <si>
    <t>P-0201</t>
  </si>
  <si>
    <t>P-0202</t>
  </si>
  <si>
    <t>P-0203</t>
  </si>
  <si>
    <t>P-0204</t>
  </si>
  <si>
    <t>P-0205</t>
  </si>
  <si>
    <t>P-0206</t>
  </si>
  <si>
    <t>P-0207</t>
  </si>
  <si>
    <t>P-0208</t>
  </si>
  <si>
    <t>P-0209</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</si>
  <si>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</si>
  <si>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</si>
  <si>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</si>
  <si>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</si>
  <si>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</si>
  <si>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</si>
  <si>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</si>
  <si>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</si>
  <si>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</si>
  <si>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</si>
  <si>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</si>
  <si>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</si>
  <si>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</si>
  <si>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</si>
  <si>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</si>
  <si>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</si>
  <si>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</si>
  <si>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</si>
  <si>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</si>
  <si>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</si>
  <si>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</si>
  <si>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</si>
  <si>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</si>
  <si>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</si>
  <si>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</si>
  <si>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</si>
  <si>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P-0236</t>
  </si>
  <si>
    <t>P-0237</t>
  </si>
  <si>
    <t>P-0238</t>
  </si>
  <si>
    <t>P-0239</t>
  </si>
  <si>
    <t>P-0240</t>
  </si>
  <si>
    <t>P-0241</t>
  </si>
  <si>
    <t>P-0242</t>
  </si>
  <si>
    <t>P-0243</t>
  </si>
  <si>
    <t>P-0244</t>
  </si>
  <si>
    <t>P-0245</t>
  </si>
  <si>
    <t>P-0246</t>
  </si>
  <si>
    <t>P-0247</t>
  </si>
  <si>
    <t>P-0248</t>
  </si>
  <si>
    <t>P-0249</t>
  </si>
  <si>
    <t>P-0250</t>
  </si>
  <si>
    <t>P-0251</t>
  </si>
  <si>
    <t>P-0252</t>
  </si>
  <si>
    <t>P-0253</t>
  </si>
  <si>
    <t>P-0254</t>
  </si>
  <si>
    <t>P-0255</t>
  </si>
  <si>
    <t>P-0256</t>
  </si>
  <si>
    <t>P-0257</t>
  </si>
  <si>
    <t>P-0258</t>
  </si>
  <si>
    <t>P-0259</t>
  </si>
  <si>
    <t>P-0260</t>
  </si>
  <si>
    <t>P-0261</t>
  </si>
  <si>
    <t>P-0262</t>
  </si>
  <si>
    <t>P-0263</t>
  </si>
  <si>
    <t>P-0264</t>
  </si>
  <si>
    <t>P-0265</t>
  </si>
  <si>
    <t>P-0266</t>
  </si>
  <si>
    <t>P-0267</t>
  </si>
  <si>
    <t>P-0268</t>
  </si>
  <si>
    <t>P-0269</t>
  </si>
  <si>
    <t>P-0270</t>
  </si>
  <si>
    <t>P-0271</t>
  </si>
  <si>
    <t>P-0272</t>
  </si>
  <si>
    <t>P-0273</t>
  </si>
  <si>
    <t>P-0274</t>
  </si>
  <si>
    <t>P-0275</t>
  </si>
  <si>
    <t>P-0276</t>
  </si>
  <si>
    <t>P-0277</t>
  </si>
  <si>
    <t>P-0278</t>
  </si>
  <si>
    <t>P-0279</t>
  </si>
  <si>
    <t>P-0280</t>
  </si>
  <si>
    <t>P-0281</t>
  </si>
  <si>
    <t>P-0282</t>
  </si>
  <si>
    <t>P-0283</t>
  </si>
  <si>
    <t>P-0284</t>
  </si>
  <si>
    <t>P-0285</t>
  </si>
  <si>
    <t>P-0286</t>
  </si>
  <si>
    <t>P-0287</t>
  </si>
  <si>
    <t>P-0288</t>
  </si>
  <si>
    <t>P-0289</t>
  </si>
  <si>
    <t>P-0290</t>
  </si>
  <si>
    <t>P-0291</t>
  </si>
  <si>
    <t>P-0292</t>
  </si>
  <si>
    <t>P-0293</t>
  </si>
  <si>
    <t>P-0294</t>
  </si>
  <si>
    <t>P-0295</t>
  </si>
  <si>
    <t>P-0296</t>
  </si>
  <si>
    <t>P-0297</t>
  </si>
  <si>
    <t>P-0298</t>
  </si>
  <si>
    <t>P-0299</t>
  </si>
  <si>
    <t>P-0300</t>
  </si>
  <si>
    <t>P-0301</t>
  </si>
  <si>
    <t>P-0302</t>
  </si>
  <si>
    <t>P-0303</t>
  </si>
  <si>
    <t>P-0304</t>
  </si>
  <si>
    <t>P-0305</t>
  </si>
  <si>
    <t>P-0306</t>
  </si>
  <si>
    <t>P-0307</t>
  </si>
  <si>
    <t>P-0308</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</si>
  <si>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</si>
  <si>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</si>
  <si>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</si>
  <si>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</si>
  <si>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</si>
  <si>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</si>
  <si>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</si>
  <si>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</si>
  <si>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</si>
  <si>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</si>
  <si>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</si>
  <si>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</si>
  <si>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</si>
  <si>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</si>
  <si>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</si>
  <si>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</si>
  <si>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</si>
  <si>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</si>
  <si>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</si>
  <si>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</si>
  <si>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</si>
  <si>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</si>
  <si>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</si>
  <si>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</si>
  <si>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</si>
  <si>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</si>
  <si>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</si>
  <si>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</si>
  <si>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</si>
  <si>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</si>
  <si>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</si>
  <si>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</si>
  <si>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</si>
  <si>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</si>
  <si>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</si>
  <si>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</si>
  <si>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</si>
  <si>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</si>
  <si>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</si>
  <si>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</si>
  <si>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</si>
  <si>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</si>
  <si>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</si>
  <si>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</si>
  <si>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</si>
  <si>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</si>
  <si>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</si>
  <si>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</si>
  <si>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</si>
  <si>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</si>
  <si>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</si>
  <si>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</si>
  <si>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</si>
  <si>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</si>
  <si>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</si>
  <si>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</si>
  <si>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</si>
  <si>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</si>
  <si>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</si>
  <si>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</si>
  <si>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</si>
  <si>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</si>
  <si>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</si>
  <si>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</si>
  <si>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</si>
  <si>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</si>
  <si>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</si>
  <si>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</si>
  <si>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</si>
  <si>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</si>
  <si>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</si>
  <si>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</si>
  <si>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</si>
  <si>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</si>
  <si>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</si>
  <si>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</si>
  <si>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</si>
  <si>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</si>
  <si>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</si>
  <si>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</si>
  <si>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</si>
  <si>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</si>
  <si>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</si>
  <si>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</si>
  <si>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</si>
  <si>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</si>
  <si>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</si>
  <si>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</si>
  <si>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</si>
  <si>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</si>
  <si>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</si>
  <si>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</si>
  <si>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</si>
  <si>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</si>
  <si>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</si>
  <si>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</si>
  <si>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</si>
  <si>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</si>
  <si>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</si>
  <si>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</si>
  <si>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</si>
  <si>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</si>
  <si>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</si>
  <si>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</si>
  <si>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</si>
  <si>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</si>
  <si>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</si>
  <si>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</si>
  <si>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</si>
  <si>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</si>
  <si>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</si>
  <si>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</si>
  <si>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</si>
  <si>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</si>
  <si>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</si>
  <si>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</si>
  <si>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</si>
  <si>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</si>
  <si>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</si>
  <si>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</si>
  <si>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</si>
  <si>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</si>
  <si>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</si>
  <si>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</si>
  <si>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</si>
  <si>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</si>
  <si>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</si>
  <si>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</si>
  <si>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</si>
  <si>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</si>
  <si>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</si>
  <si>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</si>
  <si>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</si>
  <si>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</si>
  <si>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</si>
  <si>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</si>
  <si>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</si>
  <si>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</si>
  <si>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</si>
  <si>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</si>
  <si>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</si>
  <si>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</si>
  <si>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</si>
  <si>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</si>
  <si>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</si>
  <si>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</si>
  <si>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</si>
  <si>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</si>
  <si>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</si>
  <si>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</si>
  <si>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</si>
  <si>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</si>
  <si>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</si>
  <si>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</si>
  <si>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</si>
  <si>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</si>
  <si>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P-0465</t>
  </si>
  <si>
    <t>P-0466</t>
  </si>
  <si>
    <t>P-0467</t>
  </si>
  <si>
    <t>P-0468</t>
  </si>
  <si>
    <t>P-0469</t>
  </si>
  <si>
    <t>P-0470</t>
  </si>
  <si>
    <t>P-0471</t>
  </si>
  <si>
    <t>P-0472</t>
  </si>
  <si>
    <t>P-0473</t>
  </si>
  <si>
    <t>P-0474</t>
  </si>
  <si>
    <t>P-0475</t>
  </si>
  <si>
    <t>P-0476</t>
  </si>
  <si>
    <t>P-0477</t>
  </si>
  <si>
    <t>P-0478</t>
  </si>
  <si>
    <t>P-0479</t>
  </si>
  <si>
    <t>P-0480</t>
  </si>
  <si>
    <t>P-0481</t>
  </si>
  <si>
    <t>P-0482</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</si>
  <si>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</si>
  <si>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</si>
  <si>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</si>
  <si>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</si>
  <si>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</si>
  <si>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</si>
  <si>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</si>
  <si>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</si>
  <si>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</si>
  <si>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</si>
  <si>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</si>
  <si>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</si>
  <si>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</si>
  <si>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</si>
  <si>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</si>
  <si>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</si>
  <si>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</si>
  <si>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</si>
  <si>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</si>
  <si>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</si>
  <si>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</si>
  <si>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</si>
  <si>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</si>
  <si>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</si>
  <si>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</si>
  <si>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</si>
  <si>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</si>
  <si>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</si>
  <si>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</si>
  <si>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</si>
  <si>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</si>
  <si>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</si>
  <si>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</si>
  <si>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</si>
  <si>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</si>
  <si>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</si>
  <si>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</si>
  <si>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</si>
  <si>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</si>
  <si>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</si>
  <si>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</si>
  <si>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</si>
  <si>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</si>
  <si>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</si>
  <si>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</si>
  <si>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</si>
  <si>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</si>
  <si>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</si>
  <si>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</si>
  <si>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</si>
  <si>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</si>
  <si>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</si>
  <si>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</si>
  <si>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</si>
  <si>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</si>
  <si>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</si>
  <si>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</si>
  <si>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</si>
  <si>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</si>
  <si>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</si>
  <si>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</si>
  <si>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</si>
  <si>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</si>
  <si>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</si>
  <si>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</si>
  <si>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</si>
  <si>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</si>
  <si>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</si>
  <si>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</si>
  <si>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</si>
  <si>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</si>
  <si>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</si>
  <si>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</si>
  <si>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</si>
  <si>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</si>
  <si>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</si>
  <si>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</si>
  <si>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</si>
  <si>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</si>
  <si>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</si>
  <si>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</si>
  <si>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</si>
  <si>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</si>
  <si>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</si>
  <si>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</si>
  <si>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</si>
  <si>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</si>
  <si>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</si>
  <si>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</si>
  <si>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</si>
  <si>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</si>
  <si>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</si>
  <si>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</si>
  <si>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</si>
  <si>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</si>
  <si>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</si>
  <si>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</si>
  <si>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</si>
  <si>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</si>
  <si>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</si>
  <si>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</si>
  <si>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</si>
  <si>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</si>
  <si>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</si>
  <si>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</si>
  <si>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</si>
  <si>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</si>
  <si>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</si>
  <si>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</si>
  <si>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</si>
  <si>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</si>
  <si>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</si>
  <si>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</si>
  <si>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</si>
  <si>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</si>
  <si>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</si>
  <si>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</si>
  <si>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</si>
  <si>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</si>
  <si>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</si>
  <si>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</si>
  <si>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</si>
  <si>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</si>
  <si>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</si>
  <si>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</si>
  <si>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</si>
  <si>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</si>
  <si>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</si>
  <si>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</si>
  <si>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</si>
  <si>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</si>
  <si>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</si>
  <si>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P-0615</t>
  </si>
  <si>
    <t>P-0616</t>
  </si>
  <si>
    <t>P-0617</t>
  </si>
  <si>
    <t>P-0618</t>
  </si>
  <si>
    <t>P-0619</t>
  </si>
  <si>
    <t>P-0620</t>
  </si>
  <si>
    <t>P-0621</t>
  </si>
  <si>
    <t>P-0622</t>
  </si>
  <si>
    <t>P-0623</t>
  </si>
  <si>
    <t>P-0624</t>
  </si>
  <si>
    <t>P-0625</t>
  </si>
  <si>
    <t>P-0626</t>
  </si>
  <si>
    <t>P-0627</t>
  </si>
  <si>
    <t>P-0628</t>
  </si>
  <si>
    <t>P-0629</t>
  </si>
  <si>
    <t>P-0630</t>
  </si>
  <si>
    <t>P-0631</t>
  </si>
  <si>
    <t>P-0632</t>
  </si>
  <si>
    <t>P-0633</t>
  </si>
  <si>
    <t>P-0634</t>
  </si>
  <si>
    <t>P-0635</t>
  </si>
  <si>
    <t>P-0636</t>
  </si>
  <si>
    <t>P-0637</t>
  </si>
  <si>
    <t>P-0638</t>
  </si>
  <si>
    <t>P-0639</t>
  </si>
  <si>
    <t>P-0640</t>
  </si>
  <si>
    <t>P-0641</t>
  </si>
  <si>
    <t>P-0642</t>
  </si>
  <si>
    <t>P-0643</t>
  </si>
  <si>
    <t>P-0644</t>
  </si>
  <si>
    <t>P-0645</t>
  </si>
  <si>
    <t>P-0646</t>
  </si>
  <si>
    <t>P-0647</t>
  </si>
  <si>
    <t>P-0648</t>
  </si>
  <si>
    <t>P-0649</t>
  </si>
  <si>
    <t>P-0650</t>
  </si>
  <si>
    <t>P-0651</t>
  </si>
  <si>
    <t>P-0652</t>
  </si>
  <si>
    <t>P-0653</t>
  </si>
  <si>
    <t>P-0654</t>
  </si>
  <si>
    <t>P-0655</t>
  </si>
  <si>
    <t>P-0656</t>
  </si>
  <si>
    <t>P-0657</t>
  </si>
  <si>
    <t>P-0658</t>
  </si>
  <si>
    <t>P-0659</t>
  </si>
  <si>
    <t>P-0660</t>
  </si>
  <si>
    <t>P-0661</t>
  </si>
  <si>
    <t>P-0662</t>
  </si>
  <si>
    <t>P-0663</t>
  </si>
  <si>
    <t>P-0664</t>
  </si>
  <si>
    <t>P-0665</t>
  </si>
  <si>
    <t>P-0666</t>
  </si>
  <si>
    <t>P-0667</t>
  </si>
  <si>
    <t>P-0668</t>
  </si>
  <si>
    <t>P-0669</t>
  </si>
  <si>
    <t>P-0670</t>
  </si>
  <si>
    <t>P-0671</t>
  </si>
  <si>
    <t>P-0672</t>
  </si>
  <si>
    <t>P-0673</t>
  </si>
  <si>
    <t>P-0674</t>
  </si>
  <si>
    <t>P-0675</t>
  </si>
  <si>
    <t>P-0676</t>
  </si>
  <si>
    <t>P-0677</t>
  </si>
  <si>
    <t>P-0678</t>
  </si>
  <si>
    <t>P-0679</t>
  </si>
  <si>
    <t>P-0680</t>
  </si>
  <si>
    <t>P-0681</t>
  </si>
  <si>
    <t>P-0682</t>
  </si>
  <si>
    <t>P-0683</t>
  </si>
  <si>
    <t>P-0684</t>
  </si>
  <si>
    <t>P-0685</t>
  </si>
  <si>
    <t>P-0686</t>
  </si>
  <si>
    <t>P-0687</t>
  </si>
  <si>
    <t>P-0688</t>
  </si>
  <si>
    <t>P-0689</t>
  </si>
  <si>
    <t>P-0690</t>
  </si>
  <si>
    <t>P-0691</t>
  </si>
  <si>
    <t>P-0692</t>
  </si>
  <si>
    <t>P-0693</t>
  </si>
  <si>
    <t>P-0694</t>
  </si>
  <si>
    <t>P-0695</t>
  </si>
  <si>
    <t>P-0696</t>
  </si>
  <si>
    <t>P-0697</t>
  </si>
  <si>
    <t>P-0698</t>
  </si>
  <si>
    <t>P-0699</t>
  </si>
  <si>
    <t>P-0700</t>
  </si>
  <si>
    <t>P-0701</t>
  </si>
  <si>
    <t>P-0702</t>
  </si>
  <si>
    <t>P-0703</t>
  </si>
  <si>
    <t>P-0704</t>
  </si>
  <si>
    <t>P-0705</t>
  </si>
  <si>
    <t>P-0706</t>
  </si>
  <si>
    <t>P-0707</t>
  </si>
  <si>
    <t>P-0708</t>
  </si>
  <si>
    <t>P-0709</t>
  </si>
  <si>
    <t>P-0710</t>
  </si>
  <si>
    <t>P-0711</t>
  </si>
  <si>
    <t>P-0712</t>
  </si>
  <si>
    <t>P-0713</t>
  </si>
  <si>
    <t>P-0714</t>
  </si>
  <si>
    <t>P-0715</t>
  </si>
  <si>
    <t>P-0716</t>
  </si>
  <si>
    <t>P-0717</t>
  </si>
  <si>
    <t>P-0718</t>
  </si>
  <si>
    <t>P-0719</t>
  </si>
  <si>
    <t>P-0720</t>
  </si>
  <si>
    <t>P-0721</t>
  </si>
  <si>
    <t>P-0722</t>
  </si>
  <si>
    <t>P-0723</t>
  </si>
  <si>
    <t>P-0724</t>
  </si>
  <si>
    <t>P-0725</t>
  </si>
  <si>
    <t>P-0726</t>
  </si>
  <si>
    <t>P-0727</t>
  </si>
  <si>
    <t>P-0728</t>
  </si>
  <si>
    <t>P-0729</t>
  </si>
  <si>
    <t>P-0730</t>
  </si>
  <si>
    <t>P-0731</t>
  </si>
  <si>
    <t>P-0732</t>
  </si>
  <si>
    <t>P-0733</t>
  </si>
  <si>
    <t>P-0734</t>
  </si>
  <si>
    <t>P-0735</t>
  </si>
  <si>
    <t>P-0736</t>
  </si>
  <si>
    <t>P-0737</t>
  </si>
  <si>
    <t>P-0738</t>
  </si>
  <si>
    <t>P-0739</t>
  </si>
  <si>
    <t>P-0740</t>
  </si>
  <si>
    <t>P-0741</t>
  </si>
  <si>
    <t>P-0742</t>
  </si>
  <si>
    <t>P-0743</t>
  </si>
  <si>
    <t>P-0744</t>
  </si>
  <si>
    <t>P-0745</t>
  </si>
  <si>
    <t>P-0746</t>
  </si>
  <si>
    <t>P-0747</t>
  </si>
  <si>
    <t>P-0748</t>
  </si>
  <si>
    <t>P-0749</t>
  </si>
  <si>
    <t>P-0750</t>
  </si>
  <si>
    <t>P-0751</t>
  </si>
  <si>
    <t>P-0752</t>
  </si>
  <si>
    <t>P-0753</t>
  </si>
  <si>
    <t>P-0754</t>
  </si>
  <si>
    <t>P-0755</t>
  </si>
  <si>
    <t>P-0756</t>
  </si>
  <si>
    <t>P-0757</t>
  </si>
  <si>
    <t>P-0758</t>
  </si>
  <si>
    <t>P-0759</t>
  </si>
  <si>
    <t>P-0760</t>
  </si>
  <si>
    <t>P-0761</t>
  </si>
  <si>
    <t>P-0762</t>
  </si>
  <si>
    <t>P-0763</t>
  </si>
  <si>
    <t>P-0764</t>
  </si>
  <si>
    <t>P-0765</t>
  </si>
  <si>
    <t>P-0766</t>
  </si>
  <si>
    <t>P-0767</t>
  </si>
  <si>
    <t>P-0768</t>
  </si>
  <si>
    <t>P-0769</t>
  </si>
  <si>
    <t>P-0770</t>
  </si>
  <si>
    <t>P-0771</t>
  </si>
  <si>
    <t>P-0772</t>
  </si>
  <si>
    <t>P-0773</t>
  </si>
  <si>
    <t>P-0774</t>
  </si>
  <si>
    <t>P-0775</t>
  </si>
  <si>
    <t>P-0776</t>
  </si>
  <si>
    <t>P-0777</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</si>
  <si>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</si>
  <si>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</si>
  <si>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</si>
  <si>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</si>
  <si>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</si>
  <si>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</si>
  <si>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</si>
  <si>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</si>
  <si>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</si>
  <si>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</si>
  <si>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</si>
  <si>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</si>
  <si>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</si>
  <si>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</si>
  <si>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</si>
  <si>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</si>
  <si>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</si>
  <si>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</si>
  <si>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</si>
  <si>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</si>
  <si>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</si>
  <si>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</si>
  <si>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</si>
  <si>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</si>
  <si>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</si>
  <si>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</si>
  <si>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</si>
  <si>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</si>
  <si>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</si>
  <si>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</si>
  <si>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</si>
  <si>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</si>
  <si>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</si>
  <si>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</si>
  <si>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</si>
  <si>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</si>
  <si>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</si>
  <si>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</si>
  <si>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</si>
  <si>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</si>
  <si>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</si>
  <si>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</si>
  <si>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</si>
  <si>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</si>
  <si>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</si>
  <si>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</si>
  <si>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</si>
  <si>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</si>
  <si>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</si>
  <si>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</si>
  <si>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</si>
  <si>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</si>
  <si>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</si>
  <si>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</si>
  <si>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</si>
  <si>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</si>
  <si>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</si>
  <si>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</si>
  <si>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</si>
  <si>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</si>
  <si>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</si>
  <si>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</si>
  <si>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</si>
  <si>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</si>
  <si>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P-0842</t>
  </si>
  <si>
    <t>P-0843</t>
  </si>
  <si>
    <t>P-0844</t>
  </si>
  <si>
    <t>P-0845</t>
  </si>
  <si>
    <t>P-0846</t>
  </si>
  <si>
    <t>P-0847</t>
  </si>
  <si>
    <t>P-0848</t>
  </si>
  <si>
    <t>P-0849</t>
  </si>
  <si>
    <t>P-0850</t>
  </si>
  <si>
    <t>P-0851</t>
  </si>
  <si>
    <t>P-0852</t>
  </si>
  <si>
    <t>P-0853</t>
  </si>
  <si>
    <t>P-0854</t>
  </si>
  <si>
    <t>P-0855</t>
  </si>
  <si>
    <t>P-0856</t>
  </si>
  <si>
    <t>P-0857</t>
  </si>
  <si>
    <t>P-0858</t>
  </si>
  <si>
    <t>P-0859</t>
  </si>
  <si>
    <t>P-0860</t>
  </si>
  <si>
    <t>P-0861</t>
  </si>
  <si>
    <t>P-0862</t>
  </si>
  <si>
    <t>P-0863</t>
  </si>
  <si>
    <t>P-0864</t>
  </si>
  <si>
    <t>P-0865</t>
  </si>
  <si>
    <t>P-0866</t>
  </si>
  <si>
    <t>P-0867</t>
  </si>
  <si>
    <t>P-0868</t>
  </si>
  <si>
    <t>P-0869</t>
  </si>
  <si>
    <t>P-0870</t>
  </si>
  <si>
    <t>P-0871</t>
  </si>
  <si>
    <t>P-0872</t>
  </si>
  <si>
    <t>P-0873</t>
  </si>
  <si>
    <t>P-0874</t>
  </si>
  <si>
    <t>P-0875</t>
  </si>
  <si>
    <t>P-0876</t>
  </si>
  <si>
    <t>P-0877</t>
  </si>
  <si>
    <t>P-0878</t>
  </si>
  <si>
    <t>P-0879</t>
  </si>
  <si>
    <t>P-0880</t>
  </si>
  <si>
    <t>P-0881</t>
  </si>
  <si>
    <t>P-0882</t>
  </si>
  <si>
    <t>P-0883</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</si>
  <si>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</si>
  <si>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</si>
  <si>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</si>
  <si>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</si>
  <si>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</si>
  <si>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</si>
  <si>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</si>
  <si>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</si>
  <si>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</si>
  <si>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</si>
  <si>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</si>
  <si>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</si>
  <si>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</si>
  <si>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</si>
  <si>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</si>
  <si>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</si>
  <si>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</si>
  <si>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</si>
  <si>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</si>
  <si>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</si>
  <si>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</si>
  <si>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</si>
  <si>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</si>
  <si>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</si>
  <si>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</si>
  <si>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</si>
  <si>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</si>
  <si>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</si>
  <si>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</si>
  <si>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</si>
  <si>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</si>
  <si>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</si>
  <si>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</si>
  <si>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</si>
  <si>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</si>
  <si>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</si>
  <si>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P-0920</t>
  </si>
  <si>
    <t>P-0921</t>
  </si>
  <si>
    <t>P-0922</t>
  </si>
  <si>
    <t>P-0923</t>
  </si>
  <si>
    <t>P-0924</t>
  </si>
  <si>
    <t>P-0925</t>
  </si>
  <si>
    <t>P-0926</t>
  </si>
  <si>
    <t>P-0927</t>
  </si>
  <si>
    <t>P-0928</t>
  </si>
  <si>
    <t>P-0929</t>
  </si>
  <si>
    <t>P-0930</t>
  </si>
  <si>
    <t>P-0931</t>
  </si>
  <si>
    <t>P-0932</t>
  </si>
  <si>
    <t>P-0933</t>
  </si>
  <si>
    <t>P-0934</t>
  </si>
  <si>
    <t>P-0935</t>
  </si>
  <si>
    <t>P-0936</t>
  </si>
  <si>
    <t>P-0937</t>
  </si>
  <si>
    <t>P-0938</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</si>
  <si>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</si>
  <si>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</si>
  <si>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</si>
  <si>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</si>
  <si>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</si>
  <si>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</si>
  <si>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</si>
  <si>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</si>
  <si>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</si>
  <si>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</si>
  <si>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</si>
  <si>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</si>
  <si>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</si>
  <si>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</si>
  <si>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</si>
  <si>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</si>
  <si>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</si>
  <si>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</si>
  <si>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</si>
  <si>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</si>
  <si>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</si>
  <si>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</si>
  <si>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</si>
  <si>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</si>
  <si>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</si>
  <si>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</si>
  <si>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</si>
  <si>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</si>
  <si>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</si>
  <si>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</si>
  <si>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</si>
  <si>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</si>
  <si>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</si>
  <si>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</si>
  <si>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</si>
  <si>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</si>
  <si>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</si>
  <si>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</si>
  <si>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</si>
  <si>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</si>
  <si>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</si>
  <si>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</si>
  <si>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</si>
  <si>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</si>
  <si>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</si>
  <si>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</si>
  <si>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</si>
  <si>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</si>
  <si>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</si>
  <si>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</si>
  <si>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</si>
  <si>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</si>
  <si>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</si>
  <si>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</si>
  <si>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</si>
  <si>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</si>
  <si>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</si>
  <si>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</si>
  <si>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</si>
  <si>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P-0998</t>
  </si>
  <si>
    <t>P-0999</t>
  </si>
  <si>
    <t>P-1000</t>
  </si>
  <si>
    <t>Data_Issue_noticed</t>
  </si>
  <si>
    <t>Profit</t>
  </si>
  <si>
    <t>Profit_Margin</t>
  </si>
  <si>
    <t>Total Treatment Cost</t>
  </si>
  <si>
    <t>Total Profit</t>
  </si>
  <si>
    <t>Average Patient Satisfaction</t>
  </si>
  <si>
    <t>Average Staff Rating</t>
  </si>
  <si>
    <t>Average Readmission Rate (%)</t>
  </si>
  <si>
    <t>Average Profit Margin (%)</t>
  </si>
  <si>
    <t>Average Waiting Time</t>
  </si>
  <si>
    <t>Total Revenue</t>
  </si>
  <si>
    <t>Departments</t>
  </si>
  <si>
    <t>No of Treatment</t>
  </si>
  <si>
    <t>Avg. Treatment Cost</t>
  </si>
  <si>
    <t>Avg. Profit Margin</t>
  </si>
  <si>
    <t>Lowest Revenue Generating Dept</t>
  </si>
  <si>
    <t>Highest Revenue Generating Dept</t>
  </si>
  <si>
    <t>Readmission_Rate (%)2</t>
  </si>
  <si>
    <t>Patient by Age Group</t>
  </si>
  <si>
    <t>Grand Total</t>
  </si>
  <si>
    <t>Count of Patient ID</t>
  </si>
  <si>
    <t>Total Revenue per Department</t>
  </si>
  <si>
    <t>Sum of Revenue_Generated</t>
  </si>
  <si>
    <t>Total Profit per Treatment Type</t>
  </si>
  <si>
    <t>Sum of Profit</t>
  </si>
  <si>
    <t>Patient Treated per Doctor</t>
  </si>
  <si>
    <t>Average Readmission Rate per Doctor</t>
  </si>
  <si>
    <t>Average of Readmission_Rate (%)2</t>
  </si>
  <si>
    <t>Column Labels</t>
  </si>
  <si>
    <t>Count of Data_Issue_noticed</t>
  </si>
  <si>
    <t>Data Mismatch by Treatment Type and Gender</t>
  </si>
  <si>
    <t xml:space="preserve"> Average Readmission Rate (by Doctor and Department)</t>
  </si>
  <si>
    <t>Average Wait Time (by Department and Doctor)</t>
  </si>
  <si>
    <t>Profit &amp; Profit Margin (by Doctor, Department, and Treatment Type)</t>
  </si>
  <si>
    <t>Average of Profit_Margin</t>
  </si>
  <si>
    <t>Average Wait Time per Department</t>
  </si>
  <si>
    <t xml:space="preserve">Avg Wait Time </t>
  </si>
  <si>
    <t xml:space="preserve">Average of Avg Wait Time </t>
  </si>
  <si>
    <t>Patient Count per Age Group</t>
  </si>
  <si>
    <t>Number of Patient Per Department</t>
  </si>
  <si>
    <t>Number of Patient per Treatment Type</t>
  </si>
  <si>
    <t>Patient Count by Insurance Type</t>
  </si>
  <si>
    <t>Average Profit Margin by Doctor</t>
  </si>
  <si>
    <t>Average Wait Time per Doctor</t>
  </si>
  <si>
    <t>1-18</t>
  </si>
  <si>
    <t>19-36</t>
  </si>
  <si>
    <t>37-54</t>
  </si>
  <si>
    <t>55-72</t>
  </si>
  <si>
    <t>73-90</t>
  </si>
  <si>
    <t>Treatment Type</t>
  </si>
  <si>
    <t>Insurance</t>
  </si>
  <si>
    <t>Patient Age Group</t>
  </si>
  <si>
    <t>Doctors</t>
  </si>
  <si>
    <t>Gender</t>
  </si>
  <si>
    <t>Department / Doctors</t>
  </si>
  <si>
    <t>Department/ Doctors/ Treatment</t>
  </si>
  <si>
    <t>Gender-Treatment Mismatch</t>
  </si>
  <si>
    <t>Row Labels</t>
  </si>
  <si>
    <t>19-35</t>
  </si>
  <si>
    <t/>
  </si>
  <si>
    <t>0-18</t>
  </si>
  <si>
    <t>60+</t>
  </si>
  <si>
    <t>36-60</t>
  </si>
  <si>
    <t>Details for Count of Patient ID - Doctor Name: Dr. Ethan Wright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</si>
</sst>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809]#,##0.00;\-[$£-809]#,##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1">
    <border>
      <left/>
      <right/>
      <top/>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xf numFmtId="164" fontId="0" fillId="0" borderId="0" xfId="0" applyNumberFormat="1"/>
    <xf numFmtId="1" fontId="0" fillId="0" borderId="0" xfId="0" applyNumberFormat="1"/>
    <xf numFmtId="10" fontId="0" fillId="0" borderId="0" xfId="0" applyNumberFormat="1"/>
    <xf numFmtId="164" fontId="0" fillId="0" borderId="0" xfId="0" applyNumberFormat="1" applyAlignment="1">
      <alignment horizontal="left"/>
    </xf>
    <xf numFmtId="0" fontId="1" fillId="0" borderId="0" xfId="0" applyFont="1"/>
    <xf numFmtId="20" fontId="0" fillId="0" borderId="0" xfId="0" applyNumberFormat="1" applyAlignment="1">
      <alignment horizontal="right"/>
    </xf>
    <xf numFmtId="20" fontId="0" fillId="0" borderId="0" xfId="0" applyNumberFormat="1" applyAlignment="1">
      <alignment horizontal="center"/>
    </xf>
    <xf numFmtId="0" fontId="0" fillId="0" borderId="1" xfId="0" applyBorder="1"/>
    <xf numFmtId="2" fontId="0" fillId="0" borderId="0" xfId="0" applyNumberFormat="1"/>
    <xf numFmtId="165" fontId="0" fillId="0" borderId="0" xfId="0" applyNumberFormat="1"/>
    <xf numFmtId="165" fontId="0" fillId="0" borderId="0" xfId="0" applyNumberFormat="1" applyAlignment="1">
      <alignment horizontal="right"/>
    </xf>
    <xf numFmtId="0" fontId="0" fillId="0" borderId="0" xfId="0" applyAlignment="1">
      <alignment horizontal="right"/>
    </xf>
    <xf numFmtId="0" fontId="1" fillId="0" borderId="0" xfId="0" applyFont="1" applyAlignment="1">
      <alignment horizontal="left"/>
    </xf>
    <xf numFmtId="1" fontId="0" fillId="0" borderId="0" xfId="0" applyNumberFormat="1" applyAlignment="1">
      <alignment horizontal="center"/>
    </xf>
    <xf numFmtId="165" fontId="0" fillId="0" borderId="0" xfId="0" applyNumberFormat="1" applyAlignment="1">
      <alignment horizontal="center"/>
    </xf>
    <xf numFmtId="10" fontId="0" fillId="0" borderId="0" xfId="0" applyNumberFormat="1" applyAlignment="1">
      <alignment horizontal="center"/>
    </xf>
    <xf numFmtId="0" fontId="0" fillId="0" borderId="0" xfId="0" applyAlignment="1">
      <alignment horizontal="center"/>
    </xf>
    <xf numFmtId="0" fontId="0" fillId="0" borderId="2" xfId="0" pivotButton="1" applyBorder="1"/>
    <xf numFmtId="0" fontId="0" fillId="0" borderId="2" xfId="0" applyBorder="1" applyAlignment="1">
      <alignment horizontal="left"/>
    </xf>
    <xf numFmtId="0" fontId="0" fillId="0" borderId="2" xfId="0" applyBorder="1"/>
    <xf numFmtId="0" fontId="0" fillId="0" borderId="11" xfId="0" applyBorder="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10" fontId="0" fillId="0" borderId="5" xfId="0" applyNumberFormat="1" applyBorder="1"/>
    <xf numFmtId="10" fontId="0" fillId="0" borderId="6" xfId="0" applyNumberFormat="1" applyBorder="1"/>
    <xf numFmtId="10" fontId="0" fillId="0" borderId="7" xfId="0" applyNumberFormat="1" applyBorder="1"/>
    <xf numFmtId="10" fontId="0" fillId="0" borderId="15" xfId="0" applyNumberFormat="1" applyBorder="1"/>
    <xf numFmtId="10" fontId="0" fillId="0" borderId="17" xfId="0" applyNumberFormat="1" applyBorder="1"/>
    <xf numFmtId="10" fontId="0" fillId="0" borderId="4" xfId="0" applyNumberFormat="1" applyBorder="1"/>
    <xf numFmtId="20" fontId="0" fillId="0" borderId="5" xfId="0" applyNumberFormat="1" applyBorder="1"/>
    <xf numFmtId="20" fontId="0" fillId="0" borderId="6" xfId="0" applyNumberFormat="1" applyBorder="1"/>
    <xf numFmtId="20" fontId="0" fillId="0" borderId="7" xfId="0" applyNumberFormat="1" applyBorder="1"/>
    <xf numFmtId="165" fontId="0" fillId="0" borderId="3" xfId="0" applyNumberFormat="1" applyBorder="1"/>
    <xf numFmtId="165" fontId="0" fillId="0" borderId="14" xfId="0" applyNumberFormat="1" applyBorder="1"/>
    <xf numFmtId="165" fontId="0" fillId="0" borderId="16" xfId="0" applyNumberFormat="1" applyBorder="1"/>
    <xf numFmtId="0" fontId="0" fillId="0" borderId="19" xfId="0" applyBorder="1"/>
    <xf numFmtId="0" fontId="0" fillId="0" borderId="20" xfId="0" applyBorder="1"/>
    <xf numFmtId="165" fontId="0" fillId="0" borderId="5" xfId="0" applyNumberFormat="1" applyBorder="1"/>
    <xf numFmtId="165" fontId="0" fillId="0" borderId="6" xfId="0" applyNumberFormat="1" applyBorder="1"/>
    <xf numFmtId="165" fontId="0" fillId="0" borderId="7" xfId="0" applyNumberFormat="1" applyBorder="1"/>
    <xf numFmtId="0" fontId="0" fillId="0" borderId="10" xfId="0" applyBorder="1"/>
    <xf numFmtId="0" fontId="0" fillId="0" borderId="19" xfId="0" pivotButton="1" applyBorder="1"/>
    <xf numFmtId="0" fontId="0" fillId="0" borderId="17" xfId="0" applyBorder="1"/>
    <xf numFmtId="0" fontId="0" fillId="0" borderId="5" xfId="0" applyBorder="1"/>
    <xf numFmtId="0" fontId="0" fillId="0" borderId="6" xfId="0" applyBorder="1"/>
    <xf numFmtId="0" fontId="0" fillId="0" borderId="7" xfId="0" applyBorder="1"/>
    <xf numFmtId="0" fontId="0" fillId="0" borderId="3" xfId="0" applyBorder="1"/>
    <xf numFmtId="0" fontId="0" fillId="0" borderId="4" xfId="0" applyBorder="1"/>
    <xf numFmtId="0" fontId="0" fillId="0" borderId="16" xfId="0" applyBorder="1"/>
    <xf numFmtId="19" fontId="0" fillId="0" borderId="0" xfId="0" applyNumberFormat="1"/>
    <xf numFmtId="0" fontId="1" fillId="0" borderId="12" xfId="0" applyFont="1" applyBorder="1" applyAlignment="1">
      <alignment horizontal="center"/>
    </xf>
    <xf numFmtId="0" fontId="1" fillId="0" borderId="18"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26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4" formatCode="h:mm:ss\ AM/PM"/>
    </dxf>
    <dxf>
      <numFmt numFmtId="14" formatCode="0.00%"/>
    </dxf>
    <dxf>
      <numFmt numFmtId="165" formatCode="[$£-809]#,##0.00;\-[$£-809]#,##0.00"/>
    </dxf>
    <dxf>
      <numFmt numFmtId="0" formatCode="General"/>
      <alignment horizontal="center" vertical="bottom" textRotation="0" wrapText="0" indent="0" justifyLastLine="0" shrinkToFit="0" readingOrder="0"/>
    </dxf>
    <dxf>
      <numFmt numFmtId="165" formatCode="[$£-809]#,##0.00;\-[$£-809]#,##0.00"/>
    </dxf>
    <dxf>
      <numFmt numFmtId="1" formatCode="0"/>
    </dxf>
    <dxf>
      <numFmt numFmtId="25" formatCode="h:mm"/>
      <alignment horizontal="right" vertical="bottom" textRotation="0" wrapText="0" indent="0" justifyLastLine="0" shrinkToFit="0" readingOrder="0"/>
    </dxf>
    <dxf>
      <numFmt numFmtId="14" formatCode="0.00%"/>
    </dxf>
    <dxf>
      <numFmt numFmtId="14" formatCode="0.00%"/>
    </dxf>
    <dxf>
      <numFmt numFmtId="165" formatCode="[$£-809]#,##0.00;\-[$£-809]#,##0.00"/>
      <alignment horizontal="right" vertical="bottom" textRotation="0" wrapText="0" indent="0" justifyLastLine="0" shrinkToFit="0" readingOrder="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3100B"/>
      <color rgb="FFF549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Patient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Analysis!$C$4</c:f>
              <c:strCache>
                <c:ptCount val="1"/>
                <c:pt idx="0">
                  <c:v>Total</c:v>
                </c:pt>
              </c:strCache>
            </c:strRef>
          </c:tx>
          <c:spPr>
            <a:solidFill>
              <a:schemeClr val="accent1"/>
            </a:solidFill>
            <a:ln>
              <a:noFill/>
            </a:ln>
            <a:effectLst/>
          </c:spPr>
          <c:invertIfNegative val="0"/>
          <c:cat>
            <c:strRef>
              <c:f>Analysis!$B$5:$B$13</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Analysis!$C$5:$C$13</c:f>
              <c:numCache>
                <c:formatCode>General</c:formatCode>
                <c:ptCount val="8"/>
                <c:pt idx="0">
                  <c:v>45</c:v>
                </c:pt>
                <c:pt idx="1">
                  <c:v>40</c:v>
                </c:pt>
                <c:pt idx="2">
                  <c:v>37</c:v>
                </c:pt>
                <c:pt idx="3">
                  <c:v>40</c:v>
                </c:pt>
                <c:pt idx="4">
                  <c:v>43</c:v>
                </c:pt>
                <c:pt idx="5">
                  <c:v>39</c:v>
                </c:pt>
                <c:pt idx="6">
                  <c:v>36</c:v>
                </c:pt>
                <c:pt idx="7">
                  <c:v>37</c:v>
                </c:pt>
              </c:numCache>
            </c:numRef>
          </c:val>
          <c:extLst>
            <c:ext xmlns:c16="http://schemas.microsoft.com/office/drawing/2014/chart" uri="{C3380CC4-5D6E-409C-BE32-E72D297353CC}">
              <c16:uniqueId val="{00000000-217B-420D-875E-014697D74FA8}"/>
            </c:ext>
          </c:extLst>
        </c:ser>
        <c:dLbls>
          <c:showLegendKey val="0"/>
          <c:showVal val="0"/>
          <c:showCatName val="0"/>
          <c:showSerName val="0"/>
          <c:showPercent val="0"/>
          <c:showBubbleSize val="0"/>
        </c:dLbls>
        <c:gapWidth val="219"/>
        <c:overlap val="-27"/>
        <c:axId val="132611135"/>
        <c:axId val="132612095"/>
      </c:barChart>
      <c:catAx>
        <c:axId val="132611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2095"/>
        <c:crosses val="autoZero"/>
        <c:auto val="1"/>
        <c:lblAlgn val="ctr"/>
        <c:lblOffset val="100"/>
        <c:noMultiLvlLbl val="0"/>
      </c:catAx>
      <c:valAx>
        <c:axId val="1326120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Patients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Patient per Treatment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Analysis!$C$17</c:f>
              <c:strCache>
                <c:ptCount val="1"/>
                <c:pt idx="0">
                  <c:v>Total</c:v>
                </c:pt>
              </c:strCache>
            </c:strRef>
          </c:tx>
          <c:spPr>
            <a:solidFill>
              <a:schemeClr val="accent1"/>
            </a:solidFill>
            <a:ln>
              <a:noFill/>
            </a:ln>
            <a:effectLst/>
          </c:spPr>
          <c:invertIfNegative val="0"/>
          <c:cat>
            <c:strRef>
              <c:f>Analysis!$B$18:$B$24</c:f>
              <c:strCache>
                <c:ptCount val="6"/>
                <c:pt idx="0">
                  <c:v>Diagnostics</c:v>
                </c:pt>
                <c:pt idx="1">
                  <c:v>Emergency Care</c:v>
                </c:pt>
                <c:pt idx="2">
                  <c:v>Maternity</c:v>
                </c:pt>
                <c:pt idx="3">
                  <c:v>Routine Checkup</c:v>
                </c:pt>
                <c:pt idx="4">
                  <c:v>Surgery</c:v>
                </c:pt>
                <c:pt idx="5">
                  <c:v>Therapy</c:v>
                </c:pt>
              </c:strCache>
            </c:strRef>
          </c:cat>
          <c:val>
            <c:numRef>
              <c:f>Analysis!$C$18:$C$24</c:f>
              <c:numCache>
                <c:formatCode>General</c:formatCode>
                <c:ptCount val="6"/>
                <c:pt idx="0">
                  <c:v>62</c:v>
                </c:pt>
                <c:pt idx="1">
                  <c:v>49</c:v>
                </c:pt>
                <c:pt idx="2">
                  <c:v>37</c:v>
                </c:pt>
                <c:pt idx="3">
                  <c:v>61</c:v>
                </c:pt>
                <c:pt idx="4">
                  <c:v>57</c:v>
                </c:pt>
                <c:pt idx="5">
                  <c:v>51</c:v>
                </c:pt>
              </c:numCache>
            </c:numRef>
          </c:val>
          <c:extLst>
            <c:ext xmlns:c16="http://schemas.microsoft.com/office/drawing/2014/chart" uri="{C3380CC4-5D6E-409C-BE32-E72D297353CC}">
              <c16:uniqueId val="{00000000-8361-44DA-8731-B6A1B5A1752C}"/>
            </c:ext>
          </c:extLst>
        </c:ser>
        <c:dLbls>
          <c:showLegendKey val="0"/>
          <c:showVal val="0"/>
          <c:showCatName val="0"/>
          <c:showSerName val="0"/>
          <c:showPercent val="0"/>
          <c:showBubbleSize val="0"/>
        </c:dLbls>
        <c:gapWidth val="219"/>
        <c:overlap val="-27"/>
        <c:axId val="132636095"/>
        <c:axId val="132645215"/>
      </c:barChart>
      <c:catAx>
        <c:axId val="132636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5215"/>
        <c:crosses val="autoZero"/>
        <c:auto val="1"/>
        <c:lblAlgn val="ctr"/>
        <c:lblOffset val="100"/>
        <c:noMultiLvlLbl val="0"/>
      </c:catAx>
      <c:valAx>
        <c:axId val="132645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a:t>
                </a:r>
                <a:r>
                  <a:rPr lang="en-US" baseline="0"/>
                  <a:t> Patients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3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Count by Insurance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Analysis!$C$28</c:f>
              <c:strCache>
                <c:ptCount val="1"/>
                <c:pt idx="0">
                  <c:v>Total</c:v>
                </c:pt>
              </c:strCache>
            </c:strRef>
          </c:tx>
          <c:spPr>
            <a:solidFill>
              <a:schemeClr val="accent1"/>
            </a:solidFill>
            <a:ln>
              <a:noFill/>
            </a:ln>
            <a:effectLst/>
          </c:spPr>
          <c:invertIfNegative val="0"/>
          <c:cat>
            <c:strRef>
              <c:f>Analysis!$B$29:$B$33</c:f>
              <c:strCache>
                <c:ptCount val="4"/>
                <c:pt idx="0">
                  <c:v>Medicaid</c:v>
                </c:pt>
                <c:pt idx="1">
                  <c:v>Medicare</c:v>
                </c:pt>
                <c:pt idx="2">
                  <c:v>Private</c:v>
                </c:pt>
                <c:pt idx="3">
                  <c:v>Uninsured</c:v>
                </c:pt>
              </c:strCache>
            </c:strRef>
          </c:cat>
          <c:val>
            <c:numRef>
              <c:f>Analysis!$C$29:$C$33</c:f>
              <c:numCache>
                <c:formatCode>General</c:formatCode>
                <c:ptCount val="4"/>
                <c:pt idx="0">
                  <c:v>72</c:v>
                </c:pt>
                <c:pt idx="1">
                  <c:v>79</c:v>
                </c:pt>
                <c:pt idx="2">
                  <c:v>82</c:v>
                </c:pt>
                <c:pt idx="3">
                  <c:v>84</c:v>
                </c:pt>
              </c:numCache>
            </c:numRef>
          </c:val>
          <c:extLst>
            <c:ext xmlns:c16="http://schemas.microsoft.com/office/drawing/2014/chart" uri="{C3380CC4-5D6E-409C-BE32-E72D297353CC}">
              <c16:uniqueId val="{00000000-6E5A-4E9A-AF6C-197E0BBF00F0}"/>
            </c:ext>
          </c:extLst>
        </c:ser>
        <c:dLbls>
          <c:showLegendKey val="0"/>
          <c:showVal val="0"/>
          <c:showCatName val="0"/>
          <c:showSerName val="0"/>
          <c:showPercent val="0"/>
          <c:showBubbleSize val="0"/>
        </c:dLbls>
        <c:gapWidth val="182"/>
        <c:axId val="132660575"/>
        <c:axId val="132644735"/>
      </c:barChart>
      <c:catAx>
        <c:axId val="1326605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Insurance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4735"/>
        <c:crosses val="autoZero"/>
        <c:auto val="1"/>
        <c:lblAlgn val="ctr"/>
        <c:lblOffset val="100"/>
        <c:noMultiLvlLbl val="0"/>
      </c:catAx>
      <c:valAx>
        <c:axId val="132644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Numbert</a:t>
                </a:r>
                <a:r>
                  <a:rPr lang="en-US" baseline="0"/>
                  <a:t> of Patients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per Treatment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Analysis!$C$46</c:f>
              <c:strCache>
                <c:ptCount val="1"/>
                <c:pt idx="0">
                  <c:v>Total</c:v>
                </c:pt>
              </c:strCache>
            </c:strRef>
          </c:tx>
          <c:spPr>
            <a:solidFill>
              <a:schemeClr val="accent1"/>
            </a:solidFill>
            <a:ln>
              <a:noFill/>
            </a:ln>
            <a:effectLst/>
          </c:spPr>
          <c:invertIfNegative val="0"/>
          <c:cat>
            <c:strRef>
              <c:f>Analysis!$B$47:$B$55</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Analysis!$C$47:$C$55</c:f>
              <c:numCache>
                <c:formatCode>[$£-809]#,##0.00;\-[$£-809]#,##0.00</c:formatCode>
                <c:ptCount val="8"/>
                <c:pt idx="0">
                  <c:v>1263340</c:v>
                </c:pt>
                <c:pt idx="1">
                  <c:v>1063965</c:v>
                </c:pt>
                <c:pt idx="2">
                  <c:v>1027972</c:v>
                </c:pt>
                <c:pt idx="3">
                  <c:v>962972</c:v>
                </c:pt>
                <c:pt idx="4">
                  <c:v>1316093</c:v>
                </c:pt>
                <c:pt idx="5">
                  <c:v>1110111</c:v>
                </c:pt>
                <c:pt idx="6">
                  <c:v>708373</c:v>
                </c:pt>
                <c:pt idx="7">
                  <c:v>940355</c:v>
                </c:pt>
              </c:numCache>
            </c:numRef>
          </c:val>
          <c:extLst>
            <c:ext xmlns:c16="http://schemas.microsoft.com/office/drawing/2014/chart" uri="{C3380CC4-5D6E-409C-BE32-E72D297353CC}">
              <c16:uniqueId val="{00000000-6CC8-4C17-BE75-6FA9BFD1DFD9}"/>
            </c:ext>
          </c:extLst>
        </c:ser>
        <c:dLbls>
          <c:showLegendKey val="0"/>
          <c:showVal val="0"/>
          <c:showCatName val="0"/>
          <c:showSerName val="0"/>
          <c:showPercent val="0"/>
          <c:showBubbleSize val="0"/>
        </c:dLbls>
        <c:gapWidth val="219"/>
        <c:overlap val="-27"/>
        <c:axId val="132666815"/>
        <c:axId val="132667295"/>
      </c:barChart>
      <c:catAx>
        <c:axId val="132666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7295"/>
        <c:crosses val="autoZero"/>
        <c:auto val="1"/>
        <c:lblAlgn val="ctr"/>
        <c:lblOffset val="100"/>
        <c:noMultiLvlLbl val="0"/>
      </c:catAx>
      <c:valAx>
        <c:axId val="1326672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809]#,##0.00;\-[$£-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Margin by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Analysis!$C$70</c:f>
              <c:strCache>
                <c:ptCount val="1"/>
                <c:pt idx="0">
                  <c:v>Total</c:v>
                </c:pt>
              </c:strCache>
            </c:strRef>
          </c:tx>
          <c:spPr>
            <a:solidFill>
              <a:schemeClr val="accent1"/>
            </a:solidFill>
            <a:ln>
              <a:noFill/>
            </a:ln>
            <a:effectLst/>
          </c:spPr>
          <c:invertIfNegative val="0"/>
          <c:cat>
            <c:strRef>
              <c:f>Analysis!$B$71:$B$86</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Analysis!$C$71:$C$86</c:f>
              <c:numCache>
                <c:formatCode>0.00%</c:formatCode>
                <c:ptCount val="15"/>
                <c:pt idx="0">
                  <c:v>0.58336677547423299</c:v>
                </c:pt>
                <c:pt idx="1">
                  <c:v>0.64946081879977258</c:v>
                </c:pt>
                <c:pt idx="2">
                  <c:v>0.68995291866069663</c:v>
                </c:pt>
                <c:pt idx="3">
                  <c:v>0.65638121945294492</c:v>
                </c:pt>
                <c:pt idx="4">
                  <c:v>0.50607179712699557</c:v>
                </c:pt>
                <c:pt idx="5">
                  <c:v>0.71803940059315563</c:v>
                </c:pt>
                <c:pt idx="6">
                  <c:v>0.45599687297828806</c:v>
                </c:pt>
                <c:pt idx="7">
                  <c:v>0.54825190584161232</c:v>
                </c:pt>
                <c:pt idx="8">
                  <c:v>0.79892818233967156</c:v>
                </c:pt>
                <c:pt idx="9">
                  <c:v>0.70786981458273923</c:v>
                </c:pt>
                <c:pt idx="10">
                  <c:v>0.63882728017976853</c:v>
                </c:pt>
                <c:pt idx="11">
                  <c:v>0.59775628413534876</c:v>
                </c:pt>
                <c:pt idx="12">
                  <c:v>0.77955022257842588</c:v>
                </c:pt>
                <c:pt idx="13">
                  <c:v>0.5840997840147063</c:v>
                </c:pt>
                <c:pt idx="14">
                  <c:v>0.49195492511732697</c:v>
                </c:pt>
              </c:numCache>
            </c:numRef>
          </c:val>
          <c:extLst>
            <c:ext xmlns:c16="http://schemas.microsoft.com/office/drawing/2014/chart" uri="{C3380CC4-5D6E-409C-BE32-E72D297353CC}">
              <c16:uniqueId val="{00000000-DA83-4C1E-B980-4137C4A7F47D}"/>
            </c:ext>
          </c:extLst>
        </c:ser>
        <c:dLbls>
          <c:showLegendKey val="0"/>
          <c:showVal val="0"/>
          <c:showCatName val="0"/>
          <c:showSerName val="0"/>
          <c:showPercent val="0"/>
          <c:showBubbleSize val="0"/>
        </c:dLbls>
        <c:gapWidth val="219"/>
        <c:overlap val="-27"/>
        <c:axId val="132681695"/>
        <c:axId val="132683615"/>
      </c:barChart>
      <c:catAx>
        <c:axId val="132681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3615"/>
        <c:crosses val="autoZero"/>
        <c:auto val="1"/>
        <c:lblAlgn val="ctr"/>
        <c:lblOffset val="100"/>
        <c:noMultiLvlLbl val="0"/>
      </c:catAx>
      <c:valAx>
        <c:axId val="13268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Treated per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Analysis!$F$4</c:f>
              <c:strCache>
                <c:ptCount val="1"/>
                <c:pt idx="0">
                  <c:v>Total</c:v>
                </c:pt>
              </c:strCache>
            </c:strRef>
          </c:tx>
          <c:spPr>
            <a:solidFill>
              <a:schemeClr val="accent1"/>
            </a:solidFill>
            <a:ln>
              <a:noFill/>
            </a:ln>
            <a:effectLst/>
          </c:spPr>
          <c:invertIfNegative val="0"/>
          <c:cat>
            <c:strRef>
              <c:f>Analysis!$E$5:$E$20</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Analysis!$F$5:$F$20</c:f>
              <c:numCache>
                <c:formatCode>General</c:formatCode>
                <c:ptCount val="15"/>
                <c:pt idx="0">
                  <c:v>20</c:v>
                </c:pt>
                <c:pt idx="1">
                  <c:v>19</c:v>
                </c:pt>
                <c:pt idx="2">
                  <c:v>25</c:v>
                </c:pt>
                <c:pt idx="3">
                  <c:v>26</c:v>
                </c:pt>
                <c:pt idx="4">
                  <c:v>26</c:v>
                </c:pt>
                <c:pt idx="5">
                  <c:v>16</c:v>
                </c:pt>
                <c:pt idx="6">
                  <c:v>20</c:v>
                </c:pt>
                <c:pt idx="7">
                  <c:v>15</c:v>
                </c:pt>
                <c:pt idx="8">
                  <c:v>16</c:v>
                </c:pt>
                <c:pt idx="9">
                  <c:v>22</c:v>
                </c:pt>
                <c:pt idx="10">
                  <c:v>20</c:v>
                </c:pt>
                <c:pt idx="11">
                  <c:v>26</c:v>
                </c:pt>
                <c:pt idx="12">
                  <c:v>18</c:v>
                </c:pt>
                <c:pt idx="13">
                  <c:v>24</c:v>
                </c:pt>
                <c:pt idx="14">
                  <c:v>24</c:v>
                </c:pt>
              </c:numCache>
            </c:numRef>
          </c:val>
          <c:extLst>
            <c:ext xmlns:c16="http://schemas.microsoft.com/office/drawing/2014/chart" uri="{C3380CC4-5D6E-409C-BE32-E72D297353CC}">
              <c16:uniqueId val="{00000000-37C0-47AE-B6D4-AA07FFCC3AAB}"/>
            </c:ext>
          </c:extLst>
        </c:ser>
        <c:dLbls>
          <c:showLegendKey val="0"/>
          <c:showVal val="0"/>
          <c:showCatName val="0"/>
          <c:showSerName val="0"/>
          <c:showPercent val="0"/>
          <c:showBubbleSize val="0"/>
        </c:dLbls>
        <c:gapWidth val="182"/>
        <c:axId val="132697535"/>
        <c:axId val="132698015"/>
      </c:barChart>
      <c:catAx>
        <c:axId val="1326975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98015"/>
        <c:crosses val="autoZero"/>
        <c:auto val="1"/>
        <c:lblAlgn val="ctr"/>
        <c:lblOffset val="100"/>
        <c:noMultiLvlLbl val="0"/>
      </c:catAx>
      <c:valAx>
        <c:axId val="132698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Patients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9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Wait Time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Analysis!$F$44</c:f>
              <c:strCache>
                <c:ptCount val="1"/>
                <c:pt idx="0">
                  <c:v>Total</c:v>
                </c:pt>
              </c:strCache>
            </c:strRef>
          </c:tx>
          <c:spPr>
            <a:ln w="28575" cap="rnd">
              <a:solidFill>
                <a:schemeClr val="accent1"/>
              </a:solidFill>
              <a:round/>
            </a:ln>
            <a:effectLst/>
          </c:spPr>
          <c:marker>
            <c:symbol val="none"/>
          </c:marker>
          <c:cat>
            <c:strRef>
              <c:f>Analysis!$E$45:$E$53</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Analysis!$F$45:$F$53</c:f>
              <c:numCache>
                <c:formatCode>h:mm</c:formatCode>
                <c:ptCount val="8"/>
                <c:pt idx="0">
                  <c:v>6.4953703703703694E-2</c:v>
                </c:pt>
                <c:pt idx="1">
                  <c:v>6.8819444444444461E-2</c:v>
                </c:pt>
                <c:pt idx="2">
                  <c:v>6.3175675675675669E-2</c:v>
                </c:pt>
                <c:pt idx="3">
                  <c:v>6.5312500000000009E-2</c:v>
                </c:pt>
                <c:pt idx="4">
                  <c:v>6.703811369509044E-2</c:v>
                </c:pt>
                <c:pt idx="5">
                  <c:v>6.5010683760683752E-2</c:v>
                </c:pt>
                <c:pt idx="6">
                  <c:v>6.2808641975308652E-2</c:v>
                </c:pt>
                <c:pt idx="7">
                  <c:v>6.5315315315315328E-2</c:v>
                </c:pt>
              </c:numCache>
            </c:numRef>
          </c:val>
          <c:smooth val="0"/>
          <c:extLst>
            <c:ext xmlns:c16="http://schemas.microsoft.com/office/drawing/2014/chart" uri="{C3380CC4-5D6E-409C-BE32-E72D297353CC}">
              <c16:uniqueId val="{00000000-AC60-4E0F-BE5E-B85AF001E447}"/>
            </c:ext>
          </c:extLst>
        </c:ser>
        <c:dLbls>
          <c:showLegendKey val="0"/>
          <c:showVal val="0"/>
          <c:showCatName val="0"/>
          <c:showSerName val="0"/>
          <c:showPercent val="0"/>
          <c:showBubbleSize val="0"/>
        </c:dLbls>
        <c:smooth val="0"/>
        <c:axId val="132704255"/>
        <c:axId val="132706175"/>
      </c:lineChart>
      <c:catAx>
        <c:axId val="132704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6175"/>
        <c:crosses val="autoZero"/>
        <c:auto val="1"/>
        <c:lblAlgn val="ctr"/>
        <c:lblOffset val="100"/>
        <c:noMultiLvlLbl val="0"/>
      </c:catAx>
      <c:valAx>
        <c:axId val="13270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Wait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Wait Time per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Analysis!$F$59</c:f>
              <c:strCache>
                <c:ptCount val="1"/>
                <c:pt idx="0">
                  <c:v>Total</c:v>
                </c:pt>
              </c:strCache>
            </c:strRef>
          </c:tx>
          <c:spPr>
            <a:ln w="28575" cap="rnd">
              <a:solidFill>
                <a:schemeClr val="accent1"/>
              </a:solidFill>
              <a:round/>
            </a:ln>
            <a:effectLst/>
          </c:spPr>
          <c:marker>
            <c:symbol val="none"/>
          </c:marker>
          <c:cat>
            <c:strRef>
              <c:f>Analysis!$E$60:$E$75</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Analysis!$F$60:$F$75</c:f>
              <c:numCache>
                <c:formatCode>h:mm</c:formatCode>
                <c:ptCount val="15"/>
                <c:pt idx="0">
                  <c:v>6.1180555555555571E-2</c:v>
                </c:pt>
                <c:pt idx="1">
                  <c:v>7.240497076023393E-2</c:v>
                </c:pt>
                <c:pt idx="2">
                  <c:v>6.2388888888888897E-2</c:v>
                </c:pt>
                <c:pt idx="3">
                  <c:v>6.8803418803418795E-2</c:v>
                </c:pt>
                <c:pt idx="4">
                  <c:v>5.4059829059829055E-2</c:v>
                </c:pt>
                <c:pt idx="5">
                  <c:v>7.005208333333332E-2</c:v>
                </c:pt>
                <c:pt idx="6">
                  <c:v>6.7361111111111108E-2</c:v>
                </c:pt>
                <c:pt idx="7">
                  <c:v>7.3981481481481481E-2</c:v>
                </c:pt>
                <c:pt idx="8">
                  <c:v>6.0503472222222229E-2</c:v>
                </c:pt>
                <c:pt idx="9">
                  <c:v>6.2784090909090914E-2</c:v>
                </c:pt>
                <c:pt idx="10">
                  <c:v>6.1319444444444447E-2</c:v>
                </c:pt>
                <c:pt idx="11">
                  <c:v>6.3274572649572661E-2</c:v>
                </c:pt>
                <c:pt idx="12">
                  <c:v>8.0054012345679021E-2</c:v>
                </c:pt>
                <c:pt idx="13">
                  <c:v>6.4496527777777771E-2</c:v>
                </c:pt>
                <c:pt idx="14">
                  <c:v>6.5856481481481474E-2</c:v>
                </c:pt>
              </c:numCache>
            </c:numRef>
          </c:val>
          <c:smooth val="0"/>
          <c:extLst>
            <c:ext xmlns:c16="http://schemas.microsoft.com/office/drawing/2014/chart" uri="{C3380CC4-5D6E-409C-BE32-E72D297353CC}">
              <c16:uniqueId val="{00000000-F8B7-4BB7-9096-EAEE5385B3F0}"/>
            </c:ext>
          </c:extLst>
        </c:ser>
        <c:dLbls>
          <c:showLegendKey val="0"/>
          <c:showVal val="0"/>
          <c:showCatName val="0"/>
          <c:showSerName val="0"/>
          <c:showPercent val="0"/>
          <c:showBubbleSize val="0"/>
        </c:dLbls>
        <c:smooth val="0"/>
        <c:axId val="132586655"/>
        <c:axId val="132579455"/>
      </c:lineChart>
      <c:catAx>
        <c:axId val="132586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9455"/>
        <c:crosses val="autoZero"/>
        <c:auto val="1"/>
        <c:lblAlgn val="ctr"/>
        <c:lblOffset val="100"/>
        <c:noMultiLvlLbl val="0"/>
      </c:catAx>
      <c:valAx>
        <c:axId val="132579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Wait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mm"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Mismatch by Treatment Type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Analysis!$C$90:$C$91</c:f>
              <c:strCache>
                <c:ptCount val="1"/>
                <c:pt idx="0">
                  <c:v>Maternity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3F-4E13-A70D-DF03828E0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F-4E13-A70D-DF03828E08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F-4E13-A70D-DF03828E0839}"/>
              </c:ext>
            </c:extLst>
          </c:dPt>
          <c:cat>
            <c:strRef>
              <c:f>Analysis!$B$92:$B$93</c:f>
              <c:strCache>
                <c:ptCount val="1"/>
                <c:pt idx="0">
                  <c:v>Female</c:v>
                </c:pt>
              </c:strCache>
            </c:strRef>
          </c:cat>
          <c:val>
            <c:numRef>
              <c:f>Analysis!$C$92:$C$93</c:f>
              <c:numCache>
                <c:formatCode>General</c:formatCode>
                <c:ptCount val="1"/>
                <c:pt idx="0">
                  <c:v>37</c:v>
                </c:pt>
              </c:numCache>
            </c:numRef>
          </c:val>
          <c:extLst>
            <c:ext xmlns:c16="http://schemas.microsoft.com/office/drawing/2014/chart" uri="{C3380CC4-5D6E-409C-BE32-E72D297353CC}">
              <c16:uniqueId val="{00000006-F73F-4E13-A70D-DF03828E08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count per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Analysis!$C$37</c:f>
              <c:strCache>
                <c:ptCount val="1"/>
                <c:pt idx="0">
                  <c:v>Total</c:v>
                </c:pt>
              </c:strCache>
            </c:strRef>
          </c:tx>
          <c:spPr>
            <a:solidFill>
              <a:schemeClr val="accent1"/>
            </a:solidFill>
            <a:ln>
              <a:noFill/>
            </a:ln>
            <a:effectLst/>
          </c:spPr>
          <c:invertIfNegative val="0"/>
          <c:cat>
            <c:strRef>
              <c:f>Analysis!$B$38:$B$43</c:f>
              <c:strCache>
                <c:ptCount val="5"/>
                <c:pt idx="0">
                  <c:v>1-18</c:v>
                </c:pt>
                <c:pt idx="1">
                  <c:v>19-36</c:v>
                </c:pt>
                <c:pt idx="2">
                  <c:v>37-54</c:v>
                </c:pt>
                <c:pt idx="3">
                  <c:v>55-72</c:v>
                </c:pt>
                <c:pt idx="4">
                  <c:v>73-90</c:v>
                </c:pt>
              </c:strCache>
            </c:strRef>
          </c:cat>
          <c:val>
            <c:numRef>
              <c:f>Analysis!$C$38:$C$43</c:f>
              <c:numCache>
                <c:formatCode>General</c:formatCode>
                <c:ptCount val="5"/>
                <c:pt idx="0">
                  <c:v>67</c:v>
                </c:pt>
                <c:pt idx="1">
                  <c:v>63</c:v>
                </c:pt>
                <c:pt idx="2">
                  <c:v>64</c:v>
                </c:pt>
                <c:pt idx="3">
                  <c:v>61</c:v>
                </c:pt>
                <c:pt idx="4">
                  <c:v>62</c:v>
                </c:pt>
              </c:numCache>
            </c:numRef>
          </c:val>
          <c:extLst>
            <c:ext xmlns:c16="http://schemas.microsoft.com/office/drawing/2014/chart" uri="{C3380CC4-5D6E-409C-BE32-E72D297353CC}">
              <c16:uniqueId val="{00000000-24F5-4AFA-8B0F-E766E3C0D0B2}"/>
            </c:ext>
          </c:extLst>
        </c:ser>
        <c:dLbls>
          <c:showLegendKey val="0"/>
          <c:showVal val="0"/>
          <c:showCatName val="0"/>
          <c:showSerName val="0"/>
          <c:showPercent val="0"/>
          <c:showBubbleSize val="0"/>
        </c:dLbls>
        <c:gapWidth val="182"/>
        <c:axId val="22152544"/>
        <c:axId val="22154944"/>
      </c:barChart>
      <c:catAx>
        <c:axId val="221525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4944"/>
        <c:crosses val="autoZero"/>
        <c:auto val="1"/>
        <c:lblAlgn val="ctr"/>
        <c:lblOffset val="100"/>
        <c:noMultiLvlLbl val="0"/>
      </c:catAx>
      <c:valAx>
        <c:axId val="2215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Patient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Patient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Analysis!$C$4</c:f>
              <c:strCache>
                <c:ptCount val="1"/>
                <c:pt idx="0">
                  <c:v>Total</c:v>
                </c:pt>
              </c:strCache>
            </c:strRef>
          </c:tx>
          <c:spPr>
            <a:solidFill>
              <a:schemeClr val="accent1"/>
            </a:solidFill>
            <a:ln>
              <a:noFill/>
            </a:ln>
            <a:effectLst/>
          </c:spPr>
          <c:invertIfNegative val="0"/>
          <c:cat>
            <c:strRef>
              <c:f>Analysis!$B$5:$B$13</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Analysis!$C$5:$C$13</c:f>
              <c:numCache>
                <c:formatCode>General</c:formatCode>
                <c:ptCount val="8"/>
                <c:pt idx="0">
                  <c:v>45</c:v>
                </c:pt>
                <c:pt idx="1">
                  <c:v>40</c:v>
                </c:pt>
                <c:pt idx="2">
                  <c:v>37</c:v>
                </c:pt>
                <c:pt idx="3">
                  <c:v>40</c:v>
                </c:pt>
                <c:pt idx="4">
                  <c:v>43</c:v>
                </c:pt>
                <c:pt idx="5">
                  <c:v>39</c:v>
                </c:pt>
                <c:pt idx="6">
                  <c:v>36</c:v>
                </c:pt>
                <c:pt idx="7">
                  <c:v>37</c:v>
                </c:pt>
              </c:numCache>
            </c:numRef>
          </c:val>
          <c:extLst>
            <c:ext xmlns:c16="http://schemas.microsoft.com/office/drawing/2014/chart" uri="{C3380CC4-5D6E-409C-BE32-E72D297353CC}">
              <c16:uniqueId val="{00000000-59AE-4383-8523-6633E4332262}"/>
            </c:ext>
          </c:extLst>
        </c:ser>
        <c:dLbls>
          <c:showLegendKey val="0"/>
          <c:showVal val="0"/>
          <c:showCatName val="0"/>
          <c:showSerName val="0"/>
          <c:showPercent val="0"/>
          <c:showBubbleSize val="0"/>
        </c:dLbls>
        <c:gapWidth val="219"/>
        <c:overlap val="-27"/>
        <c:axId val="132611135"/>
        <c:axId val="132612095"/>
      </c:barChart>
      <c:catAx>
        <c:axId val="132611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2095"/>
        <c:crosses val="autoZero"/>
        <c:auto val="1"/>
        <c:lblAlgn val="ctr"/>
        <c:lblOffset val="100"/>
        <c:noMultiLvlLbl val="0"/>
      </c:catAx>
      <c:valAx>
        <c:axId val="1326120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Patients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Patient per Treatment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Analysis!$C$17</c:f>
              <c:strCache>
                <c:ptCount val="1"/>
                <c:pt idx="0">
                  <c:v>Total</c:v>
                </c:pt>
              </c:strCache>
            </c:strRef>
          </c:tx>
          <c:spPr>
            <a:solidFill>
              <a:schemeClr val="accent1"/>
            </a:solidFill>
            <a:ln>
              <a:noFill/>
            </a:ln>
            <a:effectLst/>
          </c:spPr>
          <c:invertIfNegative val="0"/>
          <c:cat>
            <c:strRef>
              <c:f>Analysis!$B$18:$B$24</c:f>
              <c:strCache>
                <c:ptCount val="6"/>
                <c:pt idx="0">
                  <c:v>Diagnostics</c:v>
                </c:pt>
                <c:pt idx="1">
                  <c:v>Emergency Care</c:v>
                </c:pt>
                <c:pt idx="2">
                  <c:v>Maternity</c:v>
                </c:pt>
                <c:pt idx="3">
                  <c:v>Routine Checkup</c:v>
                </c:pt>
                <c:pt idx="4">
                  <c:v>Surgery</c:v>
                </c:pt>
                <c:pt idx="5">
                  <c:v>Therapy</c:v>
                </c:pt>
              </c:strCache>
            </c:strRef>
          </c:cat>
          <c:val>
            <c:numRef>
              <c:f>Analysis!$C$18:$C$24</c:f>
              <c:numCache>
                <c:formatCode>General</c:formatCode>
                <c:ptCount val="6"/>
                <c:pt idx="0">
                  <c:v>62</c:v>
                </c:pt>
                <c:pt idx="1">
                  <c:v>49</c:v>
                </c:pt>
                <c:pt idx="2">
                  <c:v>37</c:v>
                </c:pt>
                <c:pt idx="3">
                  <c:v>61</c:v>
                </c:pt>
                <c:pt idx="4">
                  <c:v>57</c:v>
                </c:pt>
                <c:pt idx="5">
                  <c:v>51</c:v>
                </c:pt>
              </c:numCache>
            </c:numRef>
          </c:val>
          <c:extLst>
            <c:ext xmlns:c16="http://schemas.microsoft.com/office/drawing/2014/chart" uri="{C3380CC4-5D6E-409C-BE32-E72D297353CC}">
              <c16:uniqueId val="{00000000-6915-4A26-A41D-5D7EB647C66E}"/>
            </c:ext>
          </c:extLst>
        </c:ser>
        <c:dLbls>
          <c:showLegendKey val="0"/>
          <c:showVal val="0"/>
          <c:showCatName val="0"/>
          <c:showSerName val="0"/>
          <c:showPercent val="0"/>
          <c:showBubbleSize val="0"/>
        </c:dLbls>
        <c:gapWidth val="219"/>
        <c:overlap val="-27"/>
        <c:axId val="132636095"/>
        <c:axId val="132645215"/>
      </c:barChart>
      <c:catAx>
        <c:axId val="132636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5215"/>
        <c:crosses val="autoZero"/>
        <c:auto val="1"/>
        <c:lblAlgn val="ctr"/>
        <c:lblOffset val="100"/>
        <c:noMultiLvlLbl val="0"/>
      </c:catAx>
      <c:valAx>
        <c:axId val="132645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a:t>
                </a:r>
                <a:r>
                  <a:rPr lang="en-US" baseline="0"/>
                  <a:t> Patients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3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Count by Insurance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Analysis!$C$28</c:f>
              <c:strCache>
                <c:ptCount val="1"/>
                <c:pt idx="0">
                  <c:v>Total</c:v>
                </c:pt>
              </c:strCache>
            </c:strRef>
          </c:tx>
          <c:spPr>
            <a:solidFill>
              <a:schemeClr val="accent1"/>
            </a:solidFill>
            <a:ln>
              <a:noFill/>
            </a:ln>
            <a:effectLst/>
          </c:spPr>
          <c:invertIfNegative val="0"/>
          <c:cat>
            <c:strRef>
              <c:f>Analysis!$B$29:$B$33</c:f>
              <c:strCache>
                <c:ptCount val="4"/>
                <c:pt idx="0">
                  <c:v>Medicaid</c:v>
                </c:pt>
                <c:pt idx="1">
                  <c:v>Medicare</c:v>
                </c:pt>
                <c:pt idx="2">
                  <c:v>Private</c:v>
                </c:pt>
                <c:pt idx="3">
                  <c:v>Uninsured</c:v>
                </c:pt>
              </c:strCache>
            </c:strRef>
          </c:cat>
          <c:val>
            <c:numRef>
              <c:f>Analysis!$C$29:$C$33</c:f>
              <c:numCache>
                <c:formatCode>General</c:formatCode>
                <c:ptCount val="4"/>
                <c:pt idx="0">
                  <c:v>72</c:v>
                </c:pt>
                <c:pt idx="1">
                  <c:v>79</c:v>
                </c:pt>
                <c:pt idx="2">
                  <c:v>82</c:v>
                </c:pt>
                <c:pt idx="3">
                  <c:v>84</c:v>
                </c:pt>
              </c:numCache>
            </c:numRef>
          </c:val>
          <c:extLst>
            <c:ext xmlns:c16="http://schemas.microsoft.com/office/drawing/2014/chart" uri="{C3380CC4-5D6E-409C-BE32-E72D297353CC}">
              <c16:uniqueId val="{00000000-AFA8-4F7E-A939-4D9797BFDA08}"/>
            </c:ext>
          </c:extLst>
        </c:ser>
        <c:dLbls>
          <c:showLegendKey val="0"/>
          <c:showVal val="0"/>
          <c:showCatName val="0"/>
          <c:showSerName val="0"/>
          <c:showPercent val="0"/>
          <c:showBubbleSize val="0"/>
        </c:dLbls>
        <c:gapWidth val="182"/>
        <c:axId val="132660575"/>
        <c:axId val="132644735"/>
      </c:barChart>
      <c:catAx>
        <c:axId val="1326605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Insurance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4735"/>
        <c:crosses val="autoZero"/>
        <c:auto val="1"/>
        <c:lblAlgn val="ctr"/>
        <c:lblOffset val="100"/>
        <c:noMultiLvlLbl val="0"/>
      </c:catAx>
      <c:valAx>
        <c:axId val="132644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Numbert</a:t>
                </a:r>
                <a:r>
                  <a:rPr lang="en-US" baseline="0"/>
                  <a:t> of Patients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Margin by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Analysis!$C$70</c:f>
              <c:strCache>
                <c:ptCount val="1"/>
                <c:pt idx="0">
                  <c:v>Total</c:v>
                </c:pt>
              </c:strCache>
            </c:strRef>
          </c:tx>
          <c:spPr>
            <a:solidFill>
              <a:schemeClr val="accent1"/>
            </a:solidFill>
            <a:ln>
              <a:noFill/>
            </a:ln>
            <a:effectLst/>
          </c:spPr>
          <c:invertIfNegative val="0"/>
          <c:cat>
            <c:strRef>
              <c:f>Analysis!$B$71:$B$86</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Analysis!$C$71:$C$86</c:f>
              <c:numCache>
                <c:formatCode>0.00%</c:formatCode>
                <c:ptCount val="15"/>
                <c:pt idx="0">
                  <c:v>0.58336677547423299</c:v>
                </c:pt>
                <c:pt idx="1">
                  <c:v>0.64946081879977258</c:v>
                </c:pt>
                <c:pt idx="2">
                  <c:v>0.68995291866069663</c:v>
                </c:pt>
                <c:pt idx="3">
                  <c:v>0.65638121945294492</c:v>
                </c:pt>
                <c:pt idx="4">
                  <c:v>0.50607179712699557</c:v>
                </c:pt>
                <c:pt idx="5">
                  <c:v>0.71803940059315563</c:v>
                </c:pt>
                <c:pt idx="6">
                  <c:v>0.45599687297828806</c:v>
                </c:pt>
                <c:pt idx="7">
                  <c:v>0.54825190584161232</c:v>
                </c:pt>
                <c:pt idx="8">
                  <c:v>0.79892818233967156</c:v>
                </c:pt>
                <c:pt idx="9">
                  <c:v>0.70786981458273923</c:v>
                </c:pt>
                <c:pt idx="10">
                  <c:v>0.63882728017976853</c:v>
                </c:pt>
                <c:pt idx="11">
                  <c:v>0.59775628413534876</c:v>
                </c:pt>
                <c:pt idx="12">
                  <c:v>0.77955022257842588</c:v>
                </c:pt>
                <c:pt idx="13">
                  <c:v>0.5840997840147063</c:v>
                </c:pt>
                <c:pt idx="14">
                  <c:v>0.49195492511732697</c:v>
                </c:pt>
              </c:numCache>
            </c:numRef>
          </c:val>
          <c:extLst>
            <c:ext xmlns:c16="http://schemas.microsoft.com/office/drawing/2014/chart" uri="{C3380CC4-5D6E-409C-BE32-E72D297353CC}">
              <c16:uniqueId val="{00000000-7712-4466-B78E-ED01AA75CA3A}"/>
            </c:ext>
          </c:extLst>
        </c:ser>
        <c:dLbls>
          <c:showLegendKey val="0"/>
          <c:showVal val="0"/>
          <c:showCatName val="0"/>
          <c:showSerName val="0"/>
          <c:showPercent val="0"/>
          <c:showBubbleSize val="0"/>
        </c:dLbls>
        <c:gapWidth val="219"/>
        <c:overlap val="-27"/>
        <c:axId val="132681695"/>
        <c:axId val="132683615"/>
      </c:barChart>
      <c:catAx>
        <c:axId val="132681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3615"/>
        <c:crosses val="autoZero"/>
        <c:auto val="1"/>
        <c:lblAlgn val="ctr"/>
        <c:lblOffset val="100"/>
        <c:noMultiLvlLbl val="0"/>
      </c:catAx>
      <c:valAx>
        <c:axId val="13268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Margin by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Analysis!$C$70</c:f>
              <c:strCache>
                <c:ptCount val="1"/>
                <c:pt idx="0">
                  <c:v>Total</c:v>
                </c:pt>
              </c:strCache>
            </c:strRef>
          </c:tx>
          <c:spPr>
            <a:solidFill>
              <a:schemeClr val="accent1"/>
            </a:solidFill>
            <a:ln>
              <a:noFill/>
            </a:ln>
            <a:effectLst/>
          </c:spPr>
          <c:invertIfNegative val="0"/>
          <c:cat>
            <c:strRef>
              <c:f>Analysis!$B$71:$B$86</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Analysis!$C$71:$C$86</c:f>
              <c:numCache>
                <c:formatCode>0.00%</c:formatCode>
                <c:ptCount val="15"/>
                <c:pt idx="0">
                  <c:v>0.58336677547423299</c:v>
                </c:pt>
                <c:pt idx="1">
                  <c:v>0.64946081879977258</c:v>
                </c:pt>
                <c:pt idx="2">
                  <c:v>0.68995291866069663</c:v>
                </c:pt>
                <c:pt idx="3">
                  <c:v>0.65638121945294492</c:v>
                </c:pt>
                <c:pt idx="4">
                  <c:v>0.50607179712699557</c:v>
                </c:pt>
                <c:pt idx="5">
                  <c:v>0.71803940059315563</c:v>
                </c:pt>
                <c:pt idx="6">
                  <c:v>0.45599687297828806</c:v>
                </c:pt>
                <c:pt idx="7">
                  <c:v>0.54825190584161232</c:v>
                </c:pt>
                <c:pt idx="8">
                  <c:v>0.79892818233967156</c:v>
                </c:pt>
                <c:pt idx="9">
                  <c:v>0.70786981458273923</c:v>
                </c:pt>
                <c:pt idx="10">
                  <c:v>0.63882728017976853</c:v>
                </c:pt>
                <c:pt idx="11">
                  <c:v>0.59775628413534876</c:v>
                </c:pt>
                <c:pt idx="12">
                  <c:v>0.77955022257842588</c:v>
                </c:pt>
                <c:pt idx="13">
                  <c:v>0.5840997840147063</c:v>
                </c:pt>
                <c:pt idx="14">
                  <c:v>0.49195492511732697</c:v>
                </c:pt>
              </c:numCache>
            </c:numRef>
          </c:val>
          <c:extLst>
            <c:ext xmlns:c16="http://schemas.microsoft.com/office/drawing/2014/chart" uri="{C3380CC4-5D6E-409C-BE32-E72D297353CC}">
              <c16:uniqueId val="{00000000-D0D4-427C-9263-52A1ECCA0437}"/>
            </c:ext>
          </c:extLst>
        </c:ser>
        <c:dLbls>
          <c:showLegendKey val="0"/>
          <c:showVal val="0"/>
          <c:showCatName val="0"/>
          <c:showSerName val="0"/>
          <c:showPercent val="0"/>
          <c:showBubbleSize val="0"/>
        </c:dLbls>
        <c:gapWidth val="219"/>
        <c:overlap val="-27"/>
        <c:axId val="132681695"/>
        <c:axId val="132683615"/>
      </c:barChart>
      <c:catAx>
        <c:axId val="132681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3615"/>
        <c:crosses val="autoZero"/>
        <c:auto val="1"/>
        <c:lblAlgn val="ctr"/>
        <c:lblOffset val="100"/>
        <c:noMultiLvlLbl val="0"/>
      </c:catAx>
      <c:valAx>
        <c:axId val="13268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8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[Group3_MediCare_Performance_Week5.xlsx]Analysis!PivotTable30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Wait Time per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Analysis!$F$44</c:f>
              <c:strCache>
                <c:ptCount val="1"/>
                <c:pt idx="0">
                  <c:v>Total</c:v>
                </c:pt>
              </c:strCache>
            </c:strRef>
          </c:tx>
          <c:spPr>
            <a:ln w="28575" cap="rnd">
              <a:solidFill>
                <a:schemeClr val="accent1"/>
              </a:solidFill>
              <a:round/>
            </a:ln>
            <a:effectLst/>
          </c:spPr>
          <c:marker>
            <c:symbol val="none"/>
          </c:marker>
          <c:cat>
            <c:strRef>
              <c:f>Analysis!$E$45:$E$53</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Analysis!$F$45:$F$53</c:f>
              <c:numCache>
                <c:formatCode>h:mm</c:formatCode>
                <c:ptCount val="8"/>
                <c:pt idx="0">
                  <c:v>6.4953703703703694E-2</c:v>
                </c:pt>
                <c:pt idx="1">
                  <c:v>6.8819444444444461E-2</c:v>
                </c:pt>
                <c:pt idx="2">
                  <c:v>6.3175675675675669E-2</c:v>
                </c:pt>
                <c:pt idx="3">
                  <c:v>6.5312500000000009E-2</c:v>
                </c:pt>
                <c:pt idx="4">
                  <c:v>6.703811369509044E-2</c:v>
                </c:pt>
                <c:pt idx="5">
                  <c:v>6.5010683760683752E-2</c:v>
                </c:pt>
                <c:pt idx="6">
                  <c:v>6.2808641975308652E-2</c:v>
                </c:pt>
                <c:pt idx="7">
                  <c:v>6.5315315315315328E-2</c:v>
                </c:pt>
              </c:numCache>
            </c:numRef>
          </c:val>
          <c:smooth val="0"/>
          <c:extLst>
            <c:ext xmlns:c16="http://schemas.microsoft.com/office/drawing/2014/chart" uri="{C3380CC4-5D6E-409C-BE32-E72D297353CC}">
              <c16:uniqueId val="{00000000-22E4-4581-9565-0342798064EC}"/>
            </c:ext>
          </c:extLst>
        </c:ser>
        <c:dLbls>
          <c:showLegendKey val="0"/>
          <c:showVal val="0"/>
          <c:showCatName val="0"/>
          <c:showSerName val="0"/>
          <c:showPercent val="0"/>
          <c:showBubbleSize val="0"/>
        </c:dLbls>
        <c:smooth val="0"/>
        <c:axId val="132704255"/>
        <c:axId val="132706175"/>
      </c:lineChart>
      <c:catAx>
        <c:axId val="132704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6175"/>
        <c:crosses val="autoZero"/>
        <c:auto val="1"/>
        <c:lblAlgn val="ctr"/>
        <c:lblOffset val="100"/>
        <c:noMultiLvlLbl val="0"/>
      </c:catAx>
      <c:valAx>
        <c:axId val="13270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Wait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Wait Time per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Analysis!$F$59</c:f>
              <c:strCache>
                <c:ptCount val="1"/>
                <c:pt idx="0">
                  <c:v>Total</c:v>
                </c:pt>
              </c:strCache>
            </c:strRef>
          </c:tx>
          <c:spPr>
            <a:ln w="28575" cap="rnd">
              <a:solidFill>
                <a:schemeClr val="accent1"/>
              </a:solidFill>
              <a:round/>
            </a:ln>
            <a:effectLst/>
          </c:spPr>
          <c:marker>
            <c:symbol val="none"/>
          </c:marker>
          <c:cat>
            <c:strRef>
              <c:f>Analysis!$E$60:$E$75</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Analysis!$F$60:$F$75</c:f>
              <c:numCache>
                <c:formatCode>h:mm</c:formatCode>
                <c:ptCount val="15"/>
                <c:pt idx="0">
                  <c:v>6.1180555555555571E-2</c:v>
                </c:pt>
                <c:pt idx="1">
                  <c:v>7.240497076023393E-2</c:v>
                </c:pt>
                <c:pt idx="2">
                  <c:v>6.2388888888888897E-2</c:v>
                </c:pt>
                <c:pt idx="3">
                  <c:v>6.8803418803418795E-2</c:v>
                </c:pt>
                <c:pt idx="4">
                  <c:v>5.4059829059829055E-2</c:v>
                </c:pt>
                <c:pt idx="5">
                  <c:v>7.005208333333332E-2</c:v>
                </c:pt>
                <c:pt idx="6">
                  <c:v>6.7361111111111108E-2</c:v>
                </c:pt>
                <c:pt idx="7">
                  <c:v>7.3981481481481481E-2</c:v>
                </c:pt>
                <c:pt idx="8">
                  <c:v>6.0503472222222229E-2</c:v>
                </c:pt>
                <c:pt idx="9">
                  <c:v>6.2784090909090914E-2</c:v>
                </c:pt>
                <c:pt idx="10">
                  <c:v>6.1319444444444447E-2</c:v>
                </c:pt>
                <c:pt idx="11">
                  <c:v>6.3274572649572661E-2</c:v>
                </c:pt>
                <c:pt idx="12">
                  <c:v>8.0054012345679021E-2</c:v>
                </c:pt>
                <c:pt idx="13">
                  <c:v>6.4496527777777771E-2</c:v>
                </c:pt>
                <c:pt idx="14">
                  <c:v>6.5856481481481474E-2</c:v>
                </c:pt>
              </c:numCache>
            </c:numRef>
          </c:val>
          <c:smooth val="0"/>
          <c:extLst>
            <c:ext xmlns:c16="http://schemas.microsoft.com/office/drawing/2014/chart" uri="{C3380CC4-5D6E-409C-BE32-E72D297353CC}">
              <c16:uniqueId val="{00000000-405B-43C7-9105-A41CD212A20A}"/>
            </c:ext>
          </c:extLst>
        </c:ser>
        <c:dLbls>
          <c:showLegendKey val="0"/>
          <c:showVal val="0"/>
          <c:showCatName val="0"/>
          <c:showSerName val="0"/>
          <c:showPercent val="0"/>
          <c:showBubbleSize val="0"/>
        </c:dLbls>
        <c:smooth val="0"/>
        <c:axId val="132586655"/>
        <c:axId val="132579455"/>
      </c:lineChart>
      <c:catAx>
        <c:axId val="132586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79455"/>
        <c:crosses val="autoZero"/>
        <c:auto val="1"/>
        <c:lblAlgn val="ctr"/>
        <c:lblOffset val="100"/>
        <c:noMultiLvlLbl val="0"/>
      </c:catAx>
      <c:valAx>
        <c:axId val="132579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Wait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h:mm"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[Group3_MediCare_Performance_Week5.xlsx]Analysis!PivotTable28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Treated per Doctor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Analysis!$F$4</c:f>
              <c:strCache>
                <c:ptCount val="1"/>
                <c:pt idx="0">
                  <c:v>Total</c:v>
                </c:pt>
              </c:strCache>
            </c:strRef>
          </c:tx>
          <c:spPr>
            <a:solidFill>
              <a:schemeClr val="accent1"/>
            </a:solidFill>
            <a:ln>
              <a:noFill/>
            </a:ln>
            <a:effectLst/>
          </c:spPr>
          <c:invertIfNegative val="0"/>
          <c:cat>
            <c:strRef>
              <c:f>Analysis!$E$5:$E$20</c:f>
              <c:strCache>
                <c:ptCount val="15"/>
                <c:pt idx="0">
                  <c:v>Dr. Abigail Foster</c:v>
                </c:pt>
                <c:pt idx="1">
                  <c:v>Dr. Benjamin Scott</c:v>
                </c:pt>
                <c:pt idx="2">
                  <c:v>Dr. Daniel Morris</c:v>
                </c:pt>
                <c:pt idx="3">
                  <c:v>Dr. Emily Cooper</c:v>
                </c:pt>
                <c:pt idx="4">
                  <c:v>Dr. Emma Roberts</c:v>
                </c:pt>
                <c:pt idx="5">
                  <c:v>Dr. Ethan Wright</c:v>
                </c:pt>
                <c:pt idx="6">
                  <c:v>Dr. Henry Adams</c:v>
                </c:pt>
                <c:pt idx="7">
                  <c:v>Dr. James Anderson</c:v>
                </c:pt>
                <c:pt idx="8">
                  <c:v>Dr. Lisa Carter</c:v>
                </c:pt>
                <c:pt idx="9">
                  <c:v>Dr. Michael Johnson</c:v>
                </c:pt>
                <c:pt idx="10">
                  <c:v>Dr. Nathan Turner</c:v>
                </c:pt>
                <c:pt idx="11">
                  <c:v>Dr. Olivia Clark</c:v>
                </c:pt>
                <c:pt idx="12">
                  <c:v>Dr. Robert Mitchell</c:v>
                </c:pt>
                <c:pt idx="13">
                  <c:v>Dr. Sophia Bennett</c:v>
                </c:pt>
                <c:pt idx="14">
                  <c:v>Dr. William Harris</c:v>
                </c:pt>
              </c:strCache>
            </c:strRef>
          </c:cat>
          <c:val>
            <c:numRef>
              <c:f>Analysis!$F$5:$F$20</c:f>
              <c:numCache>
                <c:formatCode>General</c:formatCode>
                <c:ptCount val="15"/>
                <c:pt idx="0">
                  <c:v>20</c:v>
                </c:pt>
                <c:pt idx="1">
                  <c:v>19</c:v>
                </c:pt>
                <c:pt idx="2">
                  <c:v>25</c:v>
                </c:pt>
                <c:pt idx="3">
                  <c:v>26</c:v>
                </c:pt>
                <c:pt idx="4">
                  <c:v>26</c:v>
                </c:pt>
                <c:pt idx="5">
                  <c:v>16</c:v>
                </c:pt>
                <c:pt idx="6">
                  <c:v>20</c:v>
                </c:pt>
                <c:pt idx="7">
                  <c:v>15</c:v>
                </c:pt>
                <c:pt idx="8">
                  <c:v>16</c:v>
                </c:pt>
                <c:pt idx="9">
                  <c:v>22</c:v>
                </c:pt>
                <c:pt idx="10">
                  <c:v>20</c:v>
                </c:pt>
                <c:pt idx="11">
                  <c:v>26</c:v>
                </c:pt>
                <c:pt idx="12">
                  <c:v>18</c:v>
                </c:pt>
                <c:pt idx="13">
                  <c:v>24</c:v>
                </c:pt>
                <c:pt idx="14">
                  <c:v>24</c:v>
                </c:pt>
              </c:numCache>
            </c:numRef>
          </c:val>
          <c:extLst>
            <c:ext xmlns:c16="http://schemas.microsoft.com/office/drawing/2014/chart" uri="{C3380CC4-5D6E-409C-BE32-E72D297353CC}">
              <c16:uniqueId val="{00000000-B648-42B4-863F-B451C60CFCC4}"/>
            </c:ext>
          </c:extLst>
        </c:ser>
        <c:dLbls>
          <c:showLegendKey val="0"/>
          <c:showVal val="0"/>
          <c:showCatName val="0"/>
          <c:showSerName val="0"/>
          <c:showPercent val="0"/>
          <c:showBubbleSize val="0"/>
        </c:dLbls>
        <c:gapWidth val="182"/>
        <c:axId val="132697535"/>
        <c:axId val="132698015"/>
      </c:barChart>
      <c:catAx>
        <c:axId val="1326975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Doctors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98015"/>
        <c:crosses val="autoZero"/>
        <c:auto val="1"/>
        <c:lblAlgn val="ctr"/>
        <c:lblOffset val="100"/>
        <c:noMultiLvlLbl val="0"/>
      </c:catAx>
      <c:valAx>
        <c:axId val="132698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Patients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9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[Group3_MediCare_Performance_Week5.xlsx]Analysis!PivotTable40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per Treatment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Analysis!$C$46</c:f>
              <c:strCache>
                <c:ptCount val="1"/>
                <c:pt idx="0">
                  <c:v>Total</c:v>
                </c:pt>
              </c:strCache>
            </c:strRef>
          </c:tx>
          <c:spPr>
            <a:solidFill>
              <a:schemeClr val="accent1"/>
            </a:solidFill>
            <a:ln>
              <a:noFill/>
            </a:ln>
            <a:effectLst/>
          </c:spPr>
          <c:invertIfNegative val="0"/>
          <c:cat>
            <c:strRef>
              <c:f>Analysis!$B$47:$B$55</c:f>
              <c:strCache>
                <c:ptCount val="8"/>
                <c:pt idx="0">
                  <c:v>Cardiology</c:v>
                </c:pt>
                <c:pt idx="1">
                  <c:v>Emergency</c:v>
                </c:pt>
                <c:pt idx="2">
                  <c:v>General Surgery</c:v>
                </c:pt>
                <c:pt idx="3">
                  <c:v>Neurology</c:v>
                </c:pt>
                <c:pt idx="4">
                  <c:v>Oncology</c:v>
                </c:pt>
                <c:pt idx="5">
                  <c:v>Orthopedics</c:v>
                </c:pt>
                <c:pt idx="6">
                  <c:v>Pediatrics</c:v>
                </c:pt>
                <c:pt idx="7">
                  <c:v>Radiology</c:v>
                </c:pt>
              </c:strCache>
            </c:strRef>
          </c:cat>
          <c:val>
            <c:numRef>
              <c:f>Analysis!$C$47:$C$55</c:f>
              <c:numCache>
                <c:formatCode>[$£-809]#,##0.00;\-[$£-809]#,##0.00</c:formatCode>
                <c:ptCount val="8"/>
                <c:pt idx="0">
                  <c:v>1263340</c:v>
                </c:pt>
                <c:pt idx="1">
                  <c:v>1063965</c:v>
                </c:pt>
                <c:pt idx="2">
                  <c:v>1027972</c:v>
                </c:pt>
                <c:pt idx="3">
                  <c:v>962972</c:v>
                </c:pt>
                <c:pt idx="4">
                  <c:v>1316093</c:v>
                </c:pt>
                <c:pt idx="5">
                  <c:v>1110111</c:v>
                </c:pt>
                <c:pt idx="6">
                  <c:v>708373</c:v>
                </c:pt>
                <c:pt idx="7">
                  <c:v>940355</c:v>
                </c:pt>
              </c:numCache>
            </c:numRef>
          </c:val>
          <c:extLst>
            <c:ext xmlns:c16="http://schemas.microsoft.com/office/drawing/2014/chart" uri="{C3380CC4-5D6E-409C-BE32-E72D297353CC}">
              <c16:uniqueId val="{00000000-27F3-49E6-A46B-A3AA98716F2A}"/>
            </c:ext>
          </c:extLst>
        </c:ser>
        <c:dLbls>
          <c:showLegendKey val="0"/>
          <c:showVal val="0"/>
          <c:showCatName val="0"/>
          <c:showSerName val="0"/>
          <c:showPercent val="0"/>
          <c:showBubbleSize val="0"/>
        </c:dLbls>
        <c:gapWidth val="219"/>
        <c:overlap val="-27"/>
        <c:axId val="132666815"/>
        <c:axId val="132667295"/>
      </c:barChart>
      <c:catAx>
        <c:axId val="132666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Treatment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7295"/>
        <c:crosses val="autoZero"/>
        <c:auto val="1"/>
        <c:lblAlgn val="ctr"/>
        <c:lblOffset val="100"/>
        <c:noMultiLvlLbl val="0"/>
      </c:catAx>
      <c:valAx>
        <c:axId val="1326672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809]#,##0.00;\-[$£-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[Group3_MediCare_Performance_Week5.xlsx]Analysis!PivotTable1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 count per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Analysis!$C$37</c:f>
              <c:strCache>
                <c:ptCount val="1"/>
                <c:pt idx="0">
                  <c:v>Total</c:v>
                </c:pt>
              </c:strCache>
            </c:strRef>
          </c:tx>
          <c:spPr>
            <a:solidFill>
              <a:schemeClr val="accent1"/>
            </a:solidFill>
            <a:ln>
              <a:noFill/>
            </a:ln>
            <a:effectLst/>
          </c:spPr>
          <c:invertIfNegative val="0"/>
          <c:cat>
            <c:strRef>
              <c:f>Analysis!$B$38:$B$43</c:f>
              <c:strCache>
                <c:ptCount val="5"/>
                <c:pt idx="0">
                  <c:v>1-18</c:v>
                </c:pt>
                <c:pt idx="1">
                  <c:v>19-36</c:v>
                </c:pt>
                <c:pt idx="2">
                  <c:v>37-54</c:v>
                </c:pt>
                <c:pt idx="3">
                  <c:v>55-72</c:v>
                </c:pt>
                <c:pt idx="4">
                  <c:v>73-90</c:v>
                </c:pt>
              </c:strCache>
            </c:strRef>
          </c:cat>
          <c:val>
            <c:numRef>
              <c:f>Analysis!$C$38:$C$43</c:f>
              <c:numCache>
                <c:formatCode>General</c:formatCode>
                <c:ptCount val="5"/>
                <c:pt idx="0">
                  <c:v>67</c:v>
                </c:pt>
                <c:pt idx="1">
                  <c:v>63</c:v>
                </c:pt>
                <c:pt idx="2">
                  <c:v>64</c:v>
                </c:pt>
                <c:pt idx="3">
                  <c:v>61</c:v>
                </c:pt>
                <c:pt idx="4">
                  <c:v>62</c:v>
                </c:pt>
              </c:numCache>
            </c:numRef>
          </c:val>
          <c:extLst>
            <c:ext xmlns:c16="http://schemas.microsoft.com/office/drawing/2014/chart" uri="{C3380CC4-5D6E-409C-BE32-E72D297353CC}">
              <c16:uniqueId val="{00000000-ACA3-4363-96E4-70F59E8FBE04}"/>
            </c:ext>
          </c:extLst>
        </c:ser>
        <c:dLbls>
          <c:showLegendKey val="0"/>
          <c:showVal val="0"/>
          <c:showCatName val="0"/>
          <c:showSerName val="0"/>
          <c:showPercent val="0"/>
          <c:showBubbleSize val="0"/>
        </c:dLbls>
        <c:gapWidth val="182"/>
        <c:axId val="22152544"/>
        <c:axId val="22154944"/>
      </c:barChart>
      <c:catAx>
        <c:axId val="221525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4944"/>
        <c:crosses val="autoZero"/>
        <c:auto val="1"/>
        <c:lblAlgn val="ctr"/>
        <c:lblOffset val="100"/>
        <c:noMultiLvlLbl val="0"/>
      </c:catAx>
      <c:valAx>
        <c:axId val="2215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Patient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19</xdr:col>
      <xdr:colOff>1009650</xdr:colOff>
      <xdr:row>41</xdr:row>
      <xdr:rowOff>95250</xdr:rowOff>
    </xdr:from>
    <xdr:to>
      <xdr:col>23</xdr:col>
      <xdr:colOff>9525</xdr:colOff>
      <xdr:row>55</xdr:row>
      <xdr:rowOff>161925</xdr:rowOff>
    </xdr:to>
    <xdr:sp macro="" textlink="">
      <xdr:nvSpPr>
        <xdr:cNvPr id="2" name="TextBox 1">
          <a:extLst>
            <a:ext uri="{FF2B5EF4-FFF2-40B4-BE49-F238E27FC236}">
              <a16:creationId xmlns:a16="http://schemas.microsoft.com/office/drawing/2014/main" id="{8B998744-C0A6-9482-8A7A-97FFC19F36E3}"/>
            </a:ext>
          </a:extLst>
        </xdr:cNvPr>
        <xdr:cNvSpPr txBox="1"/>
      </xdr:nvSpPr>
      <xdr:spPr>
        <a:xfrm>
          <a:off x="24488775" y="7905750"/>
          <a:ext cx="4867275" cy="273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Gender-Treatment Mismatch Handling</a:t>
          </a:r>
        </a:p>
        <a:p>
          <a:pPr algn="l"/>
          <a:r>
            <a:rPr lang="en-US" sz="1100" b="0" u="none"/>
            <a:t>While cleaning the dataset, i noticed records where some male patients were</a:t>
          </a:r>
          <a:r>
            <a:rPr lang="en-US" sz="1100" b="0" u="none" baseline="0"/>
            <a:t> assigned to the maternity treatment, so in order to preserve the dataset, i did not delete these records, instead i flag the data entry isses while maintaing the dataset</a:t>
          </a:r>
        </a:p>
        <a:p>
          <a:pPr algn="l"/>
          <a:endParaRPr lang="en-US" sz="1100" b="0" u="none" baseline="0"/>
        </a:p>
        <a:p>
          <a:pPr algn="l"/>
          <a:r>
            <a:rPr lang="en-US" sz="1100" b="1" u="none" baseline="0"/>
            <a:t>Fomula Used</a:t>
          </a:r>
        </a:p>
        <a:p>
          <a:pPr algn="l"/>
          <a:r>
            <a:rPr lang="en-US" sz="1100" b="0" u="none"/>
            <a:t>=IF(AND([@[Patient_Gender]]="Male",[@[Treatment_Type]]="Maternity"),"Gender-Treatment Mismatch","")</a:t>
          </a:r>
        </a:p>
        <a:p>
          <a:pPr algn="l"/>
          <a:endParaRPr lang="en-US" sz="1100" b="0" u="none"/>
        </a:p>
        <a:p>
          <a:pPr algn="l"/>
          <a:r>
            <a:rPr lang="en-US" sz="1100" b="0" u="none"/>
            <a:t>-Check</a:t>
          </a:r>
          <a:r>
            <a:rPr lang="en-US" sz="1100" b="0" u="none" baseline="0"/>
            <a:t> if</a:t>
          </a:r>
        </a:p>
        <a:p>
          <a:pPr algn="l"/>
          <a:r>
            <a:rPr lang="en-US" sz="1100" b="0" u="none" baseline="0"/>
            <a:t>Patient_Gender is </a:t>
          </a:r>
          <a:r>
            <a:rPr lang="en-US" sz="1100" b="0" baseline="0">
              <a:solidFill>
                <a:schemeClr val="dk1"/>
              </a:solidFill>
              <a:effectLst/>
              <a:latin typeface="+mn-lt"/>
              <a:ea typeface="+mn-ea"/>
              <a:cs typeface="+mn-cs"/>
            </a:rPr>
            <a:t>"Male"</a:t>
          </a:r>
          <a:endParaRPr lang="en-US" sz="1100" b="0" u="none" baseline="0"/>
        </a:p>
        <a:p>
          <a:pPr algn="l"/>
          <a:r>
            <a:rPr lang="en-US" sz="1100" b="0" u="none" baseline="0"/>
            <a:t>Treatment_Type is "Maternity"  </a:t>
          </a:r>
        </a:p>
        <a:p>
          <a:pPr algn="l"/>
          <a:r>
            <a:rPr lang="en-US" sz="1100" b="0" u="none" baseline="0"/>
            <a:t> if both conditions are true , it returns "Gender-Treatment Mismatch"</a:t>
          </a:r>
        </a:p>
        <a:p>
          <a:pPr algn="l"/>
          <a:r>
            <a:rPr lang="en-US" sz="1100" b="0" u="none" baseline="0"/>
            <a:t>else it leave the cell blank</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228146</xdr:colOff>
      <xdr:row>16</xdr:row>
      <xdr:rowOff>30389</xdr:rowOff>
    </xdr:from>
    <xdr:to>
      <xdr:col>8</xdr:col>
      <xdr:colOff>514803</xdr:colOff>
      <xdr:row>29</xdr:row>
      <xdr:rowOff>89354</xdr:rowOff>
    </xdr:to>
    <mc:AlternateContent xmlns:mc="http://schemas.openxmlformats.org/markup-compatibility/2006" xmlns:a14="http://schemas.microsoft.com/office/drawing/2010/main">
      <mc:Choice Requires="a14">
        <xdr:graphicFrame macro="">
          <xdr:nvGraphicFramePr>
            <xdr:cNvPr id="2" name="Doctor Name">
              <a:extLst>
                <a:ext uri="{FF2B5EF4-FFF2-40B4-BE49-F238E27FC236}">
                  <a16:creationId xmlns:a16="http://schemas.microsoft.com/office/drawing/2014/main" id="{B24AC33F-AEBB-C432-5A13-B972F53560A2}"/>
                </a:ext>
              </a:extLst>
            </xdr:cNvPr>
            <xdr:cNvGraphicFramePr/>
          </xdr:nvGraphicFramePr>
          <xdr:xfrm>
            <a:off x="0" y="0"/>
            <a:ext cx="0" cy="0"/>
          </xdr:xfrm>
          <a:graphic>
            <a:graphicData uri="http://schemas.microsoft.com/office/drawing/2010/slicer">
              <sle:slicer xmlns:sle="http://schemas.microsoft.com/office/drawing/2010/slicer" name="Doctor Name"/>
            </a:graphicData>
          </a:graphic>
        </xdr:graphicFrame>
      </mc:Choice>
      <mc:Fallback xmlns="">
        <xdr:sp macro="" textlink="">
          <xdr:nvSpPr>
            <xdr:cNvPr id="0" name=""/>
            <xdr:cNvSpPr>
              <a:spLocks noTextEdit="1"/>
            </xdr:cNvSpPr>
          </xdr:nvSpPr>
          <xdr:spPr>
            <a:xfrm>
              <a:off x="8114846" y="3145064"/>
              <a:ext cx="1829707" cy="26211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704396</xdr:colOff>
      <xdr:row>16</xdr:row>
      <xdr:rowOff>19049</xdr:rowOff>
    </xdr:from>
    <xdr:to>
      <xdr:col>9</xdr:col>
      <xdr:colOff>356053</xdr:colOff>
      <xdr:row>29</xdr:row>
      <xdr:rowOff>78014</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89C5530-86EE-8504-F347-C11F12C5875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34146" y="3133724"/>
              <a:ext cx="1832882" cy="26211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244928</xdr:colOff>
      <xdr:row>30</xdr:row>
      <xdr:rowOff>166460</xdr:rowOff>
    </xdr:from>
    <xdr:to>
      <xdr:col>8</xdr:col>
      <xdr:colOff>531585</xdr:colOff>
      <xdr:row>44</xdr:row>
      <xdr:rowOff>21317</xdr:rowOff>
    </xdr:to>
    <mc:AlternateContent xmlns:mc="http://schemas.openxmlformats.org/markup-compatibility/2006" xmlns:a14="http://schemas.microsoft.com/office/drawing/2010/main">
      <mc:Choice Requires="a14">
        <xdr:graphicFrame macro="">
          <xdr:nvGraphicFramePr>
            <xdr:cNvPr id="4" name="Patient_Gender">
              <a:extLst>
                <a:ext uri="{FF2B5EF4-FFF2-40B4-BE49-F238E27FC236}">
                  <a16:creationId xmlns:a16="http://schemas.microsoft.com/office/drawing/2014/main" id="{D876E5FB-F506-33BD-45C3-8555002A1507}"/>
                </a:ext>
              </a:extLst>
            </xdr:cNvPr>
            <xdr:cNvGraphicFramePr/>
          </xdr:nvGraphicFramePr>
          <xdr:xfrm>
            <a:off x="0" y="0"/>
            <a:ext cx="0" cy="0"/>
          </xdr:xfrm>
          <a:graphic>
            <a:graphicData uri="http://schemas.microsoft.com/office/drawing/2010/slicer">
              <sle:slicer xmlns:sle="http://schemas.microsoft.com/office/drawing/2010/slicer" name="Patient_Gender"/>
            </a:graphicData>
          </a:graphic>
        </xdr:graphicFrame>
      </mc:Choice>
      <mc:Fallback xmlns="">
        <xdr:sp macro="" textlink="">
          <xdr:nvSpPr>
            <xdr:cNvPr id="0" name=""/>
            <xdr:cNvSpPr>
              <a:spLocks noTextEdit="1"/>
            </xdr:cNvSpPr>
          </xdr:nvSpPr>
          <xdr:spPr>
            <a:xfrm>
              <a:off x="8131628" y="6033860"/>
              <a:ext cx="1829707" cy="2617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783771</xdr:colOff>
      <xdr:row>30</xdr:row>
      <xdr:rowOff>155121</xdr:rowOff>
    </xdr:from>
    <xdr:to>
      <xdr:col>9</xdr:col>
      <xdr:colOff>435428</xdr:colOff>
      <xdr:row>44</xdr:row>
      <xdr:rowOff>9978</xdr:rowOff>
    </xdr:to>
    <mc:AlternateContent xmlns:mc="http://schemas.openxmlformats.org/markup-compatibility/2006" xmlns:a14="http://schemas.microsoft.com/office/drawing/2010/main">
      <mc:Choice Requires="a14">
        <xdr:graphicFrame macro="">
          <xdr:nvGraphicFramePr>
            <xdr:cNvPr id="5" name="Patient by Age Group">
              <a:extLst>
                <a:ext uri="{FF2B5EF4-FFF2-40B4-BE49-F238E27FC236}">
                  <a16:creationId xmlns:a16="http://schemas.microsoft.com/office/drawing/2014/main" id="{7E9BD3AA-7944-DFDB-78F1-989C5014FE59}"/>
                </a:ext>
              </a:extLst>
            </xdr:cNvPr>
            <xdr:cNvGraphicFramePr/>
          </xdr:nvGraphicFramePr>
          <xdr:xfrm>
            <a:off x="0" y="0"/>
            <a:ext cx="0" cy="0"/>
          </xdr:xfrm>
          <a:graphic>
            <a:graphicData uri="http://schemas.microsoft.com/office/drawing/2010/slicer">
              <sle:slicer xmlns:sle="http://schemas.microsoft.com/office/drawing/2010/slicer" name="Patient by Age Group"/>
            </a:graphicData>
          </a:graphic>
        </xdr:graphicFrame>
      </mc:Choice>
      <mc:Fallback xmlns="">
        <xdr:sp macro="" textlink="">
          <xdr:nvSpPr>
            <xdr:cNvPr id="0" name=""/>
            <xdr:cNvSpPr>
              <a:spLocks noTextEdit="1"/>
            </xdr:cNvSpPr>
          </xdr:nvSpPr>
          <xdr:spPr>
            <a:xfrm>
              <a:off x="10213521" y="6022521"/>
              <a:ext cx="1832882" cy="2617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250825</xdr:colOff>
      <xdr:row>45</xdr:row>
      <xdr:rowOff>53068</xdr:rowOff>
    </xdr:from>
    <xdr:to>
      <xdr:col>8</xdr:col>
      <xdr:colOff>537482</xdr:colOff>
      <xdr:row>58</xdr:row>
      <xdr:rowOff>134711</xdr:rowOff>
    </xdr:to>
    <mc:AlternateContent xmlns:mc="http://schemas.openxmlformats.org/markup-compatibility/2006" xmlns:a14="http://schemas.microsoft.com/office/drawing/2010/main">
      <mc:Choice Requires="a14">
        <xdr:graphicFrame macro="">
          <xdr:nvGraphicFramePr>
            <xdr:cNvPr id="6" name="Insurance_Type">
              <a:extLst>
                <a:ext uri="{FF2B5EF4-FFF2-40B4-BE49-F238E27FC236}">
                  <a16:creationId xmlns:a16="http://schemas.microsoft.com/office/drawing/2014/main" id="{F212CE32-FE55-E824-429E-C4B0BED5120E}"/>
                </a:ext>
              </a:extLst>
            </xdr:cNvPr>
            <xdr:cNvGraphicFramePr/>
          </xdr:nvGraphicFramePr>
          <xdr:xfrm>
            <a:off x="0" y="0"/>
            <a:ext cx="0" cy="0"/>
          </xdr:xfrm>
          <a:graphic>
            <a:graphicData uri="http://schemas.microsoft.com/office/drawing/2010/slicer">
              <sle:slicer xmlns:sle="http://schemas.microsoft.com/office/drawing/2010/slicer" name="Insurance_Type"/>
            </a:graphicData>
          </a:graphic>
        </xdr:graphicFrame>
      </mc:Choice>
      <mc:Fallback xmlns="">
        <xdr:sp macro="" textlink="">
          <xdr:nvSpPr>
            <xdr:cNvPr id="0" name=""/>
            <xdr:cNvSpPr>
              <a:spLocks noTextEdit="1"/>
            </xdr:cNvSpPr>
          </xdr:nvSpPr>
          <xdr:spPr>
            <a:xfrm>
              <a:off x="8137525" y="8882743"/>
              <a:ext cx="1829707" cy="2624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190499</xdr:rowOff>
    </xdr:from>
    <xdr:to>
      <xdr:col>9</xdr:col>
      <xdr:colOff>590550</xdr:colOff>
      <xdr:row>21</xdr:row>
      <xdr:rowOff>180974</xdr:rowOff>
    </xdr:to>
    <xdr:graphicFrame macro="">
      <xdr:nvGraphicFramePr>
        <xdr:cNvPr id="2" name="Chart 1">
          <a:extLst>
            <a:ext uri="{FF2B5EF4-FFF2-40B4-BE49-F238E27FC236}">
              <a16:creationId xmlns:a16="http://schemas.microsoft.com/office/drawing/2014/main" id="{5CCF799F-08B0-4D88-B09F-E587BBC52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9524</xdr:colOff>
      <xdr:row>24</xdr:row>
      <xdr:rowOff>9525</xdr:rowOff>
    </xdr:from>
    <xdr:to>
      <xdr:col>9</xdr:col>
      <xdr:colOff>609599</xdr:colOff>
      <xdr:row>42</xdr:row>
      <xdr:rowOff>180975</xdr:rowOff>
    </xdr:to>
    <xdr:graphicFrame macro="">
      <xdr:nvGraphicFramePr>
        <xdr:cNvPr id="4" name="Chart 3">
          <a:extLst>
            <a:ext uri="{FF2B5EF4-FFF2-40B4-BE49-F238E27FC236}">
              <a16:creationId xmlns:a16="http://schemas.microsoft.com/office/drawing/2014/main" id="{2AE8C71B-44EB-4B30-ACC9-AE0C93B8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44</xdr:row>
      <xdr:rowOff>190499</xdr:rowOff>
    </xdr:from>
    <xdr:to>
      <xdr:col>9</xdr:col>
      <xdr:colOff>600075</xdr:colOff>
      <xdr:row>64</xdr:row>
      <xdr:rowOff>9524</xdr:rowOff>
    </xdr:to>
    <xdr:graphicFrame macro="">
      <xdr:nvGraphicFramePr>
        <xdr:cNvPr id="10" name="Chart 9">
          <a:extLst>
            <a:ext uri="{FF2B5EF4-FFF2-40B4-BE49-F238E27FC236}">
              <a16:creationId xmlns:a16="http://schemas.microsoft.com/office/drawing/2014/main" id="{337606FD-2851-4408-B7E0-FD898EAC1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87</xdr:row>
      <xdr:rowOff>180975</xdr:rowOff>
    </xdr:from>
    <xdr:to>
      <xdr:col>10</xdr:col>
      <xdr:colOff>0</xdr:colOff>
      <xdr:row>107</xdr:row>
      <xdr:rowOff>161925</xdr:rowOff>
    </xdr:to>
    <xdr:graphicFrame macro="">
      <xdr:nvGraphicFramePr>
        <xdr:cNvPr id="12" name="Chart 11">
          <a:extLst>
            <a:ext uri="{FF2B5EF4-FFF2-40B4-BE49-F238E27FC236}">
              <a16:creationId xmlns:a16="http://schemas.microsoft.com/office/drawing/2014/main" id="{6DB472E7-E7E1-4DBA-9C1E-CF092B0CE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3</xdr:row>
      <xdr:rowOff>0</xdr:rowOff>
    </xdr:from>
    <xdr:to>
      <xdr:col>21</xdr:col>
      <xdr:colOff>0</xdr:colOff>
      <xdr:row>22</xdr:row>
      <xdr:rowOff>0</xdr:rowOff>
    </xdr:to>
    <xdr:graphicFrame macro="">
      <xdr:nvGraphicFramePr>
        <xdr:cNvPr id="13" name="Chart 12">
          <a:extLst>
            <a:ext uri="{FF2B5EF4-FFF2-40B4-BE49-F238E27FC236}">
              <a16:creationId xmlns:a16="http://schemas.microsoft.com/office/drawing/2014/main" id="{10157E6D-D8C8-4A8C-AEA8-38EA5473B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87</xdr:row>
      <xdr:rowOff>190499</xdr:rowOff>
    </xdr:from>
    <xdr:to>
      <xdr:col>21</xdr:col>
      <xdr:colOff>0</xdr:colOff>
      <xdr:row>107</xdr:row>
      <xdr:rowOff>180974</xdr:rowOff>
    </xdr:to>
    <xdr:graphicFrame macro="">
      <xdr:nvGraphicFramePr>
        <xdr:cNvPr id="15" name="Chart 14">
          <a:extLst>
            <a:ext uri="{FF2B5EF4-FFF2-40B4-BE49-F238E27FC236}">
              <a16:creationId xmlns:a16="http://schemas.microsoft.com/office/drawing/2014/main" id="{4507D36D-51C2-4A21-9ECD-CDFFF7AF5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609599</xdr:colOff>
      <xdr:row>45</xdr:row>
      <xdr:rowOff>9525</xdr:rowOff>
    </xdr:from>
    <xdr:to>
      <xdr:col>21</xdr:col>
      <xdr:colOff>9524</xdr:colOff>
      <xdr:row>63</xdr:row>
      <xdr:rowOff>180975</xdr:rowOff>
    </xdr:to>
    <xdr:graphicFrame macro="">
      <xdr:nvGraphicFramePr>
        <xdr:cNvPr id="16" name="Chart 15">
          <a:extLst>
            <a:ext uri="{FF2B5EF4-FFF2-40B4-BE49-F238E27FC236}">
              <a16:creationId xmlns:a16="http://schemas.microsoft.com/office/drawing/2014/main" id="{D01DD871-D2DC-47A9-A5D2-1FCF25F51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609599</xdr:colOff>
      <xdr:row>65</xdr:row>
      <xdr:rowOff>180975</xdr:rowOff>
    </xdr:from>
    <xdr:to>
      <xdr:col>20</xdr:col>
      <xdr:colOff>600074</xdr:colOff>
      <xdr:row>85</xdr:row>
      <xdr:rowOff>180975</xdr:rowOff>
    </xdr:to>
    <xdr:graphicFrame macro="">
      <xdr:nvGraphicFramePr>
        <xdr:cNvPr id="17" name="Chart 16">
          <a:extLst>
            <a:ext uri="{FF2B5EF4-FFF2-40B4-BE49-F238E27FC236}">
              <a16:creationId xmlns:a16="http://schemas.microsoft.com/office/drawing/2014/main" id="{1B0566A6-CEDF-4CE1-B2D1-302C9480E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609599</xdr:colOff>
      <xdr:row>23</xdr:row>
      <xdr:rowOff>180974</xdr:rowOff>
    </xdr:from>
    <xdr:to>
      <xdr:col>21</xdr:col>
      <xdr:colOff>9524</xdr:colOff>
      <xdr:row>42</xdr:row>
      <xdr:rowOff>171449</xdr:rowOff>
    </xdr:to>
    <xdr:graphicFrame macro="">
      <xdr:nvGraphicFramePr>
        <xdr:cNvPr id="18" name="Chart 17">
          <a:extLst>
            <a:ext uri="{FF2B5EF4-FFF2-40B4-BE49-F238E27FC236}">
              <a16:creationId xmlns:a16="http://schemas.microsoft.com/office/drawing/2014/main" id="{DF03E062-84F5-4BA1-83D2-886E75A7B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66</xdr:row>
      <xdr:rowOff>9524</xdr:rowOff>
    </xdr:from>
    <xdr:to>
      <xdr:col>9</xdr:col>
      <xdr:colOff>590550</xdr:colOff>
      <xdr:row>85</xdr:row>
      <xdr:rowOff>180975</xdr:rowOff>
    </xdr:to>
    <xdr:graphicFrame macro="">
      <xdr:nvGraphicFramePr>
        <xdr:cNvPr id="3" name="Chart 2">
          <a:extLst>
            <a:ext uri="{FF2B5EF4-FFF2-40B4-BE49-F238E27FC236}">
              <a16:creationId xmlns:a16="http://schemas.microsoft.com/office/drawing/2014/main" id="{F7529D3C-A2F6-487C-B254-1321B3FFB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25</xdr:col>
      <xdr:colOff>115659</xdr:colOff>
      <xdr:row>5</xdr:row>
      <xdr:rowOff>68035</xdr:rowOff>
    </xdr:from>
    <xdr:to>
      <xdr:col>63</xdr:col>
      <xdr:colOff>40821</xdr:colOff>
      <xdr:row>82</xdr:row>
      <xdr:rowOff>166686</xdr:rowOff>
    </xdr:to>
    <xdr:sp macro="" textlink="">
      <xdr:nvSpPr>
        <xdr:cNvPr id="17" name="Rectangle: Rounded Corners 16">
          <a:extLst>
            <a:ext uri="{FF2B5EF4-FFF2-40B4-BE49-F238E27FC236}">
              <a16:creationId xmlns:a16="http://schemas.microsoft.com/office/drawing/2014/main" id="{7E4A27AB-F267-06F3-345B-0A5277C34FD1}"/>
            </a:ext>
          </a:extLst>
        </xdr:cNvPr>
        <xdr:cNvSpPr/>
      </xdr:nvSpPr>
      <xdr:spPr>
        <a:xfrm>
          <a:off x="15423695" y="1020535"/>
          <a:ext cx="23193376" cy="14767151"/>
        </a:xfrm>
        <a:prstGeom prst="roundRect">
          <a:avLst>
            <a:gd name="adj" fmla="val 2693"/>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547687</xdr:colOff>
      <xdr:row>21</xdr:row>
      <xdr:rowOff>142868</xdr:rowOff>
    </xdr:from>
    <xdr:to>
      <xdr:col>34</xdr:col>
      <xdr:colOff>519112</xdr:colOff>
      <xdr:row>40</xdr:row>
      <xdr:rowOff>133343</xdr:rowOff>
    </xdr:to>
    <xdr:graphicFrame macro="">
      <xdr:nvGraphicFramePr>
        <xdr:cNvPr id="2" name="Chart 1">
          <a:extLst>
            <a:ext uri="{FF2B5EF4-FFF2-40B4-BE49-F238E27FC236}">
              <a16:creationId xmlns:a16="http://schemas.microsoft.com/office/drawing/2014/main" id="{20B56105-78CC-4CC0-985E-9B103C2E2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47625</xdr:colOff>
      <xdr:row>41</xdr:row>
      <xdr:rowOff>75761</xdr:rowOff>
    </xdr:from>
    <xdr:to>
      <xdr:col>44</xdr:col>
      <xdr:colOff>28575</xdr:colOff>
      <xdr:row>60</xdr:row>
      <xdr:rowOff>56711</xdr:rowOff>
    </xdr:to>
    <xdr:graphicFrame macro="">
      <xdr:nvGraphicFramePr>
        <xdr:cNvPr id="3" name="Chart 2">
          <a:extLst>
            <a:ext uri="{FF2B5EF4-FFF2-40B4-BE49-F238E27FC236}">
              <a16:creationId xmlns:a16="http://schemas.microsoft.com/office/drawing/2014/main" id="{B0C42207-5AAC-401D-9A88-9DB4379C5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547255</xdr:colOff>
      <xdr:row>60</xdr:row>
      <xdr:rowOff>146339</xdr:rowOff>
    </xdr:from>
    <xdr:to>
      <xdr:col>34</xdr:col>
      <xdr:colOff>528205</xdr:colOff>
      <xdr:row>79</xdr:row>
      <xdr:rowOff>155864</xdr:rowOff>
    </xdr:to>
    <xdr:graphicFrame macro="">
      <xdr:nvGraphicFramePr>
        <xdr:cNvPr id="4" name="Chart 3">
          <a:extLst>
            <a:ext uri="{FF2B5EF4-FFF2-40B4-BE49-F238E27FC236}">
              <a16:creationId xmlns:a16="http://schemas.microsoft.com/office/drawing/2014/main" id="{6967C8D0-3F55-4FF4-8274-5432CEE23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545524</xdr:colOff>
      <xdr:row>41</xdr:row>
      <xdr:rowOff>51954</xdr:rowOff>
    </xdr:from>
    <xdr:to>
      <xdr:col>34</xdr:col>
      <xdr:colOff>545524</xdr:colOff>
      <xdr:row>60</xdr:row>
      <xdr:rowOff>51954</xdr:rowOff>
    </xdr:to>
    <xdr:graphicFrame macro="">
      <xdr:nvGraphicFramePr>
        <xdr:cNvPr id="7" name="Chart 6">
          <a:extLst>
            <a:ext uri="{FF2B5EF4-FFF2-40B4-BE49-F238E27FC236}">
              <a16:creationId xmlns:a16="http://schemas.microsoft.com/office/drawing/2014/main" id="{B9EFE805-7D1F-4476-BB50-FF3901E95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43484</xdr:colOff>
      <xdr:row>21</xdr:row>
      <xdr:rowOff>142868</xdr:rowOff>
    </xdr:from>
    <xdr:to>
      <xdr:col>44</xdr:col>
      <xdr:colOff>43485</xdr:colOff>
      <xdr:row>40</xdr:row>
      <xdr:rowOff>142868</xdr:rowOff>
    </xdr:to>
    <xdr:graphicFrame macro="">
      <xdr:nvGraphicFramePr>
        <xdr:cNvPr id="8" name="Chart 7">
          <a:extLst>
            <a:ext uri="{FF2B5EF4-FFF2-40B4-BE49-F238E27FC236}">
              <a16:creationId xmlns:a16="http://schemas.microsoft.com/office/drawing/2014/main" id="{8BF6C45E-2913-4F8A-8B09-901FF7CB1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218209</xdr:colOff>
      <xdr:row>41</xdr:row>
      <xdr:rowOff>70131</xdr:rowOff>
    </xdr:from>
    <xdr:to>
      <xdr:col>53</xdr:col>
      <xdr:colOff>227734</xdr:colOff>
      <xdr:row>60</xdr:row>
      <xdr:rowOff>51081</xdr:rowOff>
    </xdr:to>
    <xdr:graphicFrame macro="">
      <xdr:nvGraphicFramePr>
        <xdr:cNvPr id="9" name="Chart 8">
          <a:extLst>
            <a:ext uri="{FF2B5EF4-FFF2-40B4-BE49-F238E27FC236}">
              <a16:creationId xmlns:a16="http://schemas.microsoft.com/office/drawing/2014/main" id="{2F208009-BF9D-449C-9C13-319A2B95F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44</xdr:col>
      <xdr:colOff>249382</xdr:colOff>
      <xdr:row>60</xdr:row>
      <xdr:rowOff>153259</xdr:rowOff>
    </xdr:from>
    <xdr:to>
      <xdr:col>53</xdr:col>
      <xdr:colOff>242455</xdr:colOff>
      <xdr:row>79</xdr:row>
      <xdr:rowOff>121227</xdr:rowOff>
    </xdr:to>
    <xdr:graphicFrame macro="">
      <xdr:nvGraphicFramePr>
        <xdr:cNvPr id="10" name="Chart 9">
          <a:extLst>
            <a:ext uri="{FF2B5EF4-FFF2-40B4-BE49-F238E27FC236}">
              <a16:creationId xmlns:a16="http://schemas.microsoft.com/office/drawing/2014/main" id="{2F70ACE3-3A6B-4F5D-B304-6C7E3789D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53</xdr:col>
      <xdr:colOff>352425</xdr:colOff>
      <xdr:row>60</xdr:row>
      <xdr:rowOff>110829</xdr:rowOff>
    </xdr:from>
    <xdr:to>
      <xdr:col>62</xdr:col>
      <xdr:colOff>342033</xdr:colOff>
      <xdr:row>79</xdr:row>
      <xdr:rowOff>99580</xdr:rowOff>
    </xdr:to>
    <xdr:graphicFrame macro="">
      <xdr:nvGraphicFramePr>
        <xdr:cNvPr id="11" name="Chart 10">
          <a:extLst>
            <a:ext uri="{FF2B5EF4-FFF2-40B4-BE49-F238E27FC236}">
              <a16:creationId xmlns:a16="http://schemas.microsoft.com/office/drawing/2014/main" id="{6912B9CC-BE22-4087-9575-1E24DE2F0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26</xdr:col>
      <xdr:colOff>164523</xdr:colOff>
      <xdr:row>13</xdr:row>
      <xdr:rowOff>158028</xdr:rowOff>
    </xdr:from>
    <xdr:to>
      <xdr:col>44</xdr:col>
      <xdr:colOff>350693</xdr:colOff>
      <xdr:row>20</xdr:row>
      <xdr:rowOff>163286</xdr:rowOff>
    </xdr:to>
    <mc:AlternateContent xmlns:mc="http://schemas.openxmlformats.org/markup-compatibility/2006" xmlns:a14="http://schemas.microsoft.com/office/drawing/2010/main">
      <mc:Choice Requires="a14">
        <xdr:graphicFrame macro="">
          <xdr:nvGraphicFramePr>
            <xdr:cNvPr id="12" name="Doctor Name 1">
              <a:extLst>
                <a:ext uri="{FF2B5EF4-FFF2-40B4-BE49-F238E27FC236}">
                  <a16:creationId xmlns:a16="http://schemas.microsoft.com/office/drawing/2014/main" id="{27FB148C-910A-407A-9DBF-E7E2B4ABAA32}"/>
                </a:ext>
              </a:extLst>
            </xdr:cNvPr>
            <xdr:cNvGraphicFramePr/>
          </xdr:nvGraphicFramePr>
          <xdr:xfrm>
            <a:off x="0" y="0"/>
            <a:ext cx="0" cy="0"/>
          </xdr:xfrm>
          <a:graphic>
            <a:graphicData uri="http://schemas.microsoft.com/office/drawing/2010/slicer">
              <sle:slicer xmlns:sle="http://schemas.microsoft.com/office/drawing/2010/slicer" name="Doctor Name 1"/>
            </a:graphicData>
          </a:graphic>
        </xdr:graphicFrame>
      </mc:Choice>
      <mc:Fallback xmlns="">
        <xdr:sp macro="" textlink="">
          <xdr:nvSpPr>
            <xdr:cNvPr id="0" name=""/>
            <xdr:cNvSpPr>
              <a:spLocks noTextEdit="1"/>
            </xdr:cNvSpPr>
          </xdr:nvSpPr>
          <xdr:spPr>
            <a:xfrm>
              <a:off x="16014123" y="2634528"/>
              <a:ext cx="11158970" cy="1338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53</xdr:col>
      <xdr:colOff>294409</xdr:colOff>
      <xdr:row>16</xdr:row>
      <xdr:rowOff>181840</xdr:rowOff>
    </xdr:from>
    <xdr:to>
      <xdr:col>61</xdr:col>
      <xdr:colOff>408213</xdr:colOff>
      <xdr:row>21</xdr:row>
      <xdr:rowOff>190499</xdr:rowOff>
    </xdr:to>
    <mc:AlternateContent xmlns:mc="http://schemas.openxmlformats.org/markup-compatibility/2006" xmlns:a14="http://schemas.microsoft.com/office/drawing/2010/main">
      <mc:Choice Requires="a14">
        <xdr:graphicFrame macro="">
          <xdr:nvGraphicFramePr>
            <xdr:cNvPr id="13" name="Department 1">
              <a:extLst>
                <a:ext uri="{FF2B5EF4-FFF2-40B4-BE49-F238E27FC236}">
                  <a16:creationId xmlns:a16="http://schemas.microsoft.com/office/drawing/2014/main" id="{0F96B6F4-2F3D-429C-BFB6-AFA3082E69A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2603209" y="3229840"/>
              <a:ext cx="4990604" cy="961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53</xdr:col>
      <xdr:colOff>292862</xdr:colOff>
      <xdr:row>13</xdr:row>
      <xdr:rowOff>101744</xdr:rowOff>
    </xdr:from>
    <xdr:to>
      <xdr:col>61</xdr:col>
      <xdr:colOff>394607</xdr:colOff>
      <xdr:row>16</xdr:row>
      <xdr:rowOff>142875</xdr:rowOff>
    </xdr:to>
    <mc:AlternateContent xmlns:mc="http://schemas.openxmlformats.org/markup-compatibility/2006" xmlns:a14="http://schemas.microsoft.com/office/drawing/2010/main">
      <mc:Choice Requires="a14">
        <xdr:graphicFrame macro="">
          <xdr:nvGraphicFramePr>
            <xdr:cNvPr id="14" name="Patient_Gender 1">
              <a:extLst>
                <a:ext uri="{FF2B5EF4-FFF2-40B4-BE49-F238E27FC236}">
                  <a16:creationId xmlns:a16="http://schemas.microsoft.com/office/drawing/2014/main" id="{C671FCEE-C0A2-4BB2-8793-01A7530B2895}"/>
                </a:ext>
              </a:extLst>
            </xdr:cNvPr>
            <xdr:cNvGraphicFramePr/>
          </xdr:nvGraphicFramePr>
          <xdr:xfrm>
            <a:off x="0" y="0"/>
            <a:ext cx="0" cy="0"/>
          </xdr:xfrm>
          <a:graphic>
            <a:graphicData uri="http://schemas.microsoft.com/office/drawing/2010/slicer">
              <sle:slicer xmlns:sle="http://schemas.microsoft.com/office/drawing/2010/slicer" name="Patient_Gender 1"/>
            </a:graphicData>
          </a:graphic>
        </xdr:graphicFrame>
      </mc:Choice>
      <mc:Fallback xmlns="">
        <xdr:sp macro="" textlink="">
          <xdr:nvSpPr>
            <xdr:cNvPr id="0" name=""/>
            <xdr:cNvSpPr>
              <a:spLocks noTextEdit="1"/>
            </xdr:cNvSpPr>
          </xdr:nvSpPr>
          <xdr:spPr>
            <a:xfrm>
              <a:off x="32601662" y="2578244"/>
              <a:ext cx="4978545" cy="6126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399864</xdr:colOff>
      <xdr:row>17</xdr:row>
      <xdr:rowOff>49170</xdr:rowOff>
    </xdr:from>
    <xdr:to>
      <xdr:col>53</xdr:col>
      <xdr:colOff>200705</xdr:colOff>
      <xdr:row>21</xdr:row>
      <xdr:rowOff>0</xdr:rowOff>
    </xdr:to>
    <mc:AlternateContent xmlns:mc="http://schemas.openxmlformats.org/markup-compatibility/2006" xmlns:a14="http://schemas.microsoft.com/office/drawing/2010/main">
      <mc:Choice Requires="a14">
        <xdr:graphicFrame macro="">
          <xdr:nvGraphicFramePr>
            <xdr:cNvPr id="15" name="Patient by Age Group 1">
              <a:extLst>
                <a:ext uri="{FF2B5EF4-FFF2-40B4-BE49-F238E27FC236}">
                  <a16:creationId xmlns:a16="http://schemas.microsoft.com/office/drawing/2014/main" id="{B14643AB-1A65-4D08-A44D-BD243E3B5D35}"/>
                </a:ext>
              </a:extLst>
            </xdr:cNvPr>
            <xdr:cNvGraphicFramePr/>
          </xdr:nvGraphicFramePr>
          <xdr:xfrm>
            <a:off x="0" y="0"/>
            <a:ext cx="0" cy="0"/>
          </xdr:xfrm>
          <a:graphic>
            <a:graphicData uri="http://schemas.microsoft.com/office/drawing/2010/slicer">
              <sle:slicer xmlns:sle="http://schemas.microsoft.com/office/drawing/2010/slicer" name="Patient by Age Group 1"/>
            </a:graphicData>
          </a:graphic>
        </xdr:graphicFrame>
      </mc:Choice>
      <mc:Fallback xmlns="">
        <xdr:sp macro="" textlink="">
          <xdr:nvSpPr>
            <xdr:cNvPr id="0" name=""/>
            <xdr:cNvSpPr>
              <a:spLocks noTextEdit="1"/>
            </xdr:cNvSpPr>
          </xdr:nvSpPr>
          <xdr:spPr>
            <a:xfrm>
              <a:off x="27222264" y="3287670"/>
              <a:ext cx="5287241" cy="712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398008</xdr:colOff>
      <xdr:row>13</xdr:row>
      <xdr:rowOff>146895</xdr:rowOff>
    </xdr:from>
    <xdr:to>
      <xdr:col>53</xdr:col>
      <xdr:colOff>190500</xdr:colOff>
      <xdr:row>17</xdr:row>
      <xdr:rowOff>54428</xdr:rowOff>
    </xdr:to>
    <mc:AlternateContent xmlns:mc="http://schemas.openxmlformats.org/markup-compatibility/2006" xmlns:a14="http://schemas.microsoft.com/office/drawing/2010/main">
      <mc:Choice Requires="a14">
        <xdr:graphicFrame macro="">
          <xdr:nvGraphicFramePr>
            <xdr:cNvPr id="16" name="Insurance_Type 1">
              <a:extLst>
                <a:ext uri="{FF2B5EF4-FFF2-40B4-BE49-F238E27FC236}">
                  <a16:creationId xmlns:a16="http://schemas.microsoft.com/office/drawing/2014/main" id="{A3514CB8-7721-468D-810B-CB50F7292570}"/>
                </a:ext>
              </a:extLst>
            </xdr:cNvPr>
            <xdr:cNvGraphicFramePr/>
          </xdr:nvGraphicFramePr>
          <xdr:xfrm>
            <a:off x="0" y="0"/>
            <a:ext cx="0" cy="0"/>
          </xdr:xfrm>
          <a:graphic>
            <a:graphicData uri="http://schemas.microsoft.com/office/drawing/2010/slicer">
              <sle:slicer xmlns:sle="http://schemas.microsoft.com/office/drawing/2010/slicer" name="Insurance_Type 1"/>
            </a:graphicData>
          </a:graphic>
        </xdr:graphicFrame>
      </mc:Choice>
      <mc:Fallback xmlns="">
        <xdr:sp macro="" textlink="">
          <xdr:nvSpPr>
            <xdr:cNvPr id="0" name=""/>
            <xdr:cNvSpPr>
              <a:spLocks noTextEdit="1"/>
            </xdr:cNvSpPr>
          </xdr:nvSpPr>
          <xdr:spPr>
            <a:xfrm>
              <a:off x="27220408" y="2623395"/>
              <a:ext cx="5278892" cy="669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190500</xdr:colOff>
      <xdr:row>7</xdr:row>
      <xdr:rowOff>47625</xdr:rowOff>
    </xdr:from>
    <xdr:to>
      <xdr:col>61</xdr:col>
      <xdr:colOff>428625</xdr:colOff>
      <xdr:row>13</xdr:row>
      <xdr:rowOff>47625</xdr:rowOff>
    </xdr:to>
    <xdr:sp macro="" textlink="">
      <xdr:nvSpPr>
        <xdr:cNvPr id="18" name="Rectangle 17">
          <a:extLst>
            <a:ext uri="{FF2B5EF4-FFF2-40B4-BE49-F238E27FC236}">
              <a16:creationId xmlns:a16="http://schemas.microsoft.com/office/drawing/2014/main" id="{4BA1867B-94FC-2B20-D398-1F1C545A4E96}"/>
            </a:ext>
          </a:extLst>
        </xdr:cNvPr>
        <xdr:cNvSpPr/>
      </xdr:nvSpPr>
      <xdr:spPr>
        <a:xfrm>
          <a:off x="16287750" y="1381125"/>
          <a:ext cx="21907500" cy="1143000"/>
        </a:xfrm>
        <a:prstGeom prst="rec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latin typeface="ADLaM Display" panose="02010000000000000000" pitchFamily="2" charset="0"/>
              <a:ea typeface="ADLaM Display" panose="02010000000000000000" pitchFamily="2" charset="0"/>
              <a:cs typeface="ADLaM Display" panose="02010000000000000000" pitchFamily="2" charset="0"/>
            </a:rPr>
            <a:t>Medicare</a:t>
          </a:r>
          <a:r>
            <a:rPr lang="en-US" sz="4800" baseline="0">
              <a:latin typeface="ADLaM Display" panose="02010000000000000000" pitchFamily="2" charset="0"/>
              <a:ea typeface="ADLaM Display" panose="02010000000000000000" pitchFamily="2" charset="0"/>
              <a:cs typeface="ADLaM Display" panose="02010000000000000000" pitchFamily="2" charset="0"/>
            </a:rPr>
            <a:t> Performance Dashboard</a:t>
          </a:r>
          <a:endParaRPr lang="en-US" sz="48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44</xdr:col>
      <xdr:colOff>218209</xdr:colOff>
      <xdr:row>21</xdr:row>
      <xdr:rowOff>139403</xdr:rowOff>
    </xdr:from>
    <xdr:to>
      <xdr:col>53</xdr:col>
      <xdr:colOff>190499</xdr:colOff>
      <xdr:row>40</xdr:row>
      <xdr:rowOff>121226</xdr:rowOff>
    </xdr:to>
    <xdr:graphicFrame macro="">
      <xdr:nvGraphicFramePr>
        <xdr:cNvPr id="6" name="Chart 5">
          <a:extLst>
            <a:ext uri="{FF2B5EF4-FFF2-40B4-BE49-F238E27FC236}">
              <a16:creationId xmlns:a16="http://schemas.microsoft.com/office/drawing/2014/main" id="{A4EA593E-7664-4D52-AD00-58ECA8D9B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58882</xdr:colOff>
      <xdr:row>60</xdr:row>
      <xdr:rowOff>135942</xdr:rowOff>
    </xdr:from>
    <xdr:to>
      <xdr:col>44</xdr:col>
      <xdr:colOff>0</xdr:colOff>
      <xdr:row>79</xdr:row>
      <xdr:rowOff>155864</xdr:rowOff>
    </xdr:to>
    <xdr:graphicFrame macro="">
      <xdr:nvGraphicFramePr>
        <xdr:cNvPr id="5" name="Chart 4">
          <a:extLst>
            <a:ext uri="{FF2B5EF4-FFF2-40B4-BE49-F238E27FC236}">
              <a16:creationId xmlns:a16="http://schemas.microsoft.com/office/drawing/2014/main" id="{586A5F3A-A8E8-4B8E-A6C3-C2C808247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53</xdr:col>
      <xdr:colOff>404812</xdr:colOff>
      <xdr:row>22</xdr:row>
      <xdr:rowOff>166687</xdr:rowOff>
    </xdr:from>
    <xdr:to>
      <xdr:col>62</xdr:col>
      <xdr:colOff>309562</xdr:colOff>
      <xdr:row>59</xdr:row>
      <xdr:rowOff>47625</xdr:rowOff>
    </xdr:to>
    <xdr:sp macro="" textlink="">
      <xdr:nvSpPr>
        <xdr:cNvPr id="19" name="Rectangle: Rounded Corners 18">
          <a:extLst>
            <a:ext uri="{FF2B5EF4-FFF2-40B4-BE49-F238E27FC236}">
              <a16:creationId xmlns:a16="http://schemas.microsoft.com/office/drawing/2014/main" id="{3FF8FD75-408A-5739-D338-61D6F968E81A}"/>
            </a:ext>
          </a:extLst>
        </xdr:cNvPr>
        <xdr:cNvSpPr/>
      </xdr:nvSpPr>
      <xdr:spPr>
        <a:xfrm>
          <a:off x="33218437" y="4357687"/>
          <a:ext cx="5476875" cy="6929438"/>
        </a:xfrm>
        <a:prstGeom prst="roundRect">
          <a:avLst>
            <a:gd name="adj" fmla="val 3624"/>
          </a:avLst>
        </a:prstGeom>
        <a:solidFill>
          <a:srgbClr val="D3100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latin typeface="Arial Black" panose="020B0A04020102020204" pitchFamily="34" charset="0"/>
            </a:rPr>
            <a:t>Insights</a:t>
          </a:r>
        </a:p>
        <a:p>
          <a:pPr algn="l"/>
          <a:r>
            <a:rPr lang="en-US" sz="2000">
              <a:latin typeface="Arial Black" panose="020B0A04020102020204" pitchFamily="34" charset="0"/>
            </a:rPr>
            <a:t>1. The emergency department generates the highest revenue, attendes to the most patients but has the longest wait time</a:t>
          </a:r>
        </a:p>
        <a:p>
          <a:pPr algn="l"/>
          <a:endParaRPr lang="en-US" sz="2000">
            <a:latin typeface="Arial Black" panose="020B0A04020102020204" pitchFamily="34" charset="0"/>
          </a:endParaRPr>
        </a:p>
        <a:p>
          <a:pPr algn="l"/>
          <a:r>
            <a:rPr lang="en-US" sz="2000">
              <a:latin typeface="Arial Black" panose="020B0A04020102020204" pitchFamily="34" charset="0"/>
            </a:rPr>
            <a:t>2. Cardiology Department has the highest readmission rate of 15.53% but they generated the lowest revenue.</a:t>
          </a:r>
        </a:p>
        <a:p>
          <a:pPr algn="l"/>
          <a:endParaRPr lang="en-US" sz="2000">
            <a:latin typeface="Arial Black" panose="020B0A04020102020204" pitchFamily="34" charset="0"/>
          </a:endParaRPr>
        </a:p>
        <a:p>
          <a:pPr algn="l"/>
          <a:r>
            <a:rPr lang="en-US" sz="2000">
              <a:latin typeface="Arial Black" panose="020B0A04020102020204" pitchFamily="34" charset="0"/>
            </a:rPr>
            <a:t>3. Therapy was the treatment type with the most patient and also generated the highest profit</a:t>
          </a:r>
        </a:p>
        <a:p>
          <a:pPr algn="l"/>
          <a:endParaRPr lang="en-US" sz="2000">
            <a:latin typeface="Arial Black" panose="020B0A04020102020204" pitchFamily="34" charset="0"/>
          </a:endParaRPr>
        </a:p>
        <a:p>
          <a:pPr algn="l"/>
          <a:endParaRPr lang="en-US" sz="3200">
            <a:latin typeface="Arial Black" panose="020B0A040201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400050</xdr:colOff>
      <xdr:row>4</xdr:row>
      <xdr:rowOff>1</xdr:rowOff>
    </xdr:from>
    <xdr:to>
      <xdr:col>13</xdr:col>
      <xdr:colOff>304800</xdr:colOff>
      <xdr:row>33</xdr:row>
      <xdr:rowOff>9525</xdr:rowOff>
    </xdr:to>
    <xdr:sp macro="" textlink="">
      <xdr:nvSpPr>
        <xdr:cNvPr id="2" name="Rectangle: Rounded Corners 1">
          <a:extLst>
            <a:ext uri="{FF2B5EF4-FFF2-40B4-BE49-F238E27FC236}">
              <a16:creationId xmlns:a16="http://schemas.microsoft.com/office/drawing/2014/main" id="{ACF0115C-2931-9EC7-3A3E-B4BCB4253113}"/>
            </a:ext>
          </a:extLst>
        </xdr:cNvPr>
        <xdr:cNvSpPr/>
      </xdr:nvSpPr>
      <xdr:spPr>
        <a:xfrm>
          <a:off x="1009650" y="762001"/>
          <a:ext cx="7219950" cy="5534024"/>
        </a:xfrm>
        <a:prstGeom prst="roundRect">
          <a:avLst>
            <a:gd name="adj" fmla="val 321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66675</xdr:colOff>
      <xdr:row>4</xdr:row>
      <xdr:rowOff>180976</xdr:rowOff>
    </xdr:from>
    <xdr:to>
      <xdr:col>13</xdr:col>
      <xdr:colOff>19050</xdr:colOff>
      <xdr:row>7</xdr:row>
      <xdr:rowOff>104776</xdr:rowOff>
    </xdr:to>
    <xdr:sp macro="" textlink="">
      <xdr:nvSpPr>
        <xdr:cNvPr id="3" name="Rectangle: Rounded Corners 2">
          <a:extLst>
            <a:ext uri="{FF2B5EF4-FFF2-40B4-BE49-F238E27FC236}">
              <a16:creationId xmlns:a16="http://schemas.microsoft.com/office/drawing/2014/main" id="{34278DAF-F455-BE71-E0F1-BFCA89A16A7A}"/>
            </a:ext>
          </a:extLst>
        </xdr:cNvPr>
        <xdr:cNvSpPr/>
      </xdr:nvSpPr>
      <xdr:spPr>
        <a:xfrm>
          <a:off x="1285875" y="942976"/>
          <a:ext cx="6657975" cy="495300"/>
        </a:xfrm>
        <a:prstGeom prst="roundRect">
          <a:avLst>
            <a:gd name="adj" fmla="val 0"/>
          </a:avLst>
        </a:prstGeom>
        <a:solidFill>
          <a:srgbClr val="D3100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latin typeface="Arial Black" panose="020B0A04020102020204" pitchFamily="34" charset="0"/>
            </a:rPr>
            <a:t>Insights</a:t>
          </a:r>
          <a:r>
            <a:rPr lang="en-US" sz="1800" baseline="0">
              <a:latin typeface="Arial Black" panose="020B0A04020102020204" pitchFamily="34" charset="0"/>
            </a:rPr>
            <a:t> from MediCare Performance Dashboard</a:t>
          </a:r>
          <a:endParaRPr lang="en-US" sz="1800">
            <a:latin typeface="Arial Black" panose="020B0A04020102020204" pitchFamily="34" charset="0"/>
          </a:endParaRPr>
        </a:p>
      </xdr:txBody>
    </xdr:sp>
    <xdr:clientData/>
  </xdr:twoCellAnchor>
  <xdr:twoCellAnchor>
    <xdr:from>
      <xdr:col>2</xdr:col>
      <xdr:colOff>66675</xdr:colOff>
      <xdr:row>8</xdr:row>
      <xdr:rowOff>123825</xdr:rowOff>
    </xdr:from>
    <xdr:to>
      <xdr:col>7</xdr:col>
      <xdr:colOff>323850</xdr:colOff>
      <xdr:row>31</xdr:row>
      <xdr:rowOff>76200</xdr:rowOff>
    </xdr:to>
    <xdr:sp macro="" textlink="">
      <xdr:nvSpPr>
        <xdr:cNvPr id="4" name="Rectangle 3">
          <a:extLst>
            <a:ext uri="{FF2B5EF4-FFF2-40B4-BE49-F238E27FC236}">
              <a16:creationId xmlns:a16="http://schemas.microsoft.com/office/drawing/2014/main" id="{953FC2DC-8767-999D-513A-4753CF608793}"/>
            </a:ext>
          </a:extLst>
        </xdr:cNvPr>
        <xdr:cNvSpPr/>
      </xdr:nvSpPr>
      <xdr:spPr>
        <a:xfrm>
          <a:off x="1285875" y="1647825"/>
          <a:ext cx="3305175" cy="4333875"/>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Aptos Display" panose="020B0004020202020204" pitchFamily="34" charset="0"/>
            </a:rPr>
            <a:t>1. The</a:t>
          </a:r>
          <a:r>
            <a:rPr lang="en-US" sz="1600" baseline="0">
              <a:latin typeface="Aptos Display" panose="020B0004020202020204" pitchFamily="34" charset="0"/>
            </a:rPr>
            <a:t> emergency department generates the highest revenue, attendes to the most patients but has the longest wait time</a:t>
          </a:r>
        </a:p>
        <a:p>
          <a:pPr algn="l"/>
          <a:endParaRPr lang="en-US" sz="1600" baseline="0">
            <a:latin typeface="Aptos Display" panose="020B0004020202020204" pitchFamily="34" charset="0"/>
          </a:endParaRPr>
        </a:p>
        <a:p>
          <a:pPr algn="l"/>
          <a:r>
            <a:rPr lang="en-US" sz="1600" baseline="0">
              <a:latin typeface="Aptos Display" panose="020B0004020202020204" pitchFamily="34" charset="0"/>
            </a:rPr>
            <a:t>2. Cardiology Department has the highest readmission rate of 15.53% but they generated the lowest revenue.</a:t>
          </a:r>
        </a:p>
        <a:p>
          <a:pPr algn="l"/>
          <a:endParaRPr lang="en-US" sz="1600" baseline="0">
            <a:latin typeface="Aptos Display" panose="020B0004020202020204" pitchFamily="34" charset="0"/>
          </a:endParaRPr>
        </a:p>
        <a:p>
          <a:pPr algn="l"/>
          <a:r>
            <a:rPr lang="en-US" sz="1600" baseline="0">
              <a:latin typeface="Aptos Display" panose="020B0004020202020204" pitchFamily="34" charset="0"/>
            </a:rPr>
            <a:t>3. Dr. Emily Cooper attented to the most patients but has the least profit margin of 47.87%</a:t>
          </a:r>
        </a:p>
        <a:p>
          <a:pPr algn="l"/>
          <a:endParaRPr lang="en-US" sz="1600" baseline="0">
            <a:latin typeface="Aptos Display" panose="020B0004020202020204" pitchFamily="34" charset="0"/>
          </a:endParaRPr>
        </a:p>
        <a:p>
          <a:pPr algn="l"/>
          <a:r>
            <a:rPr lang="en-US" sz="1600" baseline="0">
              <a:latin typeface="Aptos Display" panose="020B0004020202020204" pitchFamily="34" charset="0"/>
            </a:rPr>
            <a:t>4. Therapy was the treatment type with the most patient and also generated the highest profit</a:t>
          </a:r>
        </a:p>
        <a:p>
          <a:pPr algn="l"/>
          <a:r>
            <a:rPr lang="en-US" sz="1600" baseline="0">
              <a:latin typeface="Aptos Display" panose="020B0004020202020204" pitchFamily="34" charset="0"/>
            </a:rPr>
            <a:t> </a:t>
          </a:r>
          <a:endParaRPr lang="en-US" sz="1600">
            <a:latin typeface="Aptos Display" panose="020B0004020202020204" pitchFamily="34" charset="0"/>
          </a:endParaRPr>
        </a:p>
      </xdr:txBody>
    </xdr:sp>
    <xdr:clientData/>
  </xdr:twoCellAnchor>
  <xdr:twoCellAnchor>
    <xdr:from>
      <xdr:col>7</xdr:col>
      <xdr:colOff>371475</xdr:colOff>
      <xdr:row>8</xdr:row>
      <xdr:rowOff>123825</xdr:rowOff>
    </xdr:from>
    <xdr:to>
      <xdr:col>13</xdr:col>
      <xdr:colOff>19050</xdr:colOff>
      <xdr:row>31</xdr:row>
      <xdr:rowOff>76200</xdr:rowOff>
    </xdr:to>
    <xdr:sp macro="" textlink="">
      <xdr:nvSpPr>
        <xdr:cNvPr id="5" name="Rectangle 4">
          <a:extLst>
            <a:ext uri="{FF2B5EF4-FFF2-40B4-BE49-F238E27FC236}">
              <a16:creationId xmlns:a16="http://schemas.microsoft.com/office/drawing/2014/main" id="{4FA2D4A8-0ACE-834F-995E-0C0B52B77256}"/>
            </a:ext>
          </a:extLst>
        </xdr:cNvPr>
        <xdr:cNvSpPr/>
      </xdr:nvSpPr>
      <xdr:spPr>
        <a:xfrm>
          <a:off x="4638675" y="1647825"/>
          <a:ext cx="3305175" cy="4333875"/>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aseline="0">
              <a:solidFill>
                <a:schemeClr val="lt1"/>
              </a:solidFill>
              <a:effectLst/>
              <a:latin typeface="+mn-lt"/>
              <a:ea typeface="+mn-ea"/>
              <a:cs typeface="+mn-cs"/>
            </a:rPr>
            <a:t>5. We have more patients over 60 and their readmission rates is high with a wait time of 1min 37 sec</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aseline="0">
              <a:solidFill>
                <a:schemeClr val="lt1"/>
              </a:solidFill>
              <a:effectLst/>
              <a:latin typeface="+mn-lt"/>
              <a:ea typeface="+mn-ea"/>
              <a:cs typeface="+mn-cs"/>
            </a:rPr>
            <a:t>6. MediCare has more female patients compared to  other genders, they are attended to faster but have the highest readmission rate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aseline="0">
              <a:solidFill>
                <a:schemeClr val="lt1"/>
              </a:solidFill>
              <a:effectLst/>
              <a:latin typeface="+mn-lt"/>
              <a:ea typeface="+mn-ea"/>
              <a:cs typeface="+mn-cs"/>
            </a:rPr>
            <a:t>7. MediCare hospital has more uninsured patients.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aseline="0">
              <a:solidFill>
                <a:schemeClr val="lt1"/>
              </a:solidFill>
              <a:effectLst/>
              <a:latin typeface="+mn-lt"/>
              <a:ea typeface="+mn-ea"/>
              <a:cs typeface="+mn-cs"/>
            </a:rPr>
            <a:t>8. MediCare insurance has a very high readmission rate for its patients compare to other insurance types.</a:t>
          </a:r>
          <a:endParaRPr lang="en-US" sz="1600">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nr Junos" refreshedDate="45786.823709490738" createdVersion="8" refreshedVersion="8" minRefreshableVersion="3" recordCount="1000" xr:uid="{23A2D433-9D75-4D4D-B9B6-78BBE35BE557}">
  <cacheSource type="worksheet">
    <worksheetSource name="MediCare_Data"/>
  </cacheSource>
  <cacheFields count="19">
    <cacheField name="Patient ID" numFmtId="0">
      <sharedItems/>
    </cacheField>
    <cacheField name="Doctor Name" numFmtId="0">
      <sharedItems count="15">
        <s v="Dr. Daniel Morris"/>
        <s v="Dr. Benjamin Scott"/>
        <s v="Dr. James Anderson"/>
        <s v="Dr. Lisa Carter"/>
        <s v="Dr. Emily Cooper"/>
        <s v="Dr. Michael Johnson"/>
        <s v="Dr. Olivia Clark"/>
        <s v="Dr. Henry Adams"/>
        <s v="Dr. Robert Mitchell"/>
        <s v="Dr. Abigail Foster"/>
        <s v="Dr. Nathan Turner"/>
        <s v="Dr. William Harris"/>
        <s v="Dr. Sophia Bennett"/>
        <s v="Dr. Ethan Wright"/>
        <s v="Dr. Emma Roberts"/>
      </sharedItems>
    </cacheField>
    <cacheField name="Department" numFmtId="0">
      <sharedItems count="8">
        <s v="Emergency"/>
        <s v="Radiology"/>
        <s v="Pediatrics"/>
        <s v="Orthopedics"/>
        <s v="General Surgery"/>
        <s v="Cardiology"/>
        <s v="Neurology"/>
        <s v="Oncology"/>
      </sharedItems>
    </cacheField>
    <cacheField name="Patient_Gender" numFmtId="0">
      <sharedItems count="3">
        <s v="Male"/>
        <s v="Female"/>
        <s v="Other"/>
      </sharedItems>
    </cacheField>
    <cacheField name="Patient_Age" numFmtId="0">
      <sharedItems containsSemiMixedTypes="0" containsString="0" containsNumber="1" containsInteger="1" minValue="1" maxValue="90" count="90">
        <n v="3"/>
        <n v="52"/>
        <n v="79"/>
        <n v="18"/>
        <n v="62"/>
        <n v="60"/>
        <n v="90"/>
        <n v="26"/>
        <n v="14"/>
        <n v="71"/>
        <n v="15"/>
        <n v="21"/>
        <n v="29"/>
        <n v="50"/>
        <n v="27"/>
        <n v="56"/>
        <n v="44"/>
        <n v="66"/>
        <n v="22"/>
        <n v="57"/>
        <n v="81"/>
        <n v="55"/>
        <n v="19"/>
        <n v="41"/>
        <n v="85"/>
        <n v="54"/>
        <n v="2"/>
        <n v="83"/>
        <n v="76"/>
        <n v="8"/>
        <n v="84"/>
        <n v="31"/>
        <n v="37"/>
        <n v="32"/>
        <n v="17"/>
        <n v="67"/>
        <n v="89"/>
        <n v="61"/>
        <n v="53"/>
        <n v="16"/>
        <n v="24"/>
        <n v="78"/>
        <n v="42"/>
        <n v="51"/>
        <n v="4"/>
        <n v="25"/>
        <n v="12"/>
        <n v="77"/>
        <n v="82"/>
        <n v="65"/>
        <n v="38"/>
        <n v="33"/>
        <n v="87"/>
        <n v="5"/>
        <n v="36"/>
        <n v="1"/>
        <n v="9"/>
        <n v="80"/>
        <n v="7"/>
        <n v="13"/>
        <n v="74"/>
        <n v="75"/>
        <n v="43"/>
        <n v="64"/>
        <n v="28"/>
        <n v="72"/>
        <n v="59"/>
        <n v="11"/>
        <n v="35"/>
        <n v="10"/>
        <n v="70"/>
        <n v="69"/>
        <n v="58"/>
        <n v="48"/>
        <n v="40"/>
        <n v="73"/>
        <n v="88"/>
        <n v="23"/>
        <n v="30"/>
        <n v="86"/>
        <n v="47"/>
        <n v="63"/>
        <n v="68"/>
        <n v="34"/>
        <n v="6"/>
        <n v="49"/>
        <n v="46"/>
        <n v="45"/>
        <n v="20"/>
        <n v="39"/>
      </sharedItems>
      <fieldGroup base="4">
        <rangePr startNum="1" endNum="90" groupInterval="18"/>
        <groupItems count="7">
          <s v="&lt;1"/>
          <s v="1-18"/>
          <s v="19-36"/>
          <s v="37-54"/>
          <s v="55-72"/>
          <s v="73-90"/>
          <s v="&gt;91"/>
        </groupItems>
      </fieldGroup>
    </cacheField>
    <cacheField name="Patient by Age Group" numFmtId="0">
      <sharedItems count="4">
        <s v="0-18"/>
        <s v="36-60"/>
        <s v="60+"/>
        <s v="19-35"/>
      </sharedItems>
    </cacheField>
    <cacheField name="Insurance_Type" numFmtId="0">
      <sharedItems count="4">
        <s v="Medicaid"/>
        <s v="Medicare"/>
        <s v="Private"/>
        <s v="Uninsured"/>
      </sharedItems>
    </cacheField>
    <cacheField name="Treatment_Type" numFmtId="0">
      <sharedItems count="6">
        <s v="Emergency Care"/>
        <s v="Routine Checkup"/>
        <s v="Diagnostics"/>
        <s v="Maternity"/>
        <s v="Therapy"/>
        <s v="Surgery"/>
      </sharedItems>
    </cacheField>
    <cacheField name="Patient_Satisfaction_Score" numFmtId="1">
      <sharedItems containsSemiMixedTypes="0" containsString="0" containsNumber="1" containsInteger="1" minValue="50" maxValue="99"/>
    </cacheField>
    <cacheField name="Average_Treatment_Cost" numFmtId="165">
      <sharedItems containsSemiMixedTypes="0" containsString="0" containsNumber="1" containsInteger="1" minValue="501" maxValue="9999"/>
    </cacheField>
    <cacheField name="Readmission_Rate (%)" numFmtId="10">
      <sharedItems containsSemiMixedTypes="0" containsString="0" containsNumber="1" minValue="5.0313021039999999" maxValue="24.966950229999998"/>
    </cacheField>
    <cacheField name="Readmission_Rate (%)2" numFmtId="10">
      <sharedItems containsSemiMixedTypes="0" containsString="0" containsNumber="1" minValue="5.0313021039999996E-2" maxValue="0.24966950229999998"/>
    </cacheField>
    <cacheField name="Average_Wait_Time (mins)" numFmtId="0">
      <sharedItems containsSemiMixedTypes="0" containsString="0" containsNumber="1" containsInteger="1" minValue="10" maxValue="179"/>
    </cacheField>
    <cacheField name="Avg Wait Time " numFmtId="20">
      <sharedItems containsSemiMixedTypes="0" containsNonDate="0" containsDate="1" containsString="0" minDate="1899-12-30T00:10:00" maxDate="1899-12-30T02:59:00"/>
    </cacheField>
    <cacheField name="Staff_Rating" numFmtId="1">
      <sharedItems containsSemiMixedTypes="0" containsString="0" containsNumber="1" containsInteger="1" minValue="1" maxValue="4"/>
    </cacheField>
    <cacheField name="Revenue_Generated" numFmtId="165">
      <sharedItems containsSemiMixedTypes="0" containsString="0" containsNumber="1" containsInteger="1" minValue="1016" maxValue="49994"/>
    </cacheField>
    <cacheField name="Data_Issue_noticed" numFmtId="0">
      <sharedItems count="2">
        <s v=""/>
        <s v="Gender-Treatment Mismatch"/>
      </sharedItems>
    </cacheField>
    <cacheField name="Profit" numFmtId="165">
      <sharedItems containsSemiMixedTypes="0" containsString="0" containsNumber="1" containsInteger="1" minValue="-8480" maxValue="49365"/>
    </cacheField>
    <cacheField name="Profit_Margin" numFmtId="10">
      <sharedItems containsSemiMixedTypes="0" containsString="0" containsNumber="1" minValue="-8.3464566929133852" maxValue="0.98886474179861328"/>
    </cacheField>
  </cacheFields>
  <extLst>
    <ext xmlns:x14="http://schemas.microsoft.com/office/spreadsheetml/2009/9/main" uri="{725AE2AE-9491-48be-B2B4-4EB974FC3084}">
      <x14:pivotCacheDefinition pivotCacheId="11831844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0001"/>
    <x v="0"/>
    <x v="0"/>
    <x v="0"/>
    <x v="0"/>
    <x v="0"/>
    <x v="0"/>
    <x v="0"/>
    <n v="88"/>
    <n v="1960"/>
    <n v="18.62235708"/>
    <n v="0.18622357080000002"/>
    <n v="46"/>
    <d v="1899-12-30T00:46:00"/>
    <n v="4"/>
    <n v="36440"/>
    <x v="0"/>
    <n v="34480"/>
    <n v="0.94621295279912188"/>
  </r>
  <r>
    <s v="P-0002"/>
    <x v="0"/>
    <x v="1"/>
    <x v="1"/>
    <x v="1"/>
    <x v="1"/>
    <x v="1"/>
    <x v="1"/>
    <n v="78"/>
    <n v="2233"/>
    <n v="8.6287669539999996"/>
    <n v="8.628766954E-2"/>
    <n v="150"/>
    <d v="1899-12-30T02:30:00"/>
    <n v="1"/>
    <n v="30546"/>
    <x v="0"/>
    <n v="28313"/>
    <n v="0.92689713874157009"/>
  </r>
  <r>
    <s v="P-0003"/>
    <x v="1"/>
    <x v="1"/>
    <x v="1"/>
    <x v="2"/>
    <x v="2"/>
    <x v="2"/>
    <x v="0"/>
    <n v="64"/>
    <n v="2105"/>
    <n v="15.50326767"/>
    <n v="0.15503267669999998"/>
    <n v="145"/>
    <d v="1899-12-30T02:25:00"/>
    <n v="2"/>
    <n v="41047"/>
    <x v="0"/>
    <n v="38942"/>
    <n v="0.94871732404317"/>
  </r>
  <r>
    <s v="P-0004"/>
    <x v="2"/>
    <x v="2"/>
    <x v="0"/>
    <x v="3"/>
    <x v="0"/>
    <x v="0"/>
    <x v="0"/>
    <n v="92"/>
    <n v="6122"/>
    <n v="19.18092523"/>
    <n v="0.19180925230000001"/>
    <n v="142"/>
    <d v="1899-12-30T02:22:00"/>
    <n v="4"/>
    <n v="42430"/>
    <x v="0"/>
    <n v="36308"/>
    <n v="0.8557152957812868"/>
  </r>
  <r>
    <s v="P-0005"/>
    <x v="2"/>
    <x v="3"/>
    <x v="2"/>
    <x v="4"/>
    <x v="2"/>
    <x v="2"/>
    <x v="2"/>
    <n v="57"/>
    <n v="7267"/>
    <n v="7.1375384620000002"/>
    <n v="7.1375384619999996E-2"/>
    <n v="137"/>
    <d v="1899-12-30T02:17:00"/>
    <n v="1"/>
    <n v="2987"/>
    <x v="0"/>
    <n v="-4280"/>
    <n v="-1.4328757951121527"/>
  </r>
  <r>
    <s v="P-0006"/>
    <x v="3"/>
    <x v="4"/>
    <x v="2"/>
    <x v="5"/>
    <x v="1"/>
    <x v="1"/>
    <x v="3"/>
    <n v="70"/>
    <n v="7486"/>
    <n v="16.346244389999999"/>
    <n v="0.16346244389999998"/>
    <n v="136"/>
    <d v="1899-12-30T02:16:00"/>
    <n v="4"/>
    <n v="26105"/>
    <x v="0"/>
    <n v="18619"/>
    <n v="0.71323501244972232"/>
  </r>
  <r>
    <s v="P-0007"/>
    <x v="4"/>
    <x v="3"/>
    <x v="2"/>
    <x v="6"/>
    <x v="2"/>
    <x v="2"/>
    <x v="3"/>
    <n v="88"/>
    <n v="4017"/>
    <n v="10.13125567"/>
    <n v="0.1013125567"/>
    <n v="10"/>
    <d v="1899-12-30T00:10:00"/>
    <n v="4"/>
    <n v="13948"/>
    <x v="0"/>
    <n v="9931"/>
    <n v="0.71200172067679957"/>
  </r>
  <r>
    <s v="P-0008"/>
    <x v="5"/>
    <x v="5"/>
    <x v="2"/>
    <x v="7"/>
    <x v="3"/>
    <x v="3"/>
    <x v="0"/>
    <n v="68"/>
    <n v="4235"/>
    <n v="24.258537499999999"/>
    <n v="0.24258537499999999"/>
    <n v="173"/>
    <d v="1899-12-30T02:53:00"/>
    <n v="1"/>
    <n v="14026"/>
    <x v="0"/>
    <n v="9791"/>
    <n v="0.69806074433195497"/>
  </r>
  <r>
    <s v="P-0009"/>
    <x v="6"/>
    <x v="6"/>
    <x v="0"/>
    <x v="8"/>
    <x v="0"/>
    <x v="2"/>
    <x v="4"/>
    <n v="72"/>
    <n v="9852"/>
    <n v="14.67091293"/>
    <n v="0.14670912929999999"/>
    <n v="44"/>
    <d v="1899-12-30T00:44:00"/>
    <n v="1"/>
    <n v="3773"/>
    <x v="0"/>
    <n v="-6079"/>
    <n v="-1.6111847336337133"/>
  </r>
  <r>
    <s v="P-0010"/>
    <x v="7"/>
    <x v="2"/>
    <x v="2"/>
    <x v="9"/>
    <x v="2"/>
    <x v="3"/>
    <x v="0"/>
    <n v="60"/>
    <n v="8934"/>
    <n v="21.119851000000001"/>
    <n v="0.21119851000000001"/>
    <n v="113"/>
    <d v="1899-12-30T01:53:00"/>
    <n v="1"/>
    <n v="46927"/>
    <x v="0"/>
    <n v="37993"/>
    <n v="0.8096191957721568"/>
  </r>
  <r>
    <s v="P-0011"/>
    <x v="7"/>
    <x v="5"/>
    <x v="2"/>
    <x v="2"/>
    <x v="2"/>
    <x v="1"/>
    <x v="5"/>
    <n v="60"/>
    <n v="3090"/>
    <n v="16.004530840000001"/>
    <n v="0.1600453084"/>
    <n v="32"/>
    <d v="1899-12-30T00:32:00"/>
    <n v="2"/>
    <n v="10878"/>
    <x v="0"/>
    <n v="7788"/>
    <n v="0.71594043022614451"/>
  </r>
  <r>
    <s v="P-0012"/>
    <x v="8"/>
    <x v="7"/>
    <x v="2"/>
    <x v="0"/>
    <x v="0"/>
    <x v="1"/>
    <x v="0"/>
    <n v="73"/>
    <n v="1563"/>
    <n v="5.8682506569999999"/>
    <n v="5.8682506570000001E-2"/>
    <n v="18"/>
    <d v="1899-12-30T00:18:00"/>
    <n v="4"/>
    <n v="43946"/>
    <x v="0"/>
    <n v="42383"/>
    <n v="0.96443362308287439"/>
  </r>
  <r>
    <s v="P-0013"/>
    <x v="9"/>
    <x v="0"/>
    <x v="1"/>
    <x v="10"/>
    <x v="0"/>
    <x v="0"/>
    <x v="0"/>
    <n v="85"/>
    <n v="4824"/>
    <n v="17.663027509999999"/>
    <n v="0.17663027509999998"/>
    <n v="43"/>
    <d v="1899-12-30T00:43:00"/>
    <n v="1"/>
    <n v="11377"/>
    <x v="0"/>
    <n v="6553"/>
    <n v="0.57598663971169906"/>
  </r>
  <r>
    <s v="P-0014"/>
    <x v="10"/>
    <x v="7"/>
    <x v="0"/>
    <x v="11"/>
    <x v="3"/>
    <x v="3"/>
    <x v="5"/>
    <n v="89"/>
    <n v="9611"/>
    <n v="24.028066840000001"/>
    <n v="0.24028066840000001"/>
    <n v="137"/>
    <d v="1899-12-30T02:17:00"/>
    <n v="3"/>
    <n v="8347"/>
    <x v="0"/>
    <n v="-1264"/>
    <n v="-0.15143165209057147"/>
  </r>
  <r>
    <s v="P-0015"/>
    <x v="4"/>
    <x v="5"/>
    <x v="2"/>
    <x v="12"/>
    <x v="3"/>
    <x v="0"/>
    <x v="2"/>
    <n v="73"/>
    <n v="5842"/>
    <n v="17.032236399999999"/>
    <n v="0.17032236399999998"/>
    <n v="13"/>
    <d v="1899-12-30T00:13:00"/>
    <n v="4"/>
    <n v="34776"/>
    <x v="0"/>
    <n v="28934"/>
    <n v="0.83201058201058198"/>
  </r>
  <r>
    <s v="P-0016"/>
    <x v="11"/>
    <x v="0"/>
    <x v="2"/>
    <x v="13"/>
    <x v="1"/>
    <x v="0"/>
    <x v="0"/>
    <n v="52"/>
    <n v="505"/>
    <n v="21.38377719"/>
    <n v="0.2138377719"/>
    <n v="167"/>
    <d v="1899-12-30T02:47:00"/>
    <n v="3"/>
    <n v="4783"/>
    <x v="0"/>
    <n v="4278"/>
    <n v="0.89441772945849884"/>
  </r>
  <r>
    <s v="P-0017"/>
    <x v="4"/>
    <x v="1"/>
    <x v="1"/>
    <x v="14"/>
    <x v="3"/>
    <x v="1"/>
    <x v="0"/>
    <n v="71"/>
    <n v="7989"/>
    <n v="22.68412927"/>
    <n v="0.2268412927"/>
    <n v="111"/>
    <d v="1899-12-30T01:51:00"/>
    <n v="2"/>
    <n v="5298"/>
    <x v="0"/>
    <n v="-2691"/>
    <n v="-0.50792751981879958"/>
  </r>
  <r>
    <s v="P-0018"/>
    <x v="12"/>
    <x v="7"/>
    <x v="2"/>
    <x v="11"/>
    <x v="3"/>
    <x v="2"/>
    <x v="0"/>
    <n v="51"/>
    <n v="9159"/>
    <n v="9.5615954389999995"/>
    <n v="9.5615954389999994E-2"/>
    <n v="84"/>
    <d v="1899-12-30T01:24:00"/>
    <n v="1"/>
    <n v="5668"/>
    <x v="0"/>
    <n v="-3491"/>
    <n v="-0.61591390261115031"/>
  </r>
  <r>
    <s v="P-0019"/>
    <x v="6"/>
    <x v="3"/>
    <x v="2"/>
    <x v="14"/>
    <x v="3"/>
    <x v="1"/>
    <x v="3"/>
    <n v="73"/>
    <n v="8695"/>
    <n v="9.2408967979999996"/>
    <n v="9.2408967979999992E-2"/>
    <n v="108"/>
    <d v="1899-12-30T01:48:00"/>
    <n v="3"/>
    <n v="21671"/>
    <x v="0"/>
    <n v="12976"/>
    <n v="0.59877255318167133"/>
  </r>
  <r>
    <s v="P-0020"/>
    <x v="1"/>
    <x v="5"/>
    <x v="0"/>
    <x v="11"/>
    <x v="3"/>
    <x v="1"/>
    <x v="1"/>
    <n v="93"/>
    <n v="6466"/>
    <n v="17.219619779999999"/>
    <n v="0.17219619779999998"/>
    <n v="81"/>
    <d v="1899-12-30T01:21:00"/>
    <n v="2"/>
    <n v="35820"/>
    <x v="0"/>
    <n v="29354"/>
    <n v="0.81948632049134562"/>
  </r>
  <r>
    <s v="P-0021"/>
    <x v="3"/>
    <x v="5"/>
    <x v="1"/>
    <x v="15"/>
    <x v="1"/>
    <x v="2"/>
    <x v="3"/>
    <n v="79"/>
    <n v="9337"/>
    <n v="13.2205694"/>
    <n v="0.13220569400000001"/>
    <n v="12"/>
    <d v="1899-12-30T00:12:00"/>
    <n v="1"/>
    <n v="35484"/>
    <x v="0"/>
    <n v="26147"/>
    <n v="0.73686732048247094"/>
  </r>
  <r>
    <s v="P-0022"/>
    <x v="9"/>
    <x v="3"/>
    <x v="1"/>
    <x v="16"/>
    <x v="1"/>
    <x v="3"/>
    <x v="1"/>
    <n v="87"/>
    <n v="617"/>
    <n v="21.79722606"/>
    <n v="0.2179722606"/>
    <n v="151"/>
    <d v="1899-12-30T02:31:00"/>
    <n v="3"/>
    <n v="34078"/>
    <x v="0"/>
    <n v="33461"/>
    <n v="0.98189447737543278"/>
  </r>
  <r>
    <s v="P-0023"/>
    <x v="4"/>
    <x v="6"/>
    <x v="1"/>
    <x v="17"/>
    <x v="2"/>
    <x v="3"/>
    <x v="1"/>
    <n v="51"/>
    <n v="3051"/>
    <n v="23.000462469999999"/>
    <n v="0.23000462469999999"/>
    <n v="43"/>
    <d v="1899-12-30T00:43:00"/>
    <n v="3"/>
    <n v="48159"/>
    <x v="0"/>
    <n v="45108"/>
    <n v="0.93664735563446089"/>
  </r>
  <r>
    <s v="P-0024"/>
    <x v="10"/>
    <x v="4"/>
    <x v="2"/>
    <x v="8"/>
    <x v="0"/>
    <x v="2"/>
    <x v="2"/>
    <n v="70"/>
    <n v="6060"/>
    <n v="12.068427590000001"/>
    <n v="0.12068427590000001"/>
    <n v="54"/>
    <d v="1899-12-30T00:54:00"/>
    <n v="2"/>
    <n v="21922"/>
    <x v="0"/>
    <n v="15862"/>
    <n v="0.72356536812334638"/>
  </r>
  <r>
    <s v="P-0025"/>
    <x v="5"/>
    <x v="3"/>
    <x v="1"/>
    <x v="18"/>
    <x v="3"/>
    <x v="2"/>
    <x v="5"/>
    <n v="82"/>
    <n v="4789"/>
    <n v="9.7374111790000004"/>
    <n v="9.7374111790000009E-2"/>
    <n v="70"/>
    <d v="1899-12-30T01:10:00"/>
    <n v="1"/>
    <n v="35028"/>
    <x v="0"/>
    <n v="30239"/>
    <n v="0.86328080392828599"/>
  </r>
  <r>
    <s v="P-0026"/>
    <x v="1"/>
    <x v="1"/>
    <x v="2"/>
    <x v="19"/>
    <x v="1"/>
    <x v="0"/>
    <x v="0"/>
    <n v="61"/>
    <n v="1346"/>
    <n v="20.610510300000001"/>
    <n v="0.20610510300000001"/>
    <n v="92"/>
    <d v="1899-12-30T01:32:00"/>
    <n v="1"/>
    <n v="46925"/>
    <x v="0"/>
    <n v="45579"/>
    <n v="0.97131592967501335"/>
  </r>
  <r>
    <s v="P-0027"/>
    <x v="13"/>
    <x v="1"/>
    <x v="0"/>
    <x v="3"/>
    <x v="0"/>
    <x v="2"/>
    <x v="0"/>
    <n v="71"/>
    <n v="6816"/>
    <n v="10.49612071"/>
    <n v="0.1049612071"/>
    <n v="132"/>
    <d v="1899-12-30T02:12:00"/>
    <n v="3"/>
    <n v="21316"/>
    <x v="0"/>
    <n v="14500"/>
    <n v="0.68024019515856637"/>
  </r>
  <r>
    <s v="P-0028"/>
    <x v="11"/>
    <x v="7"/>
    <x v="0"/>
    <x v="16"/>
    <x v="1"/>
    <x v="2"/>
    <x v="1"/>
    <n v="93"/>
    <n v="6969"/>
    <n v="21.452286369999999"/>
    <n v="0.21452286369999998"/>
    <n v="111"/>
    <d v="1899-12-30T01:51:00"/>
    <n v="3"/>
    <n v="12460"/>
    <x v="0"/>
    <n v="5491"/>
    <n v="0.44069020866773678"/>
  </r>
  <r>
    <s v="P-0029"/>
    <x v="9"/>
    <x v="1"/>
    <x v="2"/>
    <x v="20"/>
    <x v="2"/>
    <x v="0"/>
    <x v="2"/>
    <n v="74"/>
    <n v="9833"/>
    <n v="13.47476507"/>
    <n v="0.1347476507"/>
    <n v="25"/>
    <d v="1899-12-30T00:25:00"/>
    <n v="3"/>
    <n v="17968"/>
    <x v="0"/>
    <n v="8135"/>
    <n v="0.45274933214603741"/>
  </r>
  <r>
    <s v="P-0030"/>
    <x v="12"/>
    <x v="3"/>
    <x v="1"/>
    <x v="21"/>
    <x v="1"/>
    <x v="3"/>
    <x v="5"/>
    <n v="98"/>
    <n v="9415"/>
    <n v="18.35099799"/>
    <n v="0.18350997990000001"/>
    <n v="75"/>
    <d v="1899-12-30T01:15:00"/>
    <n v="1"/>
    <n v="31266"/>
    <x v="0"/>
    <n v="21851"/>
    <n v="0.69887417642167216"/>
  </r>
  <r>
    <s v="P-0031"/>
    <x v="3"/>
    <x v="2"/>
    <x v="0"/>
    <x v="22"/>
    <x v="3"/>
    <x v="2"/>
    <x v="3"/>
    <n v="76"/>
    <n v="724"/>
    <n v="6.9107062770000001"/>
    <n v="6.9107062770000005E-2"/>
    <n v="177"/>
    <d v="1899-12-30T02:57:00"/>
    <n v="2"/>
    <n v="31209"/>
    <x v="1"/>
    <n v="30485"/>
    <n v="0.97680156365151083"/>
  </r>
  <r>
    <s v="P-0032"/>
    <x v="3"/>
    <x v="6"/>
    <x v="2"/>
    <x v="23"/>
    <x v="1"/>
    <x v="2"/>
    <x v="5"/>
    <n v="91"/>
    <n v="4708"/>
    <n v="17.477186490000001"/>
    <n v="0.17477186490000002"/>
    <n v="154"/>
    <d v="1899-12-30T02:34:00"/>
    <n v="2"/>
    <n v="25000"/>
    <x v="0"/>
    <n v="20292"/>
    <n v="0.81167999999999996"/>
  </r>
  <r>
    <s v="P-0033"/>
    <x v="10"/>
    <x v="4"/>
    <x v="1"/>
    <x v="24"/>
    <x v="2"/>
    <x v="0"/>
    <x v="5"/>
    <n v="77"/>
    <n v="6783"/>
    <n v="14.03535357"/>
    <n v="0.1403535357"/>
    <n v="128"/>
    <d v="1899-12-30T02:08:00"/>
    <n v="1"/>
    <n v="15011"/>
    <x v="0"/>
    <n v="8228"/>
    <n v="0.54813137032842585"/>
  </r>
  <r>
    <s v="P-0034"/>
    <x v="14"/>
    <x v="7"/>
    <x v="0"/>
    <x v="25"/>
    <x v="1"/>
    <x v="2"/>
    <x v="1"/>
    <n v="65"/>
    <n v="2548"/>
    <n v="16.732169259999999"/>
    <n v="0.16732169259999999"/>
    <n v="171"/>
    <d v="1899-12-30T02:51:00"/>
    <n v="4"/>
    <n v="3866"/>
    <x v="0"/>
    <n v="1318"/>
    <n v="0.34092084842214176"/>
  </r>
  <r>
    <s v="P-0035"/>
    <x v="13"/>
    <x v="1"/>
    <x v="2"/>
    <x v="26"/>
    <x v="0"/>
    <x v="0"/>
    <x v="3"/>
    <n v="64"/>
    <n v="6733"/>
    <n v="8.3602841550000004"/>
    <n v="8.3602841550000001E-2"/>
    <n v="133"/>
    <d v="1899-12-30T02:13:00"/>
    <n v="2"/>
    <n v="48133"/>
    <x v="0"/>
    <n v="41400"/>
    <n v="0.86011675981135605"/>
  </r>
  <r>
    <s v="P-0036"/>
    <x v="9"/>
    <x v="3"/>
    <x v="2"/>
    <x v="27"/>
    <x v="2"/>
    <x v="1"/>
    <x v="2"/>
    <n v="96"/>
    <n v="2328"/>
    <n v="19.737474899999999"/>
    <n v="0.19737474899999999"/>
    <n v="153"/>
    <d v="1899-12-30T02:33:00"/>
    <n v="3"/>
    <n v="6898"/>
    <x v="0"/>
    <n v="4570"/>
    <n v="0.66251087271672948"/>
  </r>
  <r>
    <s v="P-0037"/>
    <x v="1"/>
    <x v="7"/>
    <x v="2"/>
    <x v="1"/>
    <x v="1"/>
    <x v="0"/>
    <x v="3"/>
    <n v="93"/>
    <n v="2417"/>
    <n v="22.255941549999999"/>
    <n v="0.2225594155"/>
    <n v="111"/>
    <d v="1899-12-30T01:51:00"/>
    <n v="4"/>
    <n v="19395"/>
    <x v="0"/>
    <n v="16978"/>
    <n v="0.87538025264243358"/>
  </r>
  <r>
    <s v="P-0038"/>
    <x v="14"/>
    <x v="5"/>
    <x v="2"/>
    <x v="13"/>
    <x v="1"/>
    <x v="1"/>
    <x v="1"/>
    <n v="52"/>
    <n v="4734"/>
    <n v="9.3347960019999991"/>
    <n v="9.3347960019999995E-2"/>
    <n v="75"/>
    <d v="1899-12-30T01:15:00"/>
    <n v="4"/>
    <n v="40019"/>
    <x v="0"/>
    <n v="35285"/>
    <n v="0.88170618955995905"/>
  </r>
  <r>
    <s v="P-0039"/>
    <x v="12"/>
    <x v="4"/>
    <x v="1"/>
    <x v="17"/>
    <x v="2"/>
    <x v="1"/>
    <x v="3"/>
    <n v="86"/>
    <n v="7488"/>
    <n v="6.9142911099999997"/>
    <n v="6.9142911099999996E-2"/>
    <n v="22"/>
    <d v="1899-12-30T00:22:00"/>
    <n v="2"/>
    <n v="38707"/>
    <x v="0"/>
    <n v="31219"/>
    <n v="0.80654661947451367"/>
  </r>
  <r>
    <s v="P-0040"/>
    <x v="8"/>
    <x v="3"/>
    <x v="2"/>
    <x v="28"/>
    <x v="2"/>
    <x v="0"/>
    <x v="3"/>
    <n v="56"/>
    <n v="2526"/>
    <n v="5.472771721"/>
    <n v="5.4727717209999999E-2"/>
    <n v="120"/>
    <d v="1899-12-30T02:00:00"/>
    <n v="4"/>
    <n v="5006"/>
    <x v="0"/>
    <n v="2480"/>
    <n v="0.49540551338393929"/>
  </r>
  <r>
    <s v="P-0041"/>
    <x v="5"/>
    <x v="2"/>
    <x v="2"/>
    <x v="29"/>
    <x v="0"/>
    <x v="0"/>
    <x v="0"/>
    <n v="70"/>
    <n v="4244"/>
    <n v="17.839430010000001"/>
    <n v="0.17839430010000001"/>
    <n v="168"/>
    <d v="1899-12-30T02:48:00"/>
    <n v="4"/>
    <n v="35393"/>
    <x v="0"/>
    <n v="31149"/>
    <n v="0.88008928319159152"/>
  </r>
  <r>
    <s v="P-0042"/>
    <x v="2"/>
    <x v="7"/>
    <x v="2"/>
    <x v="30"/>
    <x v="2"/>
    <x v="0"/>
    <x v="0"/>
    <n v="58"/>
    <n v="9593"/>
    <n v="17.14188072"/>
    <n v="0.1714188072"/>
    <n v="43"/>
    <d v="1899-12-30T00:43:00"/>
    <n v="2"/>
    <n v="11956"/>
    <x v="0"/>
    <n v="2363"/>
    <n v="0.19764135162261626"/>
  </r>
  <r>
    <s v="P-0043"/>
    <x v="9"/>
    <x v="0"/>
    <x v="2"/>
    <x v="31"/>
    <x v="3"/>
    <x v="3"/>
    <x v="3"/>
    <n v="88"/>
    <n v="509"/>
    <n v="15.93394825"/>
    <n v="0.15933948249999999"/>
    <n v="48"/>
    <d v="1899-12-30T00:48:00"/>
    <n v="2"/>
    <n v="31663"/>
    <x v="0"/>
    <n v="31154"/>
    <n v="0.98392445441051068"/>
  </r>
  <r>
    <s v="P-0044"/>
    <x v="13"/>
    <x v="0"/>
    <x v="0"/>
    <x v="32"/>
    <x v="1"/>
    <x v="2"/>
    <x v="0"/>
    <n v="67"/>
    <n v="760"/>
    <n v="9.6389419220000008"/>
    <n v="9.6389419220000008E-2"/>
    <n v="145"/>
    <d v="1899-12-30T02:25:00"/>
    <n v="4"/>
    <n v="7078"/>
    <x v="0"/>
    <n v="6318"/>
    <n v="0.89262503532071202"/>
  </r>
  <r>
    <s v="P-0045"/>
    <x v="0"/>
    <x v="4"/>
    <x v="2"/>
    <x v="33"/>
    <x v="3"/>
    <x v="0"/>
    <x v="3"/>
    <n v="53"/>
    <n v="6538"/>
    <n v="12.818119920000001"/>
    <n v="0.12818119920000001"/>
    <n v="129"/>
    <d v="1899-12-30T02:09:00"/>
    <n v="3"/>
    <n v="30631"/>
    <x v="0"/>
    <n v="24093"/>
    <n v="0.78655610329404846"/>
  </r>
  <r>
    <s v="P-0046"/>
    <x v="10"/>
    <x v="6"/>
    <x v="0"/>
    <x v="22"/>
    <x v="3"/>
    <x v="1"/>
    <x v="1"/>
    <n v="74"/>
    <n v="2719"/>
    <n v="16.889526700000001"/>
    <n v="0.16889526700000002"/>
    <n v="135"/>
    <d v="1899-12-30T02:15:00"/>
    <n v="1"/>
    <n v="31140"/>
    <x v="0"/>
    <n v="28421"/>
    <n v="0.91268464996788701"/>
  </r>
  <r>
    <s v="P-0047"/>
    <x v="3"/>
    <x v="0"/>
    <x v="1"/>
    <x v="34"/>
    <x v="0"/>
    <x v="1"/>
    <x v="2"/>
    <n v="63"/>
    <n v="7541"/>
    <n v="14.935337179999999"/>
    <n v="0.1493533718"/>
    <n v="64"/>
    <d v="1899-12-30T01:04:00"/>
    <n v="4"/>
    <n v="42691"/>
    <x v="0"/>
    <n v="35150"/>
    <n v="0.82335855332505681"/>
  </r>
  <r>
    <s v="P-0048"/>
    <x v="7"/>
    <x v="6"/>
    <x v="1"/>
    <x v="35"/>
    <x v="2"/>
    <x v="0"/>
    <x v="1"/>
    <n v="99"/>
    <n v="2560"/>
    <n v="24.755710400000002"/>
    <n v="0.24755710400000003"/>
    <n v="36"/>
    <d v="1899-12-30T00:36:00"/>
    <n v="4"/>
    <n v="4961"/>
    <x v="0"/>
    <n v="2401"/>
    <n v="0.48397500503930657"/>
  </r>
  <r>
    <s v="P-0049"/>
    <x v="9"/>
    <x v="7"/>
    <x v="0"/>
    <x v="36"/>
    <x v="2"/>
    <x v="2"/>
    <x v="5"/>
    <n v="58"/>
    <n v="5787"/>
    <n v="7.7287950509999996"/>
    <n v="7.7287950509999995E-2"/>
    <n v="127"/>
    <d v="1899-12-30T02:07:00"/>
    <n v="3"/>
    <n v="30277"/>
    <x v="0"/>
    <n v="24490"/>
    <n v="0.8088648148759785"/>
  </r>
  <r>
    <s v="P-0050"/>
    <x v="4"/>
    <x v="7"/>
    <x v="2"/>
    <x v="34"/>
    <x v="0"/>
    <x v="2"/>
    <x v="1"/>
    <n v="75"/>
    <n v="2119"/>
    <n v="18.90289108"/>
    <n v="0.18902891080000001"/>
    <n v="62"/>
    <d v="1899-12-30T01:02:00"/>
    <n v="4"/>
    <n v="42574"/>
    <x v="0"/>
    <n v="40455"/>
    <n v="0.95022783858693094"/>
  </r>
  <r>
    <s v="P-0051"/>
    <x v="11"/>
    <x v="1"/>
    <x v="0"/>
    <x v="37"/>
    <x v="2"/>
    <x v="2"/>
    <x v="3"/>
    <n v="51"/>
    <n v="9012"/>
    <n v="13.08637536"/>
    <n v="0.13086375359999999"/>
    <n v="48"/>
    <d v="1899-12-30T00:48:00"/>
    <n v="4"/>
    <n v="32417"/>
    <x v="1"/>
    <n v="23405"/>
    <n v="0.72199771724712347"/>
  </r>
  <r>
    <s v="P-0052"/>
    <x v="8"/>
    <x v="4"/>
    <x v="0"/>
    <x v="38"/>
    <x v="1"/>
    <x v="1"/>
    <x v="0"/>
    <n v="69"/>
    <n v="1842"/>
    <n v="13.563992300000001"/>
    <n v="0.135639923"/>
    <n v="74"/>
    <d v="1899-12-30T01:14:00"/>
    <n v="1"/>
    <n v="23484"/>
    <x v="0"/>
    <n v="21642"/>
    <n v="0.92156361778231988"/>
  </r>
  <r>
    <s v="P-0053"/>
    <x v="5"/>
    <x v="2"/>
    <x v="0"/>
    <x v="39"/>
    <x v="0"/>
    <x v="0"/>
    <x v="2"/>
    <n v="77"/>
    <n v="3332"/>
    <n v="19.351955310000001"/>
    <n v="0.19351955310000002"/>
    <n v="154"/>
    <d v="1899-12-30T02:34:00"/>
    <n v="1"/>
    <n v="19103"/>
    <x v="0"/>
    <n v="15771"/>
    <n v="0.82557713448149506"/>
  </r>
  <r>
    <s v="P-0054"/>
    <x v="10"/>
    <x v="5"/>
    <x v="2"/>
    <x v="22"/>
    <x v="3"/>
    <x v="0"/>
    <x v="0"/>
    <n v="96"/>
    <n v="3324"/>
    <n v="18.848723029999999"/>
    <n v="0.18848723029999997"/>
    <n v="167"/>
    <d v="1899-12-30T02:47:00"/>
    <n v="1"/>
    <n v="30345"/>
    <x v="0"/>
    <n v="27021"/>
    <n v="0.89045971329708351"/>
  </r>
  <r>
    <s v="P-0055"/>
    <x v="6"/>
    <x v="3"/>
    <x v="2"/>
    <x v="40"/>
    <x v="3"/>
    <x v="0"/>
    <x v="1"/>
    <n v="56"/>
    <n v="2494"/>
    <n v="24.825119870000002"/>
    <n v="0.24825119870000001"/>
    <n v="22"/>
    <d v="1899-12-30T00:22:00"/>
    <n v="2"/>
    <n v="47326"/>
    <x v="0"/>
    <n v="44832"/>
    <n v="0.94730169462874525"/>
  </r>
  <r>
    <s v="P-0056"/>
    <x v="2"/>
    <x v="0"/>
    <x v="0"/>
    <x v="25"/>
    <x v="1"/>
    <x v="1"/>
    <x v="3"/>
    <n v="93"/>
    <n v="3990"/>
    <n v="7.567885789"/>
    <n v="7.5678857890000006E-2"/>
    <n v="30"/>
    <d v="1899-12-30T00:30:00"/>
    <n v="2"/>
    <n v="40454"/>
    <x v="1"/>
    <n v="36464"/>
    <n v="0.90136945666683144"/>
  </r>
  <r>
    <s v="P-0057"/>
    <x v="9"/>
    <x v="2"/>
    <x v="1"/>
    <x v="41"/>
    <x v="2"/>
    <x v="0"/>
    <x v="2"/>
    <n v="57"/>
    <n v="9810"/>
    <n v="7.0821929880000001"/>
    <n v="7.0821929879999995E-2"/>
    <n v="156"/>
    <d v="1899-12-30T02:36:00"/>
    <n v="1"/>
    <n v="2587"/>
    <x v="0"/>
    <n v="-7223"/>
    <n v="-2.7920371086200233"/>
  </r>
  <r>
    <s v="P-0058"/>
    <x v="10"/>
    <x v="1"/>
    <x v="0"/>
    <x v="42"/>
    <x v="1"/>
    <x v="1"/>
    <x v="4"/>
    <n v="96"/>
    <n v="8484"/>
    <n v="19.486776339999999"/>
    <n v="0.19486776339999998"/>
    <n v="62"/>
    <d v="1899-12-30T01:02:00"/>
    <n v="1"/>
    <n v="43571"/>
    <x v="0"/>
    <n v="35087"/>
    <n v="0.80528333065571134"/>
  </r>
  <r>
    <s v="P-0059"/>
    <x v="10"/>
    <x v="3"/>
    <x v="1"/>
    <x v="43"/>
    <x v="1"/>
    <x v="1"/>
    <x v="5"/>
    <n v="84"/>
    <n v="2104"/>
    <n v="16.567738339999998"/>
    <n v="0.16567738339999999"/>
    <n v="28"/>
    <d v="1899-12-30T00:28:00"/>
    <n v="2"/>
    <n v="22031"/>
    <x v="0"/>
    <n v="19927"/>
    <n v="0.90449820707185324"/>
  </r>
  <r>
    <s v="P-0060"/>
    <x v="2"/>
    <x v="4"/>
    <x v="1"/>
    <x v="44"/>
    <x v="0"/>
    <x v="2"/>
    <x v="2"/>
    <n v="63"/>
    <n v="735"/>
    <n v="10.48321333"/>
    <n v="0.1048321333"/>
    <n v="66"/>
    <d v="1899-12-30T01:06:00"/>
    <n v="3"/>
    <n v="27212"/>
    <x v="0"/>
    <n v="26477"/>
    <n v="0.97298985741584598"/>
  </r>
  <r>
    <s v="P-0061"/>
    <x v="5"/>
    <x v="3"/>
    <x v="2"/>
    <x v="45"/>
    <x v="3"/>
    <x v="0"/>
    <x v="3"/>
    <n v="66"/>
    <n v="2408"/>
    <n v="6.5883873800000003"/>
    <n v="6.5883873800000006E-2"/>
    <n v="34"/>
    <d v="1899-12-30T00:34:00"/>
    <n v="4"/>
    <n v="11350"/>
    <x v="0"/>
    <n v="8942"/>
    <n v="0.78784140969162997"/>
  </r>
  <r>
    <s v="P-0062"/>
    <x v="0"/>
    <x v="5"/>
    <x v="1"/>
    <x v="0"/>
    <x v="0"/>
    <x v="0"/>
    <x v="1"/>
    <n v="85"/>
    <n v="9067"/>
    <n v="6.7131649920000003"/>
    <n v="6.7131649920000008E-2"/>
    <n v="40"/>
    <d v="1899-12-30T00:40:00"/>
    <n v="4"/>
    <n v="19816"/>
    <x v="0"/>
    <n v="10749"/>
    <n v="0.5424404521598708"/>
  </r>
  <r>
    <s v="P-0063"/>
    <x v="6"/>
    <x v="3"/>
    <x v="0"/>
    <x v="33"/>
    <x v="3"/>
    <x v="3"/>
    <x v="4"/>
    <n v="99"/>
    <n v="4030"/>
    <n v="22.883817489999998"/>
    <n v="0.2288381749"/>
    <n v="90"/>
    <d v="1899-12-30T01:30:00"/>
    <n v="1"/>
    <n v="21288"/>
    <x v="0"/>
    <n v="17258"/>
    <n v="0.81069146937241643"/>
  </r>
  <r>
    <s v="P-0064"/>
    <x v="8"/>
    <x v="4"/>
    <x v="0"/>
    <x v="41"/>
    <x v="2"/>
    <x v="2"/>
    <x v="2"/>
    <n v="89"/>
    <n v="5756"/>
    <n v="8.8373464940000002"/>
    <n v="8.8373464940000007E-2"/>
    <n v="32"/>
    <d v="1899-12-30T00:32:00"/>
    <n v="3"/>
    <n v="30432"/>
    <x v="0"/>
    <n v="24676"/>
    <n v="0.81085699263932698"/>
  </r>
  <r>
    <s v="P-0065"/>
    <x v="13"/>
    <x v="2"/>
    <x v="2"/>
    <x v="40"/>
    <x v="3"/>
    <x v="1"/>
    <x v="0"/>
    <n v="53"/>
    <n v="3135"/>
    <n v="11.46743124"/>
    <n v="0.11467431239999999"/>
    <n v="41"/>
    <d v="1899-12-30T00:41:00"/>
    <n v="2"/>
    <n v="45222"/>
    <x v="0"/>
    <n v="42087"/>
    <n v="0.93067533501393129"/>
  </r>
  <r>
    <s v="P-0066"/>
    <x v="6"/>
    <x v="5"/>
    <x v="1"/>
    <x v="10"/>
    <x v="0"/>
    <x v="2"/>
    <x v="1"/>
    <n v="51"/>
    <n v="8662"/>
    <n v="9.5331280449999998"/>
    <n v="9.533128045E-2"/>
    <n v="83"/>
    <d v="1899-12-30T01:23:00"/>
    <n v="1"/>
    <n v="49617"/>
    <x v="0"/>
    <n v="40955"/>
    <n v="0.82542273817441603"/>
  </r>
  <r>
    <s v="P-0067"/>
    <x v="11"/>
    <x v="6"/>
    <x v="0"/>
    <x v="46"/>
    <x v="0"/>
    <x v="3"/>
    <x v="5"/>
    <n v="55"/>
    <n v="3060"/>
    <n v="12.099926119999999"/>
    <n v="0.12099926119999999"/>
    <n v="19"/>
    <d v="1899-12-30T00:19:00"/>
    <n v="3"/>
    <n v="7837"/>
    <x v="0"/>
    <n v="4777"/>
    <n v="0.6095444685466378"/>
  </r>
  <r>
    <s v="P-0068"/>
    <x v="14"/>
    <x v="1"/>
    <x v="1"/>
    <x v="40"/>
    <x v="3"/>
    <x v="2"/>
    <x v="4"/>
    <n v="91"/>
    <n v="5915"/>
    <n v="6.3884768550000004"/>
    <n v="6.3884768549999998E-2"/>
    <n v="63"/>
    <d v="1899-12-30T01:03:00"/>
    <n v="3"/>
    <n v="35217"/>
    <x v="0"/>
    <n v="29302"/>
    <n v="0.83204134366925064"/>
  </r>
  <r>
    <s v="P-0069"/>
    <x v="6"/>
    <x v="3"/>
    <x v="1"/>
    <x v="38"/>
    <x v="1"/>
    <x v="2"/>
    <x v="4"/>
    <n v="53"/>
    <n v="3891"/>
    <n v="15.38119582"/>
    <n v="0.15381195820000002"/>
    <n v="61"/>
    <d v="1899-12-30T01:01:00"/>
    <n v="3"/>
    <n v="21884"/>
    <x v="0"/>
    <n v="17993"/>
    <n v="0.82219886675196485"/>
  </r>
  <r>
    <s v="P-0070"/>
    <x v="12"/>
    <x v="7"/>
    <x v="2"/>
    <x v="47"/>
    <x v="2"/>
    <x v="3"/>
    <x v="1"/>
    <n v="78"/>
    <n v="6451"/>
    <n v="6.3522512720000002"/>
    <n v="6.3522512720000007E-2"/>
    <n v="157"/>
    <d v="1899-12-30T02:37:00"/>
    <n v="2"/>
    <n v="6454"/>
    <x v="0"/>
    <n v="3"/>
    <n v="4.6482801363495507E-4"/>
  </r>
  <r>
    <s v="P-0071"/>
    <x v="3"/>
    <x v="0"/>
    <x v="0"/>
    <x v="29"/>
    <x v="0"/>
    <x v="2"/>
    <x v="3"/>
    <n v="67"/>
    <n v="5968"/>
    <n v="21.007130159999999"/>
    <n v="0.21007130159999998"/>
    <n v="169"/>
    <d v="1899-12-30T02:49:00"/>
    <n v="2"/>
    <n v="10424"/>
    <x v="1"/>
    <n v="4456"/>
    <n v="0.42747505755947812"/>
  </r>
  <r>
    <s v="P-0072"/>
    <x v="3"/>
    <x v="3"/>
    <x v="0"/>
    <x v="48"/>
    <x v="2"/>
    <x v="2"/>
    <x v="1"/>
    <n v="75"/>
    <n v="8507"/>
    <n v="9.6742416379999998"/>
    <n v="9.6742416380000001E-2"/>
    <n v="123"/>
    <d v="1899-12-30T02:03:00"/>
    <n v="4"/>
    <n v="37885"/>
    <x v="0"/>
    <n v="29378"/>
    <n v="0.77545202586775763"/>
  </r>
  <r>
    <s v="P-0073"/>
    <x v="4"/>
    <x v="6"/>
    <x v="0"/>
    <x v="30"/>
    <x v="2"/>
    <x v="3"/>
    <x v="4"/>
    <n v="93"/>
    <n v="9564"/>
    <n v="15.800238289999999"/>
    <n v="0.15800238289999999"/>
    <n v="23"/>
    <d v="1899-12-30T00:23:00"/>
    <n v="4"/>
    <n v="42637"/>
    <x v="0"/>
    <n v="33073"/>
    <n v="0.77568778291155571"/>
  </r>
  <r>
    <s v="P-0074"/>
    <x v="8"/>
    <x v="3"/>
    <x v="1"/>
    <x v="49"/>
    <x v="2"/>
    <x v="3"/>
    <x v="0"/>
    <n v="83"/>
    <n v="9944"/>
    <n v="22.601581750000001"/>
    <n v="0.22601581750000002"/>
    <n v="165"/>
    <d v="1899-12-30T02:45:00"/>
    <n v="3"/>
    <n v="44618"/>
    <x v="0"/>
    <n v="34674"/>
    <n v="0.77713030615446677"/>
  </r>
  <r>
    <s v="P-0075"/>
    <x v="4"/>
    <x v="4"/>
    <x v="2"/>
    <x v="21"/>
    <x v="1"/>
    <x v="1"/>
    <x v="5"/>
    <n v="59"/>
    <n v="6913"/>
    <n v="18.01754738"/>
    <n v="0.18017547379999999"/>
    <n v="119"/>
    <d v="1899-12-30T01:59:00"/>
    <n v="3"/>
    <n v="19412"/>
    <x v="0"/>
    <n v="12499"/>
    <n v="0.64388007418091897"/>
  </r>
  <r>
    <s v="P-0076"/>
    <x v="0"/>
    <x v="2"/>
    <x v="0"/>
    <x v="50"/>
    <x v="1"/>
    <x v="3"/>
    <x v="0"/>
    <n v="85"/>
    <n v="7441"/>
    <n v="15.65915573"/>
    <n v="0.15659155729999999"/>
    <n v="62"/>
    <d v="1899-12-30T01:02:00"/>
    <n v="2"/>
    <n v="48111"/>
    <x v="0"/>
    <n v="40670"/>
    <n v="0.84533682525825693"/>
  </r>
  <r>
    <s v="P-0077"/>
    <x v="1"/>
    <x v="2"/>
    <x v="2"/>
    <x v="51"/>
    <x v="3"/>
    <x v="0"/>
    <x v="4"/>
    <n v="63"/>
    <n v="5320"/>
    <n v="11.48667506"/>
    <n v="0.1148667506"/>
    <n v="161"/>
    <d v="1899-12-30T02:41:00"/>
    <n v="4"/>
    <n v="40613"/>
    <x v="0"/>
    <n v="35293"/>
    <n v="0.86900746066530421"/>
  </r>
  <r>
    <s v="P-0078"/>
    <x v="7"/>
    <x v="7"/>
    <x v="2"/>
    <x v="32"/>
    <x v="1"/>
    <x v="0"/>
    <x v="0"/>
    <n v="80"/>
    <n v="3398"/>
    <n v="11.66003826"/>
    <n v="0.1166003826"/>
    <n v="88"/>
    <d v="1899-12-30T01:28:00"/>
    <n v="3"/>
    <n v="21142"/>
    <x v="0"/>
    <n v="17744"/>
    <n v="0.83927726799735125"/>
  </r>
  <r>
    <s v="P-0079"/>
    <x v="6"/>
    <x v="1"/>
    <x v="2"/>
    <x v="43"/>
    <x v="1"/>
    <x v="0"/>
    <x v="3"/>
    <n v="97"/>
    <n v="8046"/>
    <n v="18.3897391"/>
    <n v="0.18389739099999999"/>
    <n v="31"/>
    <d v="1899-12-30T00:31:00"/>
    <n v="4"/>
    <n v="38392"/>
    <x v="0"/>
    <n v="30346"/>
    <n v="0.79042508856011673"/>
  </r>
  <r>
    <s v="P-0080"/>
    <x v="10"/>
    <x v="7"/>
    <x v="1"/>
    <x v="2"/>
    <x v="2"/>
    <x v="1"/>
    <x v="1"/>
    <n v="64"/>
    <n v="577"/>
    <n v="24.882787220000001"/>
    <n v="0.24882787220000002"/>
    <n v="39"/>
    <d v="1899-12-30T00:39:00"/>
    <n v="4"/>
    <n v="9848"/>
    <x v="0"/>
    <n v="9271"/>
    <n v="0.94140942323314381"/>
  </r>
  <r>
    <s v="P-0081"/>
    <x v="9"/>
    <x v="1"/>
    <x v="1"/>
    <x v="33"/>
    <x v="3"/>
    <x v="2"/>
    <x v="4"/>
    <n v="57"/>
    <n v="8077"/>
    <n v="18.236783800000001"/>
    <n v="0.182367838"/>
    <n v="13"/>
    <d v="1899-12-30T00:13:00"/>
    <n v="3"/>
    <n v="14136"/>
    <x v="0"/>
    <n v="6059"/>
    <n v="0.4286219581211092"/>
  </r>
  <r>
    <s v="P-0082"/>
    <x v="14"/>
    <x v="4"/>
    <x v="2"/>
    <x v="0"/>
    <x v="0"/>
    <x v="3"/>
    <x v="5"/>
    <n v="63"/>
    <n v="4727"/>
    <n v="16.155668349999999"/>
    <n v="0.16155668349999999"/>
    <n v="68"/>
    <d v="1899-12-30T01:08:00"/>
    <n v="2"/>
    <n v="1589"/>
    <x v="0"/>
    <n v="-3138"/>
    <n v="-1.9748269351793581"/>
  </r>
  <r>
    <s v="P-0083"/>
    <x v="2"/>
    <x v="0"/>
    <x v="2"/>
    <x v="52"/>
    <x v="2"/>
    <x v="1"/>
    <x v="2"/>
    <n v="72"/>
    <n v="1100"/>
    <n v="19.613010200000002"/>
    <n v="0.19613010200000003"/>
    <n v="17"/>
    <d v="1899-12-30T00:17:00"/>
    <n v="3"/>
    <n v="21908"/>
    <x v="0"/>
    <n v="20808"/>
    <n v="0.94979003103888993"/>
  </r>
  <r>
    <s v="P-0084"/>
    <x v="5"/>
    <x v="1"/>
    <x v="1"/>
    <x v="30"/>
    <x v="2"/>
    <x v="2"/>
    <x v="5"/>
    <n v="89"/>
    <n v="1565"/>
    <n v="14.304112249999999"/>
    <n v="0.14304112250000001"/>
    <n v="21"/>
    <d v="1899-12-30T00:21:00"/>
    <n v="3"/>
    <n v="7509"/>
    <x v="0"/>
    <n v="5944"/>
    <n v="0.79158343321347713"/>
  </r>
  <r>
    <s v="P-0085"/>
    <x v="13"/>
    <x v="2"/>
    <x v="0"/>
    <x v="47"/>
    <x v="2"/>
    <x v="3"/>
    <x v="3"/>
    <n v="70"/>
    <n v="2636"/>
    <n v="6.2028468520000004"/>
    <n v="6.2028468520000005E-2"/>
    <n v="128"/>
    <d v="1899-12-30T02:08:00"/>
    <n v="4"/>
    <n v="41461"/>
    <x v="1"/>
    <n v="38825"/>
    <n v="0.93642217987988707"/>
  </r>
  <r>
    <s v="P-0086"/>
    <x v="9"/>
    <x v="2"/>
    <x v="2"/>
    <x v="45"/>
    <x v="3"/>
    <x v="2"/>
    <x v="2"/>
    <n v="65"/>
    <n v="7443"/>
    <n v="16.245936319999998"/>
    <n v="0.16245936319999998"/>
    <n v="168"/>
    <d v="1899-12-30T02:48:00"/>
    <n v="3"/>
    <n v="43222"/>
    <x v="0"/>
    <n v="35779"/>
    <n v="0.82779602979963907"/>
  </r>
  <r>
    <s v="P-0087"/>
    <x v="6"/>
    <x v="6"/>
    <x v="1"/>
    <x v="46"/>
    <x v="0"/>
    <x v="3"/>
    <x v="0"/>
    <n v="94"/>
    <n v="8304"/>
    <n v="24.152505690000002"/>
    <n v="0.24152505690000001"/>
    <n v="43"/>
    <d v="1899-12-30T00:43:00"/>
    <n v="2"/>
    <n v="45476"/>
    <x v="0"/>
    <n v="37172"/>
    <n v="0.8173981880552379"/>
  </r>
  <r>
    <s v="P-0088"/>
    <x v="9"/>
    <x v="1"/>
    <x v="2"/>
    <x v="53"/>
    <x v="0"/>
    <x v="0"/>
    <x v="0"/>
    <n v="67"/>
    <n v="7065"/>
    <n v="8.5060588470000003"/>
    <n v="8.5060588470000004E-2"/>
    <n v="91"/>
    <d v="1899-12-30T01:31:00"/>
    <n v="3"/>
    <n v="46710"/>
    <x v="0"/>
    <n v="39645"/>
    <n v="0.84874759152215795"/>
  </r>
  <r>
    <s v="P-0089"/>
    <x v="2"/>
    <x v="4"/>
    <x v="0"/>
    <x v="48"/>
    <x v="2"/>
    <x v="3"/>
    <x v="5"/>
    <n v="96"/>
    <n v="6484"/>
    <n v="18.800097820000001"/>
    <n v="0.1880009782"/>
    <n v="107"/>
    <d v="1899-12-30T01:47:00"/>
    <n v="2"/>
    <n v="10968"/>
    <x v="0"/>
    <n v="4484"/>
    <n v="0.4088256746900073"/>
  </r>
  <r>
    <s v="P-0090"/>
    <x v="4"/>
    <x v="6"/>
    <x v="0"/>
    <x v="45"/>
    <x v="3"/>
    <x v="3"/>
    <x v="4"/>
    <n v="73"/>
    <n v="5642"/>
    <n v="9.0186737729999997"/>
    <n v="9.0186737729999994E-2"/>
    <n v="136"/>
    <d v="1899-12-30T02:16:00"/>
    <n v="2"/>
    <n v="3462"/>
    <x v="0"/>
    <n v="-2180"/>
    <n v="-0.62969381860196416"/>
  </r>
  <r>
    <s v="P-0091"/>
    <x v="8"/>
    <x v="6"/>
    <x v="2"/>
    <x v="34"/>
    <x v="0"/>
    <x v="1"/>
    <x v="0"/>
    <n v="75"/>
    <n v="5170"/>
    <n v="15.71655369"/>
    <n v="0.15716553689999999"/>
    <n v="84"/>
    <d v="1899-12-30T01:24:00"/>
    <n v="4"/>
    <n v="10460"/>
    <x v="0"/>
    <n v="5290"/>
    <n v="0.50573613766730396"/>
  </r>
  <r>
    <s v="P-0092"/>
    <x v="7"/>
    <x v="5"/>
    <x v="0"/>
    <x v="54"/>
    <x v="1"/>
    <x v="1"/>
    <x v="4"/>
    <n v="74"/>
    <n v="2690"/>
    <n v="6.9335289930000004"/>
    <n v="6.9335289930000002E-2"/>
    <n v="114"/>
    <d v="1899-12-30T01:54:00"/>
    <n v="1"/>
    <n v="34783"/>
    <x v="0"/>
    <n v="32093"/>
    <n v="0.92266337003708709"/>
  </r>
  <r>
    <s v="P-0093"/>
    <x v="14"/>
    <x v="2"/>
    <x v="2"/>
    <x v="55"/>
    <x v="0"/>
    <x v="1"/>
    <x v="5"/>
    <n v="94"/>
    <n v="9684"/>
    <n v="14.007418729999999"/>
    <n v="0.14007418729999999"/>
    <n v="58"/>
    <d v="1899-12-30T00:58:00"/>
    <n v="1"/>
    <n v="10275"/>
    <x v="0"/>
    <n v="591"/>
    <n v="5.7518248175182481E-2"/>
  </r>
  <r>
    <s v="P-0094"/>
    <x v="9"/>
    <x v="7"/>
    <x v="0"/>
    <x v="54"/>
    <x v="1"/>
    <x v="0"/>
    <x v="4"/>
    <n v="90"/>
    <n v="3212"/>
    <n v="20.123266579999999"/>
    <n v="0.20123266579999999"/>
    <n v="88"/>
    <d v="1899-12-30T01:28:00"/>
    <n v="4"/>
    <n v="29677"/>
    <x v="0"/>
    <n v="26465"/>
    <n v="0.8917680358526805"/>
  </r>
  <r>
    <s v="P-0095"/>
    <x v="5"/>
    <x v="7"/>
    <x v="1"/>
    <x v="12"/>
    <x v="3"/>
    <x v="0"/>
    <x v="3"/>
    <n v="78"/>
    <n v="2692"/>
    <n v="11.951430480000001"/>
    <n v="0.11951430480000001"/>
    <n v="102"/>
    <d v="1899-12-30T01:42:00"/>
    <n v="3"/>
    <n v="14269"/>
    <x v="0"/>
    <n v="11577"/>
    <n v="0.8113392669423225"/>
  </r>
  <r>
    <s v="P-0096"/>
    <x v="6"/>
    <x v="4"/>
    <x v="2"/>
    <x v="43"/>
    <x v="1"/>
    <x v="3"/>
    <x v="2"/>
    <n v="64"/>
    <n v="1748"/>
    <n v="18.298234489999999"/>
    <n v="0.18298234489999998"/>
    <n v="163"/>
    <d v="1899-12-30T02:43:00"/>
    <n v="4"/>
    <n v="1406"/>
    <x v="0"/>
    <n v="-342"/>
    <n v="-0.24324324324324326"/>
  </r>
  <r>
    <s v="P-0097"/>
    <x v="4"/>
    <x v="1"/>
    <x v="2"/>
    <x v="21"/>
    <x v="1"/>
    <x v="1"/>
    <x v="5"/>
    <n v="94"/>
    <n v="4533"/>
    <n v="20.908999219999998"/>
    <n v="0.20908999219999999"/>
    <n v="27"/>
    <d v="1899-12-30T00:27:00"/>
    <n v="2"/>
    <n v="8384"/>
    <x v="0"/>
    <n v="3851"/>
    <n v="0.45932729007633588"/>
  </r>
  <r>
    <s v="P-0098"/>
    <x v="13"/>
    <x v="6"/>
    <x v="1"/>
    <x v="56"/>
    <x v="0"/>
    <x v="0"/>
    <x v="2"/>
    <n v="50"/>
    <n v="2497"/>
    <n v="23.543556389999999"/>
    <n v="0.23543556389999998"/>
    <n v="105"/>
    <d v="1899-12-30T01:45:00"/>
    <n v="1"/>
    <n v="23553"/>
    <x v="0"/>
    <n v="21056"/>
    <n v="0.89398378125928757"/>
  </r>
  <r>
    <s v="P-0099"/>
    <x v="8"/>
    <x v="2"/>
    <x v="0"/>
    <x v="20"/>
    <x v="2"/>
    <x v="0"/>
    <x v="4"/>
    <n v="74"/>
    <n v="4187"/>
    <n v="9.6928416370000008"/>
    <n v="9.6928416370000006E-2"/>
    <n v="47"/>
    <d v="1899-12-30T00:47:00"/>
    <n v="4"/>
    <n v="25366"/>
    <x v="0"/>
    <n v="21179"/>
    <n v="0.83493652921233141"/>
  </r>
  <r>
    <s v="P-0100"/>
    <x v="10"/>
    <x v="1"/>
    <x v="1"/>
    <x v="16"/>
    <x v="1"/>
    <x v="3"/>
    <x v="1"/>
    <n v="56"/>
    <n v="4518"/>
    <n v="12.986318320000001"/>
    <n v="0.12986318320000001"/>
    <n v="96"/>
    <d v="1899-12-30T01:36:00"/>
    <n v="3"/>
    <n v="45036"/>
    <x v="0"/>
    <n v="40518"/>
    <n v="0.8996802557953637"/>
  </r>
  <r>
    <s v="P-0101"/>
    <x v="8"/>
    <x v="6"/>
    <x v="0"/>
    <x v="57"/>
    <x v="2"/>
    <x v="3"/>
    <x v="3"/>
    <n v="58"/>
    <n v="2470"/>
    <n v="8.0483202669999994"/>
    <n v="8.048320266999999E-2"/>
    <n v="97"/>
    <d v="1899-12-30T01:37:00"/>
    <n v="4"/>
    <n v="18369"/>
    <x v="1"/>
    <n v="15899"/>
    <n v="0.8655343241330502"/>
  </r>
  <r>
    <s v="P-0102"/>
    <x v="2"/>
    <x v="1"/>
    <x v="0"/>
    <x v="53"/>
    <x v="0"/>
    <x v="2"/>
    <x v="4"/>
    <n v="73"/>
    <n v="8889"/>
    <n v="24.849670039999999"/>
    <n v="0.24849670039999999"/>
    <n v="59"/>
    <d v="1899-12-30T00:59:00"/>
    <n v="1"/>
    <n v="12795"/>
    <x v="0"/>
    <n v="3906"/>
    <n v="0.30527549824150058"/>
  </r>
  <r>
    <s v="P-0103"/>
    <x v="3"/>
    <x v="5"/>
    <x v="2"/>
    <x v="29"/>
    <x v="0"/>
    <x v="2"/>
    <x v="5"/>
    <n v="50"/>
    <n v="6265"/>
    <n v="23.540019359999999"/>
    <n v="0.23540019359999997"/>
    <n v="17"/>
    <d v="1899-12-30T00:17:00"/>
    <n v="4"/>
    <n v="5485"/>
    <x v="0"/>
    <n v="-780"/>
    <n v="-0.14220601640838651"/>
  </r>
  <r>
    <s v="P-0104"/>
    <x v="8"/>
    <x v="1"/>
    <x v="1"/>
    <x v="58"/>
    <x v="0"/>
    <x v="3"/>
    <x v="4"/>
    <n v="93"/>
    <n v="1702"/>
    <n v="15.799142610000001"/>
    <n v="0.1579914261"/>
    <n v="178"/>
    <d v="1899-12-30T02:58:00"/>
    <n v="4"/>
    <n v="42669"/>
    <x v="0"/>
    <n v="40967"/>
    <n v="0.96011155639925938"/>
  </r>
  <r>
    <s v="P-0105"/>
    <x v="4"/>
    <x v="7"/>
    <x v="1"/>
    <x v="24"/>
    <x v="2"/>
    <x v="2"/>
    <x v="1"/>
    <n v="57"/>
    <n v="8635"/>
    <n v="21.84066589"/>
    <n v="0.21840665889999999"/>
    <n v="143"/>
    <d v="1899-12-30T02:23:00"/>
    <n v="1"/>
    <n v="3618"/>
    <x v="0"/>
    <n v="-5017"/>
    <n v="-1.386677722498618"/>
  </r>
  <r>
    <s v="P-0106"/>
    <x v="7"/>
    <x v="0"/>
    <x v="1"/>
    <x v="59"/>
    <x v="0"/>
    <x v="0"/>
    <x v="0"/>
    <n v="73"/>
    <n v="6067"/>
    <n v="15.41915955"/>
    <n v="0.1541915955"/>
    <n v="78"/>
    <d v="1899-12-30T01:18:00"/>
    <n v="2"/>
    <n v="31143"/>
    <x v="0"/>
    <n v="25076"/>
    <n v="0.80518896702308707"/>
  </r>
  <r>
    <s v="P-0107"/>
    <x v="14"/>
    <x v="1"/>
    <x v="1"/>
    <x v="28"/>
    <x v="2"/>
    <x v="3"/>
    <x v="4"/>
    <n v="60"/>
    <n v="8167"/>
    <n v="17.47171376"/>
    <n v="0.17471713759999999"/>
    <n v="130"/>
    <d v="1899-12-30T02:10:00"/>
    <n v="2"/>
    <n v="30425"/>
    <x v="0"/>
    <n v="22258"/>
    <n v="0.73156943303204602"/>
  </r>
  <r>
    <s v="P-0108"/>
    <x v="5"/>
    <x v="5"/>
    <x v="0"/>
    <x v="60"/>
    <x v="2"/>
    <x v="3"/>
    <x v="2"/>
    <n v="66"/>
    <n v="6242"/>
    <n v="6.7824886419999997"/>
    <n v="6.7824886419999994E-2"/>
    <n v="73"/>
    <d v="1899-12-30T01:13:00"/>
    <n v="1"/>
    <n v="23673"/>
    <x v="0"/>
    <n v="17431"/>
    <n v="0.73632408228783841"/>
  </r>
  <r>
    <s v="P-0109"/>
    <x v="0"/>
    <x v="1"/>
    <x v="2"/>
    <x v="57"/>
    <x v="2"/>
    <x v="1"/>
    <x v="5"/>
    <n v="57"/>
    <n v="6288"/>
    <n v="20.105408409999999"/>
    <n v="0.2010540841"/>
    <n v="166"/>
    <d v="1899-12-30T02:46:00"/>
    <n v="4"/>
    <n v="10603"/>
    <x v="0"/>
    <n v="4315"/>
    <n v="0.40696029425634256"/>
  </r>
  <r>
    <s v="P-0110"/>
    <x v="11"/>
    <x v="3"/>
    <x v="2"/>
    <x v="61"/>
    <x v="2"/>
    <x v="0"/>
    <x v="1"/>
    <n v="84"/>
    <n v="5908"/>
    <n v="7.5542696730000003"/>
    <n v="7.5542696729999997E-2"/>
    <n v="165"/>
    <d v="1899-12-30T02:45:00"/>
    <n v="1"/>
    <n v="40696"/>
    <x v="0"/>
    <n v="34788"/>
    <n v="0.85482602712797329"/>
  </r>
  <r>
    <s v="P-0111"/>
    <x v="7"/>
    <x v="5"/>
    <x v="1"/>
    <x v="22"/>
    <x v="3"/>
    <x v="0"/>
    <x v="0"/>
    <n v="84"/>
    <n v="9169"/>
    <n v="21.521352610000001"/>
    <n v="0.2152135261"/>
    <n v="148"/>
    <d v="1899-12-30T02:28:00"/>
    <n v="2"/>
    <n v="6368"/>
    <x v="0"/>
    <n v="-2801"/>
    <n v="-0.43985552763819097"/>
  </r>
  <r>
    <s v="P-0112"/>
    <x v="6"/>
    <x v="0"/>
    <x v="2"/>
    <x v="35"/>
    <x v="2"/>
    <x v="1"/>
    <x v="2"/>
    <n v="82"/>
    <n v="9946"/>
    <n v="20.64056175"/>
    <n v="0.2064056175"/>
    <n v="130"/>
    <d v="1899-12-30T02:10:00"/>
    <n v="3"/>
    <n v="5621"/>
    <x v="0"/>
    <n v="-4325"/>
    <n v="-0.76943604340864613"/>
  </r>
  <r>
    <s v="P-0113"/>
    <x v="7"/>
    <x v="3"/>
    <x v="2"/>
    <x v="58"/>
    <x v="0"/>
    <x v="2"/>
    <x v="4"/>
    <n v="54"/>
    <n v="1422"/>
    <n v="19.174893950000001"/>
    <n v="0.19174893950000002"/>
    <n v="74"/>
    <d v="1899-12-30T01:14:00"/>
    <n v="4"/>
    <n v="15719"/>
    <x v="0"/>
    <n v="14297"/>
    <n v="0.90953623004007889"/>
  </r>
  <r>
    <s v="P-0114"/>
    <x v="3"/>
    <x v="5"/>
    <x v="0"/>
    <x v="45"/>
    <x v="3"/>
    <x v="3"/>
    <x v="2"/>
    <n v="91"/>
    <n v="919"/>
    <n v="5.7232076100000002"/>
    <n v="5.7232076100000001E-2"/>
    <n v="116"/>
    <d v="1899-12-30T01:56:00"/>
    <n v="2"/>
    <n v="30227"/>
    <x v="0"/>
    <n v="29308"/>
    <n v="0.96959671816587822"/>
  </r>
  <r>
    <s v="P-0115"/>
    <x v="7"/>
    <x v="2"/>
    <x v="0"/>
    <x v="62"/>
    <x v="1"/>
    <x v="2"/>
    <x v="0"/>
    <n v="88"/>
    <n v="2704"/>
    <n v="11.062567120000001"/>
    <n v="0.11062567120000001"/>
    <n v="156"/>
    <d v="1899-12-30T02:36:00"/>
    <n v="4"/>
    <n v="44894"/>
    <x v="0"/>
    <n v="42190"/>
    <n v="0.93976923419610636"/>
  </r>
  <r>
    <s v="P-0116"/>
    <x v="10"/>
    <x v="6"/>
    <x v="2"/>
    <x v="63"/>
    <x v="2"/>
    <x v="0"/>
    <x v="4"/>
    <n v="90"/>
    <n v="1620"/>
    <n v="10.2622514"/>
    <n v="0.102622514"/>
    <n v="146"/>
    <d v="1899-12-30T02:26:00"/>
    <n v="1"/>
    <n v="8566"/>
    <x v="0"/>
    <n v="6946"/>
    <n v="0.8108802241419566"/>
  </r>
  <r>
    <s v="P-0117"/>
    <x v="0"/>
    <x v="5"/>
    <x v="1"/>
    <x v="64"/>
    <x v="3"/>
    <x v="2"/>
    <x v="4"/>
    <n v="77"/>
    <n v="1450"/>
    <n v="12.20272815"/>
    <n v="0.1220272815"/>
    <n v="164"/>
    <d v="1899-12-30T02:44:00"/>
    <n v="3"/>
    <n v="13306"/>
    <x v="0"/>
    <n v="11856"/>
    <n v="0.8910266045393056"/>
  </r>
  <r>
    <s v="P-0118"/>
    <x v="11"/>
    <x v="0"/>
    <x v="1"/>
    <x v="40"/>
    <x v="3"/>
    <x v="0"/>
    <x v="3"/>
    <n v="56"/>
    <n v="2836"/>
    <n v="6.7528549350000002"/>
    <n v="6.7528549350000008E-2"/>
    <n v="171"/>
    <d v="1899-12-30T02:51:00"/>
    <n v="1"/>
    <n v="25042"/>
    <x v="0"/>
    <n v="22206"/>
    <n v="0.88675025956393261"/>
  </r>
  <r>
    <s v="P-0119"/>
    <x v="6"/>
    <x v="4"/>
    <x v="0"/>
    <x v="65"/>
    <x v="2"/>
    <x v="3"/>
    <x v="2"/>
    <n v="58"/>
    <n v="5873"/>
    <n v="23.73915646"/>
    <n v="0.23739156459999999"/>
    <n v="109"/>
    <d v="1899-12-30T01:49:00"/>
    <n v="3"/>
    <n v="16086"/>
    <x v="0"/>
    <n v="10213"/>
    <n v="0.63489991296779813"/>
  </r>
  <r>
    <s v="P-0120"/>
    <x v="2"/>
    <x v="6"/>
    <x v="2"/>
    <x v="7"/>
    <x v="3"/>
    <x v="3"/>
    <x v="2"/>
    <n v="57"/>
    <n v="2743"/>
    <n v="16.076044809999999"/>
    <n v="0.16076044809999998"/>
    <n v="91"/>
    <d v="1899-12-30T01:31:00"/>
    <n v="4"/>
    <n v="18387"/>
    <x v="0"/>
    <n v="15644"/>
    <n v="0.85081851307989342"/>
  </r>
  <r>
    <s v="P-0121"/>
    <x v="1"/>
    <x v="5"/>
    <x v="2"/>
    <x v="33"/>
    <x v="3"/>
    <x v="3"/>
    <x v="0"/>
    <n v="61"/>
    <n v="3145"/>
    <n v="11.110486209999999"/>
    <n v="0.11110486209999999"/>
    <n v="152"/>
    <d v="1899-12-30T02:32:00"/>
    <n v="4"/>
    <n v="28042"/>
    <x v="0"/>
    <n v="24897"/>
    <n v="0.88784680122673132"/>
  </r>
  <r>
    <s v="P-0122"/>
    <x v="8"/>
    <x v="6"/>
    <x v="2"/>
    <x v="3"/>
    <x v="0"/>
    <x v="1"/>
    <x v="0"/>
    <n v="83"/>
    <n v="5112"/>
    <n v="12.939630340000001"/>
    <n v="0.1293963034"/>
    <n v="60"/>
    <d v="1899-12-30T01:00:00"/>
    <n v="1"/>
    <n v="24888"/>
    <x v="0"/>
    <n v="19776"/>
    <n v="0.79459980713596912"/>
  </r>
  <r>
    <s v="P-0123"/>
    <x v="11"/>
    <x v="1"/>
    <x v="0"/>
    <x v="66"/>
    <x v="1"/>
    <x v="1"/>
    <x v="1"/>
    <n v="82"/>
    <n v="2365"/>
    <n v="13.94405081"/>
    <n v="0.1394405081"/>
    <n v="150"/>
    <d v="1899-12-30T02:30:00"/>
    <n v="3"/>
    <n v="27514"/>
    <x v="0"/>
    <n v="25149"/>
    <n v="0.91404375954059747"/>
  </r>
  <r>
    <s v="P-0124"/>
    <x v="2"/>
    <x v="5"/>
    <x v="0"/>
    <x v="22"/>
    <x v="3"/>
    <x v="1"/>
    <x v="4"/>
    <n v="97"/>
    <n v="6528"/>
    <n v="17.011886669999999"/>
    <n v="0.17011886669999998"/>
    <n v="92"/>
    <d v="1899-12-30T01:32:00"/>
    <n v="3"/>
    <n v="19323"/>
    <x v="0"/>
    <n v="12795"/>
    <n v="0.6621642602080422"/>
  </r>
  <r>
    <s v="P-0125"/>
    <x v="14"/>
    <x v="3"/>
    <x v="2"/>
    <x v="36"/>
    <x v="2"/>
    <x v="3"/>
    <x v="4"/>
    <n v="72"/>
    <n v="7826"/>
    <n v="15.31358855"/>
    <n v="0.15313588550000001"/>
    <n v="121"/>
    <d v="1899-12-30T02:01:00"/>
    <n v="4"/>
    <n v="19019"/>
    <x v="0"/>
    <n v="11193"/>
    <n v="0.58851674641148322"/>
  </r>
  <r>
    <s v="P-0126"/>
    <x v="7"/>
    <x v="0"/>
    <x v="1"/>
    <x v="45"/>
    <x v="3"/>
    <x v="3"/>
    <x v="2"/>
    <n v="73"/>
    <n v="6871"/>
    <n v="23.387839459999999"/>
    <n v="0.23387839459999998"/>
    <n v="65"/>
    <d v="1899-12-30T01:05:00"/>
    <n v="1"/>
    <n v="10890"/>
    <x v="0"/>
    <n v="4019"/>
    <n v="0.36905417814508723"/>
  </r>
  <r>
    <s v="P-0127"/>
    <x v="12"/>
    <x v="7"/>
    <x v="1"/>
    <x v="20"/>
    <x v="2"/>
    <x v="2"/>
    <x v="3"/>
    <n v="86"/>
    <n v="6859"/>
    <n v="14.939269660000001"/>
    <n v="0.14939269660000001"/>
    <n v="174"/>
    <d v="1899-12-30T02:54:00"/>
    <n v="3"/>
    <n v="41863"/>
    <x v="0"/>
    <n v="35004"/>
    <n v="0.83615603277357098"/>
  </r>
  <r>
    <s v="P-0128"/>
    <x v="4"/>
    <x v="7"/>
    <x v="0"/>
    <x v="67"/>
    <x v="0"/>
    <x v="0"/>
    <x v="0"/>
    <n v="84"/>
    <n v="8363"/>
    <n v="24.843160300000001"/>
    <n v="0.248431603"/>
    <n v="154"/>
    <d v="1899-12-30T02:34:00"/>
    <n v="4"/>
    <n v="46487"/>
    <x v="0"/>
    <n v="38124"/>
    <n v="0.82010024307871021"/>
  </r>
  <r>
    <s v="P-0129"/>
    <x v="4"/>
    <x v="0"/>
    <x v="1"/>
    <x v="13"/>
    <x v="1"/>
    <x v="1"/>
    <x v="2"/>
    <n v="93"/>
    <n v="3728"/>
    <n v="22.028499149999998"/>
    <n v="0.22028499149999997"/>
    <n v="166"/>
    <d v="1899-12-30T02:46:00"/>
    <n v="2"/>
    <n v="11283"/>
    <x v="0"/>
    <n v="7555"/>
    <n v="0.66959142072143929"/>
  </r>
  <r>
    <s v="P-0130"/>
    <x v="0"/>
    <x v="4"/>
    <x v="1"/>
    <x v="5"/>
    <x v="1"/>
    <x v="3"/>
    <x v="1"/>
    <n v="89"/>
    <n v="4219"/>
    <n v="9.1702102869999997"/>
    <n v="9.1702102869999996E-2"/>
    <n v="170"/>
    <d v="1899-12-30T02:50:00"/>
    <n v="1"/>
    <n v="19279"/>
    <x v="0"/>
    <n v="15060"/>
    <n v="0.78116084859173196"/>
  </r>
  <r>
    <s v="P-0131"/>
    <x v="9"/>
    <x v="0"/>
    <x v="2"/>
    <x v="68"/>
    <x v="3"/>
    <x v="3"/>
    <x v="0"/>
    <n v="71"/>
    <n v="2871"/>
    <n v="23.611904289999998"/>
    <n v="0.23611904289999999"/>
    <n v="69"/>
    <d v="1899-12-30T01:09:00"/>
    <n v="2"/>
    <n v="47999"/>
    <x v="0"/>
    <n v="45128"/>
    <n v="0.9401862538802892"/>
  </r>
  <r>
    <s v="P-0132"/>
    <x v="12"/>
    <x v="1"/>
    <x v="2"/>
    <x v="7"/>
    <x v="3"/>
    <x v="0"/>
    <x v="5"/>
    <n v="76"/>
    <n v="3391"/>
    <n v="7.3273279579999997"/>
    <n v="7.3273279580000003E-2"/>
    <n v="129"/>
    <d v="1899-12-30T02:09:00"/>
    <n v="1"/>
    <n v="23908"/>
    <x v="0"/>
    <n v="20517"/>
    <n v="0.85816463108582897"/>
  </r>
  <r>
    <s v="P-0133"/>
    <x v="9"/>
    <x v="0"/>
    <x v="1"/>
    <x v="60"/>
    <x v="2"/>
    <x v="1"/>
    <x v="1"/>
    <n v="84"/>
    <n v="4256"/>
    <n v="21.348994170000001"/>
    <n v="0.21348994170000002"/>
    <n v="147"/>
    <d v="1899-12-30T02:27:00"/>
    <n v="4"/>
    <n v="48466"/>
    <x v="0"/>
    <n v="44210"/>
    <n v="0.91218586225395126"/>
  </r>
  <r>
    <s v="P-0134"/>
    <x v="12"/>
    <x v="0"/>
    <x v="0"/>
    <x v="50"/>
    <x v="1"/>
    <x v="1"/>
    <x v="5"/>
    <n v="50"/>
    <n v="4725"/>
    <n v="12.612465869999999"/>
    <n v="0.1261246587"/>
    <n v="32"/>
    <d v="1899-12-30T00:32:00"/>
    <n v="3"/>
    <n v="38952"/>
    <x v="0"/>
    <n v="34227"/>
    <n v="0.87869685767097971"/>
  </r>
  <r>
    <s v="P-0135"/>
    <x v="0"/>
    <x v="6"/>
    <x v="2"/>
    <x v="57"/>
    <x v="2"/>
    <x v="2"/>
    <x v="1"/>
    <n v="84"/>
    <n v="594"/>
    <n v="22.559486410000002"/>
    <n v="0.22559486410000001"/>
    <n v="158"/>
    <d v="1899-12-30T02:38:00"/>
    <n v="3"/>
    <n v="36170"/>
    <x v="0"/>
    <n v="35576"/>
    <n v="0.98357755045617912"/>
  </r>
  <r>
    <s v="P-0136"/>
    <x v="13"/>
    <x v="7"/>
    <x v="1"/>
    <x v="23"/>
    <x v="1"/>
    <x v="3"/>
    <x v="3"/>
    <n v="86"/>
    <n v="3174"/>
    <n v="22.361133800000001"/>
    <n v="0.22361133800000002"/>
    <n v="22"/>
    <d v="1899-12-30T00:22:00"/>
    <n v="3"/>
    <n v="38663"/>
    <x v="0"/>
    <n v="35489"/>
    <n v="0.91790600832837599"/>
  </r>
  <r>
    <s v="P-0137"/>
    <x v="1"/>
    <x v="4"/>
    <x v="2"/>
    <x v="69"/>
    <x v="0"/>
    <x v="2"/>
    <x v="4"/>
    <n v="96"/>
    <n v="7398"/>
    <n v="21.118507999999999"/>
    <n v="0.21118508"/>
    <n v="110"/>
    <d v="1899-12-30T01:50:00"/>
    <n v="1"/>
    <n v="45172"/>
    <x v="0"/>
    <n v="37774"/>
    <n v="0.8362259806960064"/>
  </r>
  <r>
    <s v="P-0138"/>
    <x v="6"/>
    <x v="6"/>
    <x v="2"/>
    <x v="59"/>
    <x v="0"/>
    <x v="3"/>
    <x v="0"/>
    <n v="63"/>
    <n v="1293"/>
    <n v="20.80060873"/>
    <n v="0.2080060873"/>
    <n v="170"/>
    <d v="1899-12-30T02:50:00"/>
    <n v="4"/>
    <n v="48929"/>
    <x v="0"/>
    <n v="47636"/>
    <n v="0.9735739540967524"/>
  </r>
  <r>
    <s v="P-0139"/>
    <x v="6"/>
    <x v="7"/>
    <x v="1"/>
    <x v="52"/>
    <x v="2"/>
    <x v="0"/>
    <x v="1"/>
    <n v="52"/>
    <n v="2616"/>
    <n v="11.09358278"/>
    <n v="0.1109358278"/>
    <n v="33"/>
    <d v="1899-12-30T00:33:00"/>
    <n v="2"/>
    <n v="10343"/>
    <x v="0"/>
    <n v="7727"/>
    <n v="0.74707531663927296"/>
  </r>
  <r>
    <s v="P-0140"/>
    <x v="5"/>
    <x v="0"/>
    <x v="1"/>
    <x v="70"/>
    <x v="2"/>
    <x v="2"/>
    <x v="4"/>
    <n v="50"/>
    <n v="6279"/>
    <n v="6.6183856609999996"/>
    <n v="6.6183856609999994E-2"/>
    <n v="117"/>
    <d v="1899-12-30T01:57:00"/>
    <n v="4"/>
    <n v="11637"/>
    <x v="0"/>
    <n v="5358"/>
    <n v="0.46042794534673886"/>
  </r>
  <r>
    <s v="P-0141"/>
    <x v="13"/>
    <x v="7"/>
    <x v="0"/>
    <x v="1"/>
    <x v="1"/>
    <x v="3"/>
    <x v="2"/>
    <n v="54"/>
    <n v="6666"/>
    <n v="13.059603579999999"/>
    <n v="0.13059603579999998"/>
    <n v="20"/>
    <d v="1899-12-30T00:20:00"/>
    <n v="2"/>
    <n v="35724"/>
    <x v="0"/>
    <n v="29058"/>
    <n v="0.81340275445078936"/>
  </r>
  <r>
    <s v="P-0142"/>
    <x v="5"/>
    <x v="2"/>
    <x v="1"/>
    <x v="43"/>
    <x v="1"/>
    <x v="1"/>
    <x v="4"/>
    <n v="75"/>
    <n v="1314"/>
    <n v="8.4704902999999998"/>
    <n v="8.4704902999999998E-2"/>
    <n v="26"/>
    <d v="1899-12-30T00:26:00"/>
    <n v="1"/>
    <n v="40791"/>
    <x v="0"/>
    <n v="39477"/>
    <n v="0.96778701184084726"/>
  </r>
  <r>
    <s v="P-0143"/>
    <x v="4"/>
    <x v="5"/>
    <x v="2"/>
    <x v="28"/>
    <x v="2"/>
    <x v="0"/>
    <x v="5"/>
    <n v="63"/>
    <n v="845"/>
    <n v="18.899021780000002"/>
    <n v="0.18899021780000003"/>
    <n v="34"/>
    <d v="1899-12-30T00:34:00"/>
    <n v="1"/>
    <n v="30134"/>
    <x v="0"/>
    <n v="29289"/>
    <n v="0.97195858498705778"/>
  </r>
  <r>
    <s v="P-0144"/>
    <x v="3"/>
    <x v="5"/>
    <x v="0"/>
    <x v="45"/>
    <x v="3"/>
    <x v="3"/>
    <x v="2"/>
    <n v="88"/>
    <n v="9054"/>
    <n v="11.921994529999999"/>
    <n v="0.11921994529999999"/>
    <n v="103"/>
    <d v="1899-12-30T01:43:00"/>
    <n v="2"/>
    <n v="47830"/>
    <x v="0"/>
    <n v="38776"/>
    <n v="0.81070457871628687"/>
  </r>
  <r>
    <s v="P-0145"/>
    <x v="9"/>
    <x v="3"/>
    <x v="1"/>
    <x v="65"/>
    <x v="2"/>
    <x v="2"/>
    <x v="3"/>
    <n v="76"/>
    <n v="2943"/>
    <n v="24.512204019999999"/>
    <n v="0.24512204019999997"/>
    <n v="30"/>
    <d v="1899-12-30T00:30:00"/>
    <n v="2"/>
    <n v="48101"/>
    <x v="0"/>
    <n v="45158"/>
    <n v="0.9388162408265941"/>
  </r>
  <r>
    <s v="P-0146"/>
    <x v="3"/>
    <x v="1"/>
    <x v="2"/>
    <x v="24"/>
    <x v="2"/>
    <x v="2"/>
    <x v="3"/>
    <n v="58"/>
    <n v="8283"/>
    <n v="17.819441550000001"/>
    <n v="0.17819441550000001"/>
    <n v="93"/>
    <d v="1899-12-30T01:33:00"/>
    <n v="2"/>
    <n v="4907"/>
    <x v="0"/>
    <n v="-3376"/>
    <n v="-0.68799673935194616"/>
  </r>
  <r>
    <s v="P-0147"/>
    <x v="0"/>
    <x v="0"/>
    <x v="0"/>
    <x v="71"/>
    <x v="2"/>
    <x v="3"/>
    <x v="5"/>
    <n v="64"/>
    <n v="1484"/>
    <n v="21.449611269999998"/>
    <n v="0.21449611269999999"/>
    <n v="149"/>
    <d v="1899-12-30T02:29:00"/>
    <n v="4"/>
    <n v="34575"/>
    <x v="0"/>
    <n v="33091"/>
    <n v="0.95707881417208962"/>
  </r>
  <r>
    <s v="P-0148"/>
    <x v="12"/>
    <x v="0"/>
    <x v="0"/>
    <x v="62"/>
    <x v="1"/>
    <x v="0"/>
    <x v="2"/>
    <n v="64"/>
    <n v="8290"/>
    <n v="7.6504934550000003"/>
    <n v="7.6504934550000001E-2"/>
    <n v="46"/>
    <d v="1899-12-30T00:46:00"/>
    <n v="2"/>
    <n v="47799"/>
    <x v="0"/>
    <n v="39509"/>
    <n v="0.82656540931818656"/>
  </r>
  <r>
    <s v="P-0149"/>
    <x v="10"/>
    <x v="2"/>
    <x v="0"/>
    <x v="43"/>
    <x v="1"/>
    <x v="3"/>
    <x v="4"/>
    <n v="75"/>
    <n v="1327"/>
    <n v="22.240289650000001"/>
    <n v="0.2224028965"/>
    <n v="51"/>
    <d v="1899-12-30T00:51:00"/>
    <n v="1"/>
    <n v="5827"/>
    <x v="0"/>
    <n v="4500"/>
    <n v="0.77226703277844522"/>
  </r>
  <r>
    <s v="P-0150"/>
    <x v="1"/>
    <x v="2"/>
    <x v="2"/>
    <x v="72"/>
    <x v="1"/>
    <x v="2"/>
    <x v="5"/>
    <n v="91"/>
    <n v="4031"/>
    <n v="23.455143809999999"/>
    <n v="0.23455143809999998"/>
    <n v="154"/>
    <d v="1899-12-30T02:34:00"/>
    <n v="1"/>
    <n v="31607"/>
    <x v="0"/>
    <n v="27576"/>
    <n v="0.87246496029360587"/>
  </r>
  <r>
    <s v="P-0151"/>
    <x v="5"/>
    <x v="1"/>
    <x v="2"/>
    <x v="53"/>
    <x v="0"/>
    <x v="2"/>
    <x v="4"/>
    <n v="62"/>
    <n v="7647"/>
    <n v="14.74123838"/>
    <n v="0.14741238379999999"/>
    <n v="110"/>
    <d v="1899-12-30T01:50:00"/>
    <n v="3"/>
    <n v="14699"/>
    <x v="0"/>
    <n v="7052"/>
    <n v="0.47976052792706986"/>
  </r>
  <r>
    <s v="P-0152"/>
    <x v="12"/>
    <x v="4"/>
    <x v="0"/>
    <x v="13"/>
    <x v="1"/>
    <x v="1"/>
    <x v="2"/>
    <n v="81"/>
    <n v="4951"/>
    <n v="17.125058760000002"/>
    <n v="0.1712505876"/>
    <n v="57"/>
    <d v="1899-12-30T00:57:00"/>
    <n v="2"/>
    <n v="38292"/>
    <x v="0"/>
    <n v="33341"/>
    <n v="0.87070406351196072"/>
  </r>
  <r>
    <s v="P-0153"/>
    <x v="10"/>
    <x v="7"/>
    <x v="2"/>
    <x v="73"/>
    <x v="1"/>
    <x v="1"/>
    <x v="3"/>
    <n v="88"/>
    <n v="4376"/>
    <n v="20.29619602"/>
    <n v="0.20296196020000001"/>
    <n v="112"/>
    <d v="1899-12-30T01:52:00"/>
    <n v="4"/>
    <n v="48961"/>
    <x v="0"/>
    <n v="44585"/>
    <n v="0.91062274054859993"/>
  </r>
  <r>
    <s v="P-0154"/>
    <x v="12"/>
    <x v="3"/>
    <x v="0"/>
    <x v="34"/>
    <x v="0"/>
    <x v="2"/>
    <x v="4"/>
    <n v="98"/>
    <n v="6459"/>
    <n v="8.4967725450000007"/>
    <n v="8.4967725450000003E-2"/>
    <n v="37"/>
    <d v="1899-12-30T00:37:00"/>
    <n v="4"/>
    <n v="26883"/>
    <x v="0"/>
    <n v="20424"/>
    <n v="0.75973663653610091"/>
  </r>
  <r>
    <s v="P-0155"/>
    <x v="12"/>
    <x v="2"/>
    <x v="0"/>
    <x v="14"/>
    <x v="3"/>
    <x v="1"/>
    <x v="4"/>
    <n v="81"/>
    <n v="626"/>
    <n v="15.051321529999999"/>
    <n v="0.1505132153"/>
    <n v="50"/>
    <d v="1899-12-30T00:50:00"/>
    <n v="4"/>
    <n v="49991"/>
    <x v="0"/>
    <n v="49365"/>
    <n v="0.98747774599427895"/>
  </r>
  <r>
    <s v="P-0156"/>
    <x v="7"/>
    <x v="6"/>
    <x v="2"/>
    <x v="74"/>
    <x v="1"/>
    <x v="1"/>
    <x v="3"/>
    <n v="53"/>
    <n v="3677"/>
    <n v="12.97326056"/>
    <n v="0.12973260559999999"/>
    <n v="108"/>
    <d v="1899-12-30T01:48:00"/>
    <n v="3"/>
    <n v="6313"/>
    <x v="0"/>
    <n v="2636"/>
    <n v="0.41755108506256933"/>
  </r>
  <r>
    <s v="P-0157"/>
    <x v="12"/>
    <x v="5"/>
    <x v="2"/>
    <x v="22"/>
    <x v="3"/>
    <x v="3"/>
    <x v="5"/>
    <n v="79"/>
    <n v="9295"/>
    <n v="7.9274798430000004"/>
    <n v="7.9274798430000001E-2"/>
    <n v="56"/>
    <d v="1899-12-30T00:56:00"/>
    <n v="1"/>
    <n v="14598"/>
    <x v="0"/>
    <n v="5303"/>
    <n v="0.36326894095081519"/>
  </r>
  <r>
    <s v="P-0158"/>
    <x v="14"/>
    <x v="0"/>
    <x v="0"/>
    <x v="75"/>
    <x v="2"/>
    <x v="0"/>
    <x v="1"/>
    <n v="86"/>
    <n v="6524"/>
    <n v="12.35068845"/>
    <n v="0.1235068845"/>
    <n v="155"/>
    <d v="1899-12-30T02:35:00"/>
    <n v="4"/>
    <n v="46826"/>
    <x v="0"/>
    <n v="40302"/>
    <n v="0.86067569299107338"/>
  </r>
  <r>
    <s v="P-0159"/>
    <x v="3"/>
    <x v="5"/>
    <x v="2"/>
    <x v="27"/>
    <x v="2"/>
    <x v="3"/>
    <x v="4"/>
    <n v="72"/>
    <n v="5609"/>
    <n v="6.3634461880000002"/>
    <n v="6.3634461880000007E-2"/>
    <n v="114"/>
    <d v="1899-12-30T01:54:00"/>
    <n v="1"/>
    <n v="29807"/>
    <x v="0"/>
    <n v="24198"/>
    <n v="0.81182272620525375"/>
  </r>
  <r>
    <s v="P-0160"/>
    <x v="5"/>
    <x v="2"/>
    <x v="1"/>
    <x v="25"/>
    <x v="1"/>
    <x v="3"/>
    <x v="0"/>
    <n v="88"/>
    <n v="4646"/>
    <n v="5.5162381390000004"/>
    <n v="5.5162381390000001E-2"/>
    <n v="133"/>
    <d v="1899-12-30T02:13:00"/>
    <n v="3"/>
    <n v="5887"/>
    <x v="0"/>
    <n v="1241"/>
    <n v="0.21080346526244267"/>
  </r>
  <r>
    <s v="P-0161"/>
    <x v="0"/>
    <x v="2"/>
    <x v="0"/>
    <x v="40"/>
    <x v="3"/>
    <x v="1"/>
    <x v="0"/>
    <n v="94"/>
    <n v="7696"/>
    <n v="7.7033257830000004"/>
    <n v="7.7033257830000007E-2"/>
    <n v="22"/>
    <d v="1899-12-30T00:22:00"/>
    <n v="2"/>
    <n v="4854"/>
    <x v="0"/>
    <n v="-2842"/>
    <n v="-0.58549649773382773"/>
  </r>
  <r>
    <s v="P-0162"/>
    <x v="11"/>
    <x v="6"/>
    <x v="0"/>
    <x v="20"/>
    <x v="2"/>
    <x v="1"/>
    <x v="5"/>
    <n v="64"/>
    <n v="3868"/>
    <n v="24.26230223"/>
    <n v="0.24262302229999999"/>
    <n v="150"/>
    <d v="1899-12-30T02:30:00"/>
    <n v="2"/>
    <n v="46226"/>
    <x v="0"/>
    <n v="42358"/>
    <n v="0.91632414658417338"/>
  </r>
  <r>
    <s v="P-0163"/>
    <x v="9"/>
    <x v="6"/>
    <x v="2"/>
    <x v="9"/>
    <x v="2"/>
    <x v="0"/>
    <x v="4"/>
    <n v="92"/>
    <n v="4297"/>
    <n v="15.99059072"/>
    <n v="0.1599059072"/>
    <n v="109"/>
    <d v="1899-12-30T01:49:00"/>
    <n v="2"/>
    <n v="15536"/>
    <x v="0"/>
    <n v="11239"/>
    <n v="0.72341658084449023"/>
  </r>
  <r>
    <s v="P-0164"/>
    <x v="9"/>
    <x v="5"/>
    <x v="2"/>
    <x v="18"/>
    <x v="3"/>
    <x v="0"/>
    <x v="4"/>
    <n v="78"/>
    <n v="2292"/>
    <n v="24.31644322"/>
    <n v="0.2431644322"/>
    <n v="40"/>
    <d v="1899-12-30T00:40:00"/>
    <n v="4"/>
    <n v="4558"/>
    <x v="0"/>
    <n v="2266"/>
    <n v="0.4971478718736288"/>
  </r>
  <r>
    <s v="P-0165"/>
    <x v="8"/>
    <x v="1"/>
    <x v="2"/>
    <x v="36"/>
    <x v="2"/>
    <x v="0"/>
    <x v="1"/>
    <n v="85"/>
    <n v="6232"/>
    <n v="13.64995757"/>
    <n v="0.13649957569999999"/>
    <n v="139"/>
    <d v="1899-12-30T02:19:00"/>
    <n v="2"/>
    <n v="10772"/>
    <x v="0"/>
    <n v="4540"/>
    <n v="0.42146305235796511"/>
  </r>
  <r>
    <s v="P-0166"/>
    <x v="11"/>
    <x v="5"/>
    <x v="1"/>
    <x v="53"/>
    <x v="0"/>
    <x v="3"/>
    <x v="2"/>
    <n v="62"/>
    <n v="3976"/>
    <n v="11.236322660000001"/>
    <n v="0.1123632266"/>
    <n v="25"/>
    <d v="1899-12-30T00:25:00"/>
    <n v="4"/>
    <n v="37343"/>
    <x v="0"/>
    <n v="33367"/>
    <n v="0.89352756875451889"/>
  </r>
  <r>
    <s v="P-0167"/>
    <x v="9"/>
    <x v="2"/>
    <x v="2"/>
    <x v="5"/>
    <x v="1"/>
    <x v="0"/>
    <x v="1"/>
    <n v="81"/>
    <n v="3917"/>
    <n v="15.122837260000001"/>
    <n v="0.15122837259999999"/>
    <n v="146"/>
    <d v="1899-12-30T02:26:00"/>
    <n v="3"/>
    <n v="36186"/>
    <x v="0"/>
    <n v="32269"/>
    <n v="0.89175371690709115"/>
  </r>
  <r>
    <s v="P-0168"/>
    <x v="11"/>
    <x v="5"/>
    <x v="0"/>
    <x v="54"/>
    <x v="1"/>
    <x v="2"/>
    <x v="0"/>
    <n v="56"/>
    <n v="2145"/>
    <n v="13.79023377"/>
    <n v="0.13790233770000002"/>
    <n v="82"/>
    <d v="1899-12-30T01:22:00"/>
    <n v="3"/>
    <n v="37966"/>
    <x v="0"/>
    <n v="35821"/>
    <n v="0.94350208080914499"/>
  </r>
  <r>
    <s v="P-0169"/>
    <x v="11"/>
    <x v="0"/>
    <x v="2"/>
    <x v="39"/>
    <x v="0"/>
    <x v="2"/>
    <x v="0"/>
    <n v="71"/>
    <n v="9897"/>
    <n v="7.1132936850000004"/>
    <n v="7.1132936850000009E-2"/>
    <n v="175"/>
    <d v="1899-12-30T02:55:00"/>
    <n v="4"/>
    <n v="34769"/>
    <x v="0"/>
    <n v="24872"/>
    <n v="0.71534988064080074"/>
  </r>
  <r>
    <s v="P-0170"/>
    <x v="6"/>
    <x v="1"/>
    <x v="2"/>
    <x v="19"/>
    <x v="1"/>
    <x v="3"/>
    <x v="2"/>
    <n v="77"/>
    <n v="3530"/>
    <n v="17.816526289999999"/>
    <n v="0.17816526289999998"/>
    <n v="63"/>
    <d v="1899-12-30T01:03:00"/>
    <n v="1"/>
    <n v="40887"/>
    <x v="0"/>
    <n v="37357"/>
    <n v="0.91366448993567639"/>
  </r>
  <r>
    <s v="P-0171"/>
    <x v="0"/>
    <x v="2"/>
    <x v="0"/>
    <x v="58"/>
    <x v="0"/>
    <x v="1"/>
    <x v="0"/>
    <n v="51"/>
    <n v="3372"/>
    <n v="9.32076365"/>
    <n v="9.3207636499999996E-2"/>
    <n v="109"/>
    <d v="1899-12-30T01:49:00"/>
    <n v="2"/>
    <n v="20229"/>
    <x v="0"/>
    <n v="16857"/>
    <n v="0.83330861634287412"/>
  </r>
  <r>
    <s v="P-0172"/>
    <x v="13"/>
    <x v="2"/>
    <x v="0"/>
    <x v="58"/>
    <x v="0"/>
    <x v="0"/>
    <x v="0"/>
    <n v="91"/>
    <n v="3572"/>
    <n v="17.391759100000002"/>
    <n v="0.17391759100000001"/>
    <n v="118"/>
    <d v="1899-12-30T01:58:00"/>
    <n v="2"/>
    <n v="10673"/>
    <x v="0"/>
    <n v="7101"/>
    <n v="0.66532371404478596"/>
  </r>
  <r>
    <s v="P-0173"/>
    <x v="11"/>
    <x v="5"/>
    <x v="1"/>
    <x v="31"/>
    <x v="3"/>
    <x v="2"/>
    <x v="4"/>
    <n v="94"/>
    <n v="2354"/>
    <n v="18.004021850000001"/>
    <n v="0.18004021850000002"/>
    <n v="96"/>
    <d v="1899-12-30T01:36:00"/>
    <n v="2"/>
    <n v="28877"/>
    <x v="0"/>
    <n v="26523"/>
    <n v="0.91848183675589568"/>
  </r>
  <r>
    <s v="P-0174"/>
    <x v="6"/>
    <x v="7"/>
    <x v="2"/>
    <x v="76"/>
    <x v="2"/>
    <x v="0"/>
    <x v="2"/>
    <n v="55"/>
    <n v="4521"/>
    <n v="8.0404970630000001"/>
    <n v="8.0404970630000003E-2"/>
    <n v="171"/>
    <d v="1899-12-30T02:51:00"/>
    <n v="4"/>
    <n v="32601"/>
    <x v="0"/>
    <n v="28080"/>
    <n v="0.86132327229226102"/>
  </r>
  <r>
    <s v="P-0175"/>
    <x v="12"/>
    <x v="3"/>
    <x v="1"/>
    <x v="25"/>
    <x v="1"/>
    <x v="2"/>
    <x v="0"/>
    <n v="77"/>
    <n v="5162"/>
    <n v="6.2269925419999996"/>
    <n v="6.2269925419999997E-2"/>
    <n v="146"/>
    <d v="1899-12-30T02:26:00"/>
    <n v="3"/>
    <n v="39084"/>
    <x v="0"/>
    <n v="33922"/>
    <n v="0.86792549380820794"/>
  </r>
  <r>
    <s v="P-0176"/>
    <x v="5"/>
    <x v="2"/>
    <x v="0"/>
    <x v="70"/>
    <x v="2"/>
    <x v="2"/>
    <x v="1"/>
    <n v="77"/>
    <n v="7014"/>
    <n v="20.615231720000001"/>
    <n v="0.20615231720000002"/>
    <n v="17"/>
    <d v="1899-12-30T00:17:00"/>
    <n v="2"/>
    <n v="17244"/>
    <x v="0"/>
    <n v="10230"/>
    <n v="0.59324982602644394"/>
  </r>
  <r>
    <s v="P-0177"/>
    <x v="3"/>
    <x v="4"/>
    <x v="0"/>
    <x v="42"/>
    <x v="1"/>
    <x v="0"/>
    <x v="4"/>
    <n v="93"/>
    <n v="5531"/>
    <n v="14.19600848"/>
    <n v="0.1419600848"/>
    <n v="16"/>
    <d v="1899-12-30T00:16:00"/>
    <n v="3"/>
    <n v="28356"/>
    <x v="0"/>
    <n v="22825"/>
    <n v="0.80494427987022144"/>
  </r>
  <r>
    <s v="P-0178"/>
    <x v="10"/>
    <x v="4"/>
    <x v="0"/>
    <x v="66"/>
    <x v="1"/>
    <x v="2"/>
    <x v="3"/>
    <n v="93"/>
    <n v="3208"/>
    <n v="6.1632759100000003"/>
    <n v="6.1632759100000004E-2"/>
    <n v="45"/>
    <d v="1899-12-30T00:45:00"/>
    <n v="2"/>
    <n v="17806"/>
    <x v="1"/>
    <n v="14598"/>
    <n v="0.81983601033359543"/>
  </r>
  <r>
    <s v="P-0179"/>
    <x v="2"/>
    <x v="2"/>
    <x v="0"/>
    <x v="64"/>
    <x v="3"/>
    <x v="0"/>
    <x v="2"/>
    <n v="69"/>
    <n v="7612"/>
    <n v="24.897326339999999"/>
    <n v="0.24897326340000001"/>
    <n v="27"/>
    <d v="1899-12-30T00:27:00"/>
    <n v="2"/>
    <n v="24099"/>
    <x v="0"/>
    <n v="16487"/>
    <n v="0.68413627121457321"/>
  </r>
  <r>
    <s v="P-0180"/>
    <x v="7"/>
    <x v="3"/>
    <x v="0"/>
    <x v="18"/>
    <x v="3"/>
    <x v="2"/>
    <x v="5"/>
    <n v="79"/>
    <n v="8893"/>
    <n v="6.1556112199999999"/>
    <n v="6.1556112199999999E-2"/>
    <n v="12"/>
    <d v="1899-12-30T00:12:00"/>
    <n v="4"/>
    <n v="45641"/>
    <x v="0"/>
    <n v="36748"/>
    <n v="0.80515326132205689"/>
  </r>
  <r>
    <s v="P-0181"/>
    <x v="11"/>
    <x v="7"/>
    <x v="1"/>
    <x v="77"/>
    <x v="3"/>
    <x v="1"/>
    <x v="1"/>
    <n v="60"/>
    <n v="4007"/>
    <n v="18.900704579999999"/>
    <n v="0.1890070458"/>
    <n v="37"/>
    <d v="1899-12-30T00:37:00"/>
    <n v="1"/>
    <n v="38034"/>
    <x v="0"/>
    <n v="34027"/>
    <n v="0.89464689488352522"/>
  </r>
  <r>
    <s v="P-0182"/>
    <x v="3"/>
    <x v="2"/>
    <x v="2"/>
    <x v="0"/>
    <x v="0"/>
    <x v="3"/>
    <x v="5"/>
    <n v="77"/>
    <n v="6956"/>
    <n v="24.673578509999999"/>
    <n v="0.24673578509999999"/>
    <n v="79"/>
    <d v="1899-12-30T01:19:00"/>
    <n v="4"/>
    <n v="41317"/>
    <x v="0"/>
    <n v="34361"/>
    <n v="0.83164314930900118"/>
  </r>
  <r>
    <s v="P-0183"/>
    <x v="7"/>
    <x v="0"/>
    <x v="0"/>
    <x v="26"/>
    <x v="0"/>
    <x v="3"/>
    <x v="3"/>
    <n v="74"/>
    <n v="4712"/>
    <n v="9.783602084"/>
    <n v="9.7836020839999996E-2"/>
    <n v="158"/>
    <d v="1899-12-30T02:38:00"/>
    <n v="2"/>
    <n v="20094"/>
    <x v="1"/>
    <n v="15382"/>
    <n v="0.76550213994227134"/>
  </r>
  <r>
    <s v="P-0184"/>
    <x v="4"/>
    <x v="3"/>
    <x v="2"/>
    <x v="21"/>
    <x v="1"/>
    <x v="0"/>
    <x v="3"/>
    <n v="88"/>
    <n v="8470"/>
    <n v="7.8449873739999996"/>
    <n v="7.8449873739999995E-2"/>
    <n v="37"/>
    <d v="1899-12-30T00:37:00"/>
    <n v="2"/>
    <n v="11589"/>
    <x v="0"/>
    <n v="3119"/>
    <n v="0.26913452411769784"/>
  </r>
  <r>
    <s v="P-0185"/>
    <x v="13"/>
    <x v="3"/>
    <x v="0"/>
    <x v="50"/>
    <x v="1"/>
    <x v="3"/>
    <x v="0"/>
    <n v="82"/>
    <n v="9266"/>
    <n v="7.4276987879999998"/>
    <n v="7.4276987879999992E-2"/>
    <n v="63"/>
    <d v="1899-12-30T01:03:00"/>
    <n v="1"/>
    <n v="2657"/>
    <x v="0"/>
    <n v="-6609"/>
    <n v="-2.4873917952578095"/>
  </r>
  <r>
    <s v="P-0186"/>
    <x v="14"/>
    <x v="5"/>
    <x v="1"/>
    <x v="62"/>
    <x v="1"/>
    <x v="3"/>
    <x v="0"/>
    <n v="50"/>
    <n v="1036"/>
    <n v="11.065502950000001"/>
    <n v="0.1106550295"/>
    <n v="74"/>
    <d v="1899-12-30T01:14:00"/>
    <n v="3"/>
    <n v="33764"/>
    <x v="0"/>
    <n v="32728"/>
    <n v="0.96931643170240489"/>
  </r>
  <r>
    <s v="P-0187"/>
    <x v="6"/>
    <x v="7"/>
    <x v="1"/>
    <x v="78"/>
    <x v="3"/>
    <x v="3"/>
    <x v="2"/>
    <n v="76"/>
    <n v="2125"/>
    <n v="7.0209162200000002"/>
    <n v="7.0209162200000008E-2"/>
    <n v="109"/>
    <d v="1899-12-30T01:49:00"/>
    <n v="3"/>
    <n v="40531"/>
    <x v="0"/>
    <n v="38406"/>
    <n v="0.94757099504083298"/>
  </r>
  <r>
    <s v="P-0188"/>
    <x v="5"/>
    <x v="0"/>
    <x v="1"/>
    <x v="79"/>
    <x v="2"/>
    <x v="3"/>
    <x v="3"/>
    <n v="62"/>
    <n v="8473"/>
    <n v="18.843226829999999"/>
    <n v="0.18843226829999998"/>
    <n v="30"/>
    <d v="1899-12-30T00:30:00"/>
    <n v="2"/>
    <n v="4164"/>
    <x v="0"/>
    <n v="-4309"/>
    <n v="-1.0348222862632084"/>
  </r>
  <r>
    <s v="P-0189"/>
    <x v="14"/>
    <x v="1"/>
    <x v="1"/>
    <x v="40"/>
    <x v="3"/>
    <x v="1"/>
    <x v="4"/>
    <n v="90"/>
    <n v="9077"/>
    <n v="6.2458359630000002"/>
    <n v="6.2458359630000002E-2"/>
    <n v="22"/>
    <d v="1899-12-30T00:22:00"/>
    <n v="3"/>
    <n v="28542"/>
    <x v="0"/>
    <n v="19465"/>
    <n v="0.68197743675986267"/>
  </r>
  <r>
    <s v="P-0190"/>
    <x v="12"/>
    <x v="5"/>
    <x v="2"/>
    <x v="48"/>
    <x v="2"/>
    <x v="1"/>
    <x v="4"/>
    <n v="52"/>
    <n v="8570"/>
    <n v="15.18844256"/>
    <n v="0.15188442560000001"/>
    <n v="66"/>
    <d v="1899-12-30T01:06:00"/>
    <n v="2"/>
    <n v="19437"/>
    <x v="0"/>
    <n v="10867"/>
    <n v="0.55908833667747082"/>
  </r>
  <r>
    <s v="P-0191"/>
    <x v="4"/>
    <x v="4"/>
    <x v="1"/>
    <x v="9"/>
    <x v="2"/>
    <x v="3"/>
    <x v="1"/>
    <n v="88"/>
    <n v="9166"/>
    <n v="24.93393708"/>
    <n v="0.24933937079999999"/>
    <n v="58"/>
    <d v="1899-12-30T00:58:00"/>
    <n v="1"/>
    <n v="42247"/>
    <x v="0"/>
    <n v="33081"/>
    <n v="0.78303784884133787"/>
  </r>
  <r>
    <s v="P-0192"/>
    <x v="0"/>
    <x v="0"/>
    <x v="1"/>
    <x v="5"/>
    <x v="1"/>
    <x v="1"/>
    <x v="5"/>
    <n v="55"/>
    <n v="9109"/>
    <n v="21.279405390000001"/>
    <n v="0.2127940539"/>
    <n v="127"/>
    <d v="1899-12-30T02:07:00"/>
    <n v="1"/>
    <n v="39505"/>
    <x v="0"/>
    <n v="30396"/>
    <n v="0.76942159220351858"/>
  </r>
  <r>
    <s v="P-0193"/>
    <x v="4"/>
    <x v="4"/>
    <x v="1"/>
    <x v="33"/>
    <x v="3"/>
    <x v="1"/>
    <x v="2"/>
    <n v="57"/>
    <n v="6990"/>
    <n v="17.304388759999998"/>
    <n v="0.17304388759999997"/>
    <n v="63"/>
    <d v="1899-12-30T01:03:00"/>
    <n v="2"/>
    <n v="20601"/>
    <x v="0"/>
    <n v="13611"/>
    <n v="0.66069608271443137"/>
  </r>
  <r>
    <s v="P-0194"/>
    <x v="10"/>
    <x v="0"/>
    <x v="0"/>
    <x v="80"/>
    <x v="1"/>
    <x v="3"/>
    <x v="4"/>
    <n v="76"/>
    <n v="4100"/>
    <n v="11.12507242"/>
    <n v="0.1112507242"/>
    <n v="147"/>
    <d v="1899-12-30T02:27:00"/>
    <n v="1"/>
    <n v="29430"/>
    <x v="0"/>
    <n v="25330"/>
    <n v="0.86068637444784235"/>
  </r>
  <r>
    <s v="P-0195"/>
    <x v="7"/>
    <x v="0"/>
    <x v="1"/>
    <x v="15"/>
    <x v="1"/>
    <x v="0"/>
    <x v="4"/>
    <n v="58"/>
    <n v="7283"/>
    <n v="17.47791673"/>
    <n v="0.17477916730000001"/>
    <n v="62"/>
    <d v="1899-12-30T01:02:00"/>
    <n v="4"/>
    <n v="7009"/>
    <x v="0"/>
    <n v="-274"/>
    <n v="-3.9092595234698248E-2"/>
  </r>
  <r>
    <s v="P-0196"/>
    <x v="9"/>
    <x v="7"/>
    <x v="2"/>
    <x v="67"/>
    <x v="0"/>
    <x v="3"/>
    <x v="3"/>
    <n v="86"/>
    <n v="9646"/>
    <n v="15.540829280000001"/>
    <n v="0.15540829280000001"/>
    <n v="53"/>
    <d v="1899-12-30T00:53:00"/>
    <n v="4"/>
    <n v="5552"/>
    <x v="0"/>
    <n v="-4094"/>
    <n v="-0.73739193083573484"/>
  </r>
  <r>
    <s v="P-0197"/>
    <x v="7"/>
    <x v="3"/>
    <x v="0"/>
    <x v="77"/>
    <x v="3"/>
    <x v="1"/>
    <x v="5"/>
    <n v="82"/>
    <n v="5471"/>
    <n v="13.52166768"/>
    <n v="0.13521667679999999"/>
    <n v="56"/>
    <d v="1899-12-30T00:56:00"/>
    <n v="1"/>
    <n v="10417"/>
    <x v="0"/>
    <n v="4946"/>
    <n v="0.47480080637419603"/>
  </r>
  <r>
    <s v="P-0198"/>
    <x v="0"/>
    <x v="0"/>
    <x v="2"/>
    <x v="41"/>
    <x v="2"/>
    <x v="0"/>
    <x v="3"/>
    <n v="91"/>
    <n v="1705"/>
    <n v="7.6142075350000002"/>
    <n v="7.6142075350000005E-2"/>
    <n v="62"/>
    <d v="1899-12-30T01:02:00"/>
    <n v="2"/>
    <n v="42989"/>
    <x v="0"/>
    <n v="41284"/>
    <n v="0.96033869129312155"/>
  </r>
  <r>
    <s v="P-0199"/>
    <x v="12"/>
    <x v="7"/>
    <x v="0"/>
    <x v="55"/>
    <x v="0"/>
    <x v="1"/>
    <x v="5"/>
    <n v="93"/>
    <n v="2490"/>
    <n v="22.7320843"/>
    <n v="0.22732084299999999"/>
    <n v="83"/>
    <d v="1899-12-30T01:23:00"/>
    <n v="2"/>
    <n v="3671"/>
    <x v="0"/>
    <n v="1181"/>
    <n v="0.32171070552982839"/>
  </r>
  <r>
    <s v="P-0200"/>
    <x v="9"/>
    <x v="1"/>
    <x v="2"/>
    <x v="43"/>
    <x v="1"/>
    <x v="1"/>
    <x v="3"/>
    <n v="73"/>
    <n v="5799"/>
    <n v="13.995692979999999"/>
    <n v="0.13995692979999999"/>
    <n v="55"/>
    <d v="1899-12-30T00:55:00"/>
    <n v="1"/>
    <n v="7519"/>
    <x v="0"/>
    <n v="1720"/>
    <n v="0.22875382364676153"/>
  </r>
  <r>
    <s v="P-0201"/>
    <x v="5"/>
    <x v="2"/>
    <x v="2"/>
    <x v="38"/>
    <x v="1"/>
    <x v="2"/>
    <x v="3"/>
    <n v="64"/>
    <n v="4072"/>
    <n v="8.8924502360000002"/>
    <n v="8.8924502360000005E-2"/>
    <n v="22"/>
    <d v="1899-12-30T00:22:00"/>
    <n v="3"/>
    <n v="37730"/>
    <x v="0"/>
    <n v="33658"/>
    <n v="0.89207527166710843"/>
  </r>
  <r>
    <s v="P-0202"/>
    <x v="5"/>
    <x v="2"/>
    <x v="2"/>
    <x v="45"/>
    <x v="3"/>
    <x v="2"/>
    <x v="0"/>
    <n v="81"/>
    <n v="6475"/>
    <n v="12.355187020000001"/>
    <n v="0.12355187020000001"/>
    <n v="174"/>
    <d v="1899-12-30T02:54:00"/>
    <n v="4"/>
    <n v="13734"/>
    <x v="0"/>
    <n v="7259"/>
    <n v="0.52854230377166156"/>
  </r>
  <r>
    <s v="P-0203"/>
    <x v="1"/>
    <x v="3"/>
    <x v="0"/>
    <x v="29"/>
    <x v="0"/>
    <x v="2"/>
    <x v="0"/>
    <n v="81"/>
    <n v="6820"/>
    <n v="13.282595049999999"/>
    <n v="0.13282595049999998"/>
    <n v="111"/>
    <d v="1899-12-30T01:51:00"/>
    <n v="3"/>
    <n v="46890"/>
    <x v="0"/>
    <n v="40070"/>
    <n v="0.85455320963958203"/>
  </r>
  <r>
    <s v="P-0204"/>
    <x v="10"/>
    <x v="7"/>
    <x v="2"/>
    <x v="80"/>
    <x v="1"/>
    <x v="1"/>
    <x v="4"/>
    <n v="73"/>
    <n v="4880"/>
    <n v="21.550757910000002"/>
    <n v="0.21550757910000001"/>
    <n v="33"/>
    <d v="1899-12-30T00:33:00"/>
    <n v="2"/>
    <n v="4722"/>
    <x v="0"/>
    <n v="-158"/>
    <n v="-3.3460398136382886E-2"/>
  </r>
  <r>
    <s v="P-0205"/>
    <x v="14"/>
    <x v="1"/>
    <x v="2"/>
    <x v="76"/>
    <x v="2"/>
    <x v="3"/>
    <x v="0"/>
    <n v="90"/>
    <n v="5257"/>
    <n v="19.672287610000001"/>
    <n v="0.19672287610000003"/>
    <n v="11"/>
    <d v="1899-12-30T00:11:00"/>
    <n v="2"/>
    <n v="5906"/>
    <x v="0"/>
    <n v="649"/>
    <n v="0.10988824923806299"/>
  </r>
  <r>
    <s v="P-0206"/>
    <x v="2"/>
    <x v="5"/>
    <x v="0"/>
    <x v="46"/>
    <x v="0"/>
    <x v="3"/>
    <x v="4"/>
    <n v="98"/>
    <n v="3213"/>
    <n v="20.38609787"/>
    <n v="0.2038609787"/>
    <n v="90"/>
    <d v="1899-12-30T01:30:00"/>
    <n v="3"/>
    <n v="31096"/>
    <x v="0"/>
    <n v="27883"/>
    <n v="0.89667481348083355"/>
  </r>
  <r>
    <s v="P-0207"/>
    <x v="5"/>
    <x v="0"/>
    <x v="2"/>
    <x v="21"/>
    <x v="1"/>
    <x v="1"/>
    <x v="4"/>
    <n v="98"/>
    <n v="6088"/>
    <n v="5.220625289"/>
    <n v="5.2206252889999999E-2"/>
    <n v="109"/>
    <d v="1899-12-30T01:49:00"/>
    <n v="1"/>
    <n v="41031"/>
    <x v="0"/>
    <n v="34943"/>
    <n v="0.85162438156515807"/>
  </r>
  <r>
    <s v="P-0208"/>
    <x v="14"/>
    <x v="0"/>
    <x v="0"/>
    <x v="38"/>
    <x v="1"/>
    <x v="2"/>
    <x v="5"/>
    <n v="61"/>
    <n v="1466"/>
    <n v="13.323079959999999"/>
    <n v="0.1332307996"/>
    <n v="151"/>
    <d v="1899-12-30T02:31:00"/>
    <n v="3"/>
    <n v="14699"/>
    <x v="0"/>
    <n v="13233"/>
    <n v="0.90026532417171234"/>
  </r>
  <r>
    <s v="P-0209"/>
    <x v="14"/>
    <x v="7"/>
    <x v="1"/>
    <x v="22"/>
    <x v="3"/>
    <x v="1"/>
    <x v="4"/>
    <n v="88"/>
    <n v="5444"/>
    <n v="14.62688303"/>
    <n v="0.14626883030000001"/>
    <n v="147"/>
    <d v="1899-12-30T02:27:00"/>
    <n v="3"/>
    <n v="22438"/>
    <x v="0"/>
    <n v="16994"/>
    <n v="0.75737588020322666"/>
  </r>
  <r>
    <s v="P-0210"/>
    <x v="2"/>
    <x v="0"/>
    <x v="2"/>
    <x v="81"/>
    <x v="2"/>
    <x v="3"/>
    <x v="4"/>
    <n v="51"/>
    <n v="3932"/>
    <n v="5.3838455359999999"/>
    <n v="5.3838455360000002E-2"/>
    <n v="172"/>
    <d v="1899-12-30T02:52:00"/>
    <n v="4"/>
    <n v="44856"/>
    <x v="0"/>
    <n v="40924"/>
    <n v="0.91234171571250222"/>
  </r>
  <r>
    <s v="P-0211"/>
    <x v="1"/>
    <x v="2"/>
    <x v="0"/>
    <x v="15"/>
    <x v="1"/>
    <x v="3"/>
    <x v="4"/>
    <n v="52"/>
    <n v="1188"/>
    <n v="10.196264169999999"/>
    <n v="0.1019626417"/>
    <n v="162"/>
    <d v="1899-12-30T02:42:00"/>
    <n v="4"/>
    <n v="34576"/>
    <x v="0"/>
    <n v="33388"/>
    <n v="0.96564090698750582"/>
  </r>
  <r>
    <s v="P-0212"/>
    <x v="10"/>
    <x v="3"/>
    <x v="1"/>
    <x v="49"/>
    <x v="2"/>
    <x v="3"/>
    <x v="0"/>
    <n v="98"/>
    <n v="4743"/>
    <n v="20.205796459999998"/>
    <n v="0.20205796459999997"/>
    <n v="140"/>
    <d v="1899-12-30T02:20:00"/>
    <n v="3"/>
    <n v="42938"/>
    <x v="0"/>
    <n v="38195"/>
    <n v="0.88953840421072239"/>
  </r>
  <r>
    <s v="P-0213"/>
    <x v="12"/>
    <x v="2"/>
    <x v="2"/>
    <x v="40"/>
    <x v="3"/>
    <x v="1"/>
    <x v="0"/>
    <n v="86"/>
    <n v="4201"/>
    <n v="7.7421941150000002"/>
    <n v="7.7421941150000007E-2"/>
    <n v="120"/>
    <d v="1899-12-30T02:00:00"/>
    <n v="3"/>
    <n v="33247"/>
    <x v="0"/>
    <n v="29046"/>
    <n v="0.87364273468282849"/>
  </r>
  <r>
    <s v="P-0214"/>
    <x v="5"/>
    <x v="4"/>
    <x v="1"/>
    <x v="48"/>
    <x v="2"/>
    <x v="3"/>
    <x v="1"/>
    <n v="98"/>
    <n v="9033"/>
    <n v="15.70620263"/>
    <n v="0.15706202629999999"/>
    <n v="111"/>
    <d v="1899-12-30T01:51:00"/>
    <n v="2"/>
    <n v="44461"/>
    <x v="0"/>
    <n v="35428"/>
    <n v="0.79683317964058387"/>
  </r>
  <r>
    <s v="P-0215"/>
    <x v="6"/>
    <x v="6"/>
    <x v="2"/>
    <x v="16"/>
    <x v="1"/>
    <x v="3"/>
    <x v="3"/>
    <n v="66"/>
    <n v="5682"/>
    <n v="9.3040374400000001"/>
    <n v="9.30403744E-2"/>
    <n v="26"/>
    <d v="1899-12-30T00:26:00"/>
    <n v="4"/>
    <n v="28938"/>
    <x v="0"/>
    <n v="23256"/>
    <n v="0.80364918100767158"/>
  </r>
  <r>
    <s v="P-0216"/>
    <x v="2"/>
    <x v="1"/>
    <x v="0"/>
    <x v="68"/>
    <x v="3"/>
    <x v="3"/>
    <x v="2"/>
    <n v="98"/>
    <n v="7204"/>
    <n v="5.2424154930000002"/>
    <n v="5.2424154930000001E-2"/>
    <n v="21"/>
    <d v="1899-12-30T00:21:00"/>
    <n v="4"/>
    <n v="41469"/>
    <x v="0"/>
    <n v="34265"/>
    <n v="0.82627987171139883"/>
  </r>
  <r>
    <s v="P-0217"/>
    <x v="2"/>
    <x v="4"/>
    <x v="1"/>
    <x v="35"/>
    <x v="2"/>
    <x v="3"/>
    <x v="5"/>
    <n v="51"/>
    <n v="4922"/>
    <n v="9.8240291519999996"/>
    <n v="9.8240291519999995E-2"/>
    <n v="125"/>
    <d v="1899-12-30T02:05:00"/>
    <n v="2"/>
    <n v="18600"/>
    <x v="0"/>
    <n v="13678"/>
    <n v="0.73537634408602148"/>
  </r>
  <r>
    <s v="P-0218"/>
    <x v="9"/>
    <x v="6"/>
    <x v="1"/>
    <x v="16"/>
    <x v="1"/>
    <x v="0"/>
    <x v="2"/>
    <n v="51"/>
    <n v="2259"/>
    <n v="24.517475099999999"/>
    <n v="0.245174751"/>
    <n v="33"/>
    <d v="1899-12-30T00:33:00"/>
    <n v="1"/>
    <n v="21435"/>
    <x v="0"/>
    <n v="19176"/>
    <n v="0.8946116165150455"/>
  </r>
  <r>
    <s v="P-0219"/>
    <x v="11"/>
    <x v="2"/>
    <x v="1"/>
    <x v="79"/>
    <x v="2"/>
    <x v="1"/>
    <x v="1"/>
    <n v="77"/>
    <n v="9681"/>
    <n v="21.030742239999999"/>
    <n v="0.2103074224"/>
    <n v="38"/>
    <d v="1899-12-30T00:38:00"/>
    <n v="4"/>
    <n v="19581"/>
    <x v="0"/>
    <n v="9900"/>
    <n v="0.50559215566110005"/>
  </r>
  <r>
    <s v="P-0220"/>
    <x v="2"/>
    <x v="5"/>
    <x v="1"/>
    <x v="66"/>
    <x v="1"/>
    <x v="1"/>
    <x v="4"/>
    <n v="72"/>
    <n v="2982"/>
    <n v="24.191532890000001"/>
    <n v="0.2419153289"/>
    <n v="162"/>
    <d v="1899-12-30T02:42:00"/>
    <n v="4"/>
    <n v="15191"/>
    <x v="0"/>
    <n v="12209"/>
    <n v="0.80369955894937795"/>
  </r>
  <r>
    <s v="P-0221"/>
    <x v="5"/>
    <x v="3"/>
    <x v="2"/>
    <x v="82"/>
    <x v="2"/>
    <x v="3"/>
    <x v="4"/>
    <n v="86"/>
    <n v="8558"/>
    <n v="14.75708088"/>
    <n v="0.14757080880000001"/>
    <n v="131"/>
    <d v="1899-12-30T02:11:00"/>
    <n v="1"/>
    <n v="20190"/>
    <x v="0"/>
    <n v="11632"/>
    <n v="0.57612679544328871"/>
  </r>
  <r>
    <s v="P-0222"/>
    <x v="0"/>
    <x v="0"/>
    <x v="0"/>
    <x v="76"/>
    <x v="2"/>
    <x v="2"/>
    <x v="1"/>
    <n v="81"/>
    <n v="1451"/>
    <n v="7.1947239740000004"/>
    <n v="7.1947239740000002E-2"/>
    <n v="99"/>
    <d v="1899-12-30T01:39:00"/>
    <n v="4"/>
    <n v="28386"/>
    <x v="0"/>
    <n v="26935"/>
    <n v="0.9488832523074755"/>
  </r>
  <r>
    <s v="P-0223"/>
    <x v="8"/>
    <x v="5"/>
    <x v="1"/>
    <x v="42"/>
    <x v="1"/>
    <x v="3"/>
    <x v="5"/>
    <n v="82"/>
    <n v="9414"/>
    <n v="15.959189780000001"/>
    <n v="0.15959189780000002"/>
    <n v="74"/>
    <d v="1899-12-30T01:14:00"/>
    <n v="4"/>
    <n v="32721"/>
    <x v="0"/>
    <n v="23307"/>
    <n v="0.71229485651416524"/>
  </r>
  <r>
    <s v="P-0224"/>
    <x v="10"/>
    <x v="6"/>
    <x v="0"/>
    <x v="41"/>
    <x v="2"/>
    <x v="1"/>
    <x v="2"/>
    <n v="50"/>
    <n v="2579"/>
    <n v="14.08754669"/>
    <n v="0.1408754669"/>
    <n v="93"/>
    <d v="1899-12-30T01:33:00"/>
    <n v="1"/>
    <n v="14704"/>
    <x v="0"/>
    <n v="12125"/>
    <n v="0.82460554951033738"/>
  </r>
  <r>
    <s v="P-0225"/>
    <x v="9"/>
    <x v="2"/>
    <x v="2"/>
    <x v="24"/>
    <x v="2"/>
    <x v="0"/>
    <x v="4"/>
    <n v="68"/>
    <n v="3217"/>
    <n v="21.88714165"/>
    <n v="0.2188714165"/>
    <n v="128"/>
    <d v="1899-12-30T02:08:00"/>
    <n v="1"/>
    <n v="3123"/>
    <x v="0"/>
    <n v="-94"/>
    <n v="-3.009926352865834E-2"/>
  </r>
  <r>
    <s v="P-0226"/>
    <x v="5"/>
    <x v="2"/>
    <x v="0"/>
    <x v="22"/>
    <x v="3"/>
    <x v="3"/>
    <x v="4"/>
    <n v="51"/>
    <n v="5024"/>
    <n v="6.9616516160000002"/>
    <n v="6.9616516160000003E-2"/>
    <n v="165"/>
    <d v="1899-12-30T02:45:00"/>
    <n v="3"/>
    <n v="26174"/>
    <x v="0"/>
    <n v="21150"/>
    <n v="0.80805379384121645"/>
  </r>
  <r>
    <s v="P-0227"/>
    <x v="11"/>
    <x v="1"/>
    <x v="0"/>
    <x v="46"/>
    <x v="0"/>
    <x v="0"/>
    <x v="0"/>
    <n v="93"/>
    <n v="8977"/>
    <n v="14.76482274"/>
    <n v="0.1476482274"/>
    <n v="25"/>
    <d v="1899-12-30T00:25:00"/>
    <n v="2"/>
    <n v="45301"/>
    <x v="0"/>
    <n v="36324"/>
    <n v="0.80183660404847579"/>
  </r>
  <r>
    <s v="P-0228"/>
    <x v="11"/>
    <x v="2"/>
    <x v="2"/>
    <x v="10"/>
    <x v="0"/>
    <x v="2"/>
    <x v="3"/>
    <n v="75"/>
    <n v="7811"/>
    <n v="8.0009732939999996"/>
    <n v="8.0009732939999995E-2"/>
    <n v="113"/>
    <d v="1899-12-30T01:53:00"/>
    <n v="2"/>
    <n v="48216"/>
    <x v="0"/>
    <n v="40405"/>
    <n v="0.83799983407997347"/>
  </r>
  <r>
    <s v="P-0229"/>
    <x v="4"/>
    <x v="4"/>
    <x v="1"/>
    <x v="6"/>
    <x v="2"/>
    <x v="2"/>
    <x v="2"/>
    <n v="81"/>
    <n v="7686"/>
    <n v="11.49351854"/>
    <n v="0.1149351854"/>
    <n v="101"/>
    <d v="1899-12-30T01:41:00"/>
    <n v="1"/>
    <n v="15586"/>
    <x v="0"/>
    <n v="7900"/>
    <n v="0.50686513537790323"/>
  </r>
  <r>
    <s v="P-0230"/>
    <x v="13"/>
    <x v="3"/>
    <x v="2"/>
    <x v="54"/>
    <x v="1"/>
    <x v="3"/>
    <x v="4"/>
    <n v="55"/>
    <n v="2565"/>
    <n v="19.747141549999998"/>
    <n v="0.1974714155"/>
    <n v="36"/>
    <d v="1899-12-30T00:36:00"/>
    <n v="1"/>
    <n v="32976"/>
    <x v="0"/>
    <n v="30411"/>
    <n v="0.92221615720524019"/>
  </r>
  <r>
    <s v="P-0231"/>
    <x v="4"/>
    <x v="5"/>
    <x v="1"/>
    <x v="48"/>
    <x v="2"/>
    <x v="0"/>
    <x v="2"/>
    <n v="81"/>
    <n v="1268"/>
    <n v="14.52036259"/>
    <n v="0.14520362589999999"/>
    <n v="179"/>
    <d v="1899-12-30T02:59:00"/>
    <n v="4"/>
    <n v="26416"/>
    <x v="0"/>
    <n v="25148"/>
    <n v="0.95199878861296183"/>
  </r>
  <r>
    <s v="P-0232"/>
    <x v="7"/>
    <x v="2"/>
    <x v="2"/>
    <x v="56"/>
    <x v="0"/>
    <x v="2"/>
    <x v="3"/>
    <n v="53"/>
    <n v="5990"/>
    <n v="12.5177657"/>
    <n v="0.125177657"/>
    <n v="171"/>
    <d v="1899-12-30T02:51:00"/>
    <n v="3"/>
    <n v="2814"/>
    <x v="0"/>
    <n v="-3176"/>
    <n v="-1.1286425017768302"/>
  </r>
  <r>
    <s v="P-0233"/>
    <x v="12"/>
    <x v="2"/>
    <x v="0"/>
    <x v="83"/>
    <x v="3"/>
    <x v="3"/>
    <x v="2"/>
    <n v="60"/>
    <n v="7145"/>
    <n v="12.88952557"/>
    <n v="0.12889525569999999"/>
    <n v="174"/>
    <d v="1899-12-30T02:54:00"/>
    <n v="3"/>
    <n v="14001"/>
    <x v="0"/>
    <n v="6856"/>
    <n v="0.48967930862081283"/>
  </r>
  <r>
    <s v="P-0234"/>
    <x v="5"/>
    <x v="6"/>
    <x v="1"/>
    <x v="10"/>
    <x v="0"/>
    <x v="2"/>
    <x v="3"/>
    <n v="66"/>
    <n v="5583"/>
    <n v="14.188935369999999"/>
    <n v="0.1418893537"/>
    <n v="143"/>
    <d v="1899-12-30T02:23:00"/>
    <n v="1"/>
    <n v="17508"/>
    <x v="0"/>
    <n v="11925"/>
    <n v="0.68111720356408501"/>
  </r>
  <r>
    <s v="P-0235"/>
    <x v="7"/>
    <x v="1"/>
    <x v="2"/>
    <x v="55"/>
    <x v="0"/>
    <x v="1"/>
    <x v="3"/>
    <n v="87"/>
    <n v="5732"/>
    <n v="20.700330879999999"/>
    <n v="0.20700330879999998"/>
    <n v="144"/>
    <d v="1899-12-30T02:24:00"/>
    <n v="4"/>
    <n v="20630"/>
    <x v="0"/>
    <n v="14898"/>
    <n v="0.72215220552593307"/>
  </r>
  <r>
    <s v="P-0236"/>
    <x v="9"/>
    <x v="2"/>
    <x v="2"/>
    <x v="80"/>
    <x v="1"/>
    <x v="0"/>
    <x v="4"/>
    <n v="73"/>
    <n v="6297"/>
    <n v="22.84169378"/>
    <n v="0.2284169378"/>
    <n v="162"/>
    <d v="1899-12-30T02:42:00"/>
    <n v="4"/>
    <n v="14380"/>
    <x v="0"/>
    <n v="8083"/>
    <n v="0.56210013908205847"/>
  </r>
  <r>
    <s v="P-0237"/>
    <x v="3"/>
    <x v="2"/>
    <x v="2"/>
    <x v="26"/>
    <x v="0"/>
    <x v="3"/>
    <x v="4"/>
    <n v="54"/>
    <n v="9638"/>
    <n v="24.10669373"/>
    <n v="0.24106693730000001"/>
    <n v="42"/>
    <d v="1899-12-30T00:42:00"/>
    <n v="2"/>
    <n v="49174"/>
    <x v="0"/>
    <n v="39536"/>
    <n v="0.80400211493878881"/>
  </r>
  <r>
    <s v="P-0238"/>
    <x v="11"/>
    <x v="0"/>
    <x v="1"/>
    <x v="76"/>
    <x v="2"/>
    <x v="2"/>
    <x v="3"/>
    <n v="83"/>
    <n v="5426"/>
    <n v="20.738067730000001"/>
    <n v="0.20738067730000001"/>
    <n v="64"/>
    <d v="1899-12-30T01:04:00"/>
    <n v="2"/>
    <n v="36699"/>
    <x v="0"/>
    <n v="31273"/>
    <n v="0.85214855990626448"/>
  </r>
  <r>
    <s v="P-0239"/>
    <x v="14"/>
    <x v="2"/>
    <x v="0"/>
    <x v="74"/>
    <x v="1"/>
    <x v="2"/>
    <x v="1"/>
    <n v="55"/>
    <n v="6516"/>
    <n v="11.308137909999999"/>
    <n v="0.11308137909999999"/>
    <n v="16"/>
    <d v="1899-12-30T00:16:00"/>
    <n v="4"/>
    <n v="47335"/>
    <x v="0"/>
    <n v="40819"/>
    <n v="0.8623428752508715"/>
  </r>
  <r>
    <s v="P-0240"/>
    <x v="11"/>
    <x v="4"/>
    <x v="2"/>
    <x v="50"/>
    <x v="1"/>
    <x v="1"/>
    <x v="3"/>
    <n v="71"/>
    <n v="3835"/>
    <n v="18.762694119999999"/>
    <n v="0.18762694119999998"/>
    <n v="66"/>
    <d v="1899-12-30T01:06:00"/>
    <n v="2"/>
    <n v="47806"/>
    <x v="0"/>
    <n v="43971"/>
    <n v="0.91977994394009122"/>
  </r>
  <r>
    <s v="P-0241"/>
    <x v="4"/>
    <x v="3"/>
    <x v="2"/>
    <x v="12"/>
    <x v="3"/>
    <x v="3"/>
    <x v="0"/>
    <n v="60"/>
    <n v="8538"/>
    <n v="13.752062479999999"/>
    <n v="0.13752062479999999"/>
    <n v="135"/>
    <d v="1899-12-30T02:15:00"/>
    <n v="1"/>
    <n v="13317"/>
    <x v="0"/>
    <n v="4779"/>
    <n v="0.35886460914620411"/>
  </r>
  <r>
    <s v="P-0242"/>
    <x v="9"/>
    <x v="0"/>
    <x v="0"/>
    <x v="24"/>
    <x v="2"/>
    <x v="2"/>
    <x v="4"/>
    <n v="97"/>
    <n v="5373"/>
    <n v="10.09341244"/>
    <n v="0.10093412439999999"/>
    <n v="21"/>
    <d v="1899-12-30T00:21:00"/>
    <n v="4"/>
    <n v="36739"/>
    <x v="0"/>
    <n v="31366"/>
    <n v="0.85375214349873429"/>
  </r>
  <r>
    <s v="P-0243"/>
    <x v="13"/>
    <x v="1"/>
    <x v="0"/>
    <x v="52"/>
    <x v="2"/>
    <x v="0"/>
    <x v="5"/>
    <n v="65"/>
    <n v="1981"/>
    <n v="21.817431590000002"/>
    <n v="0.21817431590000003"/>
    <n v="25"/>
    <d v="1899-12-30T00:25:00"/>
    <n v="2"/>
    <n v="35785"/>
    <x v="0"/>
    <n v="33804"/>
    <n v="0.94464160961296628"/>
  </r>
  <r>
    <s v="P-0244"/>
    <x v="8"/>
    <x v="4"/>
    <x v="0"/>
    <x v="32"/>
    <x v="1"/>
    <x v="2"/>
    <x v="4"/>
    <n v="82"/>
    <n v="6805"/>
    <n v="5.7685269789999998"/>
    <n v="5.768526979E-2"/>
    <n v="52"/>
    <d v="1899-12-30T00:52:00"/>
    <n v="3"/>
    <n v="32980"/>
    <x v="0"/>
    <n v="26175"/>
    <n v="0.79366282595512427"/>
  </r>
  <r>
    <s v="P-0245"/>
    <x v="2"/>
    <x v="3"/>
    <x v="0"/>
    <x v="42"/>
    <x v="1"/>
    <x v="0"/>
    <x v="3"/>
    <n v="58"/>
    <n v="3951"/>
    <n v="23.035239839999999"/>
    <n v="0.23035239839999999"/>
    <n v="126"/>
    <d v="1899-12-30T02:06:00"/>
    <n v="4"/>
    <n v="24799"/>
    <x v="1"/>
    <n v="20848"/>
    <n v="0.84067905963950162"/>
  </r>
  <r>
    <s v="P-0246"/>
    <x v="0"/>
    <x v="3"/>
    <x v="2"/>
    <x v="11"/>
    <x v="3"/>
    <x v="2"/>
    <x v="4"/>
    <n v="55"/>
    <n v="554"/>
    <n v="14.22954929"/>
    <n v="0.14229549289999999"/>
    <n v="144"/>
    <d v="1899-12-30T02:24:00"/>
    <n v="4"/>
    <n v="36183"/>
    <x v="0"/>
    <n v="35629"/>
    <n v="0.98468894232097948"/>
  </r>
  <r>
    <s v="P-0247"/>
    <x v="12"/>
    <x v="4"/>
    <x v="2"/>
    <x v="64"/>
    <x v="3"/>
    <x v="3"/>
    <x v="3"/>
    <n v="65"/>
    <n v="8143"/>
    <n v="17.74402954"/>
    <n v="0.1774402954"/>
    <n v="120"/>
    <d v="1899-12-30T02:00:00"/>
    <n v="3"/>
    <n v="30166"/>
    <x v="0"/>
    <n v="22023"/>
    <n v="0.7300603328250348"/>
  </r>
  <r>
    <s v="P-0248"/>
    <x v="5"/>
    <x v="1"/>
    <x v="1"/>
    <x v="52"/>
    <x v="2"/>
    <x v="3"/>
    <x v="2"/>
    <n v="78"/>
    <n v="3962"/>
    <n v="18.187078440000001"/>
    <n v="0.18187078440000001"/>
    <n v="60"/>
    <d v="1899-12-30T01:00:00"/>
    <n v="1"/>
    <n v="20480"/>
    <x v="0"/>
    <n v="16518"/>
    <n v="0.80654296874999998"/>
  </r>
  <r>
    <s v="P-0249"/>
    <x v="12"/>
    <x v="1"/>
    <x v="2"/>
    <x v="59"/>
    <x v="0"/>
    <x v="3"/>
    <x v="5"/>
    <n v="52"/>
    <n v="1332"/>
    <n v="22.902354809999999"/>
    <n v="0.22902354809999997"/>
    <n v="169"/>
    <d v="1899-12-30T02:49:00"/>
    <n v="3"/>
    <n v="2609"/>
    <x v="0"/>
    <n v="1277"/>
    <n v="0.48945956305097738"/>
  </r>
  <r>
    <s v="P-0250"/>
    <x v="7"/>
    <x v="6"/>
    <x v="2"/>
    <x v="16"/>
    <x v="1"/>
    <x v="0"/>
    <x v="5"/>
    <n v="69"/>
    <n v="6454"/>
    <n v="17.733393639999999"/>
    <n v="0.1773339364"/>
    <n v="84"/>
    <d v="1899-12-30T01:24:00"/>
    <n v="4"/>
    <n v="1717"/>
    <x v="0"/>
    <n v="-4737"/>
    <n v="-2.7588817705299942"/>
  </r>
  <r>
    <s v="P-0251"/>
    <x v="2"/>
    <x v="1"/>
    <x v="0"/>
    <x v="31"/>
    <x v="3"/>
    <x v="3"/>
    <x v="5"/>
    <n v="85"/>
    <n v="9019"/>
    <n v="17.2786717"/>
    <n v="0.17278671700000001"/>
    <n v="17"/>
    <d v="1899-12-30T00:17:00"/>
    <n v="1"/>
    <n v="20945"/>
    <x v="0"/>
    <n v="11926"/>
    <n v="0.56939603724039145"/>
  </r>
  <r>
    <s v="P-0252"/>
    <x v="0"/>
    <x v="4"/>
    <x v="1"/>
    <x v="79"/>
    <x v="2"/>
    <x v="0"/>
    <x v="0"/>
    <n v="68"/>
    <n v="7721"/>
    <n v="6.333040811"/>
    <n v="6.333040811E-2"/>
    <n v="54"/>
    <d v="1899-12-30T00:54:00"/>
    <n v="2"/>
    <n v="26592"/>
    <x v="0"/>
    <n v="18871"/>
    <n v="0.70964951865222625"/>
  </r>
  <r>
    <s v="P-0253"/>
    <x v="9"/>
    <x v="2"/>
    <x v="0"/>
    <x v="26"/>
    <x v="0"/>
    <x v="0"/>
    <x v="0"/>
    <n v="75"/>
    <n v="3810"/>
    <n v="15.36816044"/>
    <n v="0.1536816044"/>
    <n v="68"/>
    <d v="1899-12-30T01:08:00"/>
    <n v="2"/>
    <n v="29141"/>
    <x v="0"/>
    <n v="25331"/>
    <n v="0.86925637418070756"/>
  </r>
  <r>
    <s v="P-0254"/>
    <x v="8"/>
    <x v="4"/>
    <x v="2"/>
    <x v="60"/>
    <x v="2"/>
    <x v="0"/>
    <x v="3"/>
    <n v="52"/>
    <n v="3800"/>
    <n v="8.0033800159999995"/>
    <n v="8.0033800160000002E-2"/>
    <n v="141"/>
    <d v="1899-12-30T02:21:00"/>
    <n v="2"/>
    <n v="31009"/>
    <x v="0"/>
    <n v="27209"/>
    <n v="0.87745493243896933"/>
  </r>
  <r>
    <s v="P-0255"/>
    <x v="9"/>
    <x v="4"/>
    <x v="2"/>
    <x v="27"/>
    <x v="2"/>
    <x v="1"/>
    <x v="0"/>
    <n v="68"/>
    <n v="7222"/>
    <n v="19.748675370000001"/>
    <n v="0.19748675370000002"/>
    <n v="113"/>
    <d v="1899-12-30T01:53:00"/>
    <n v="4"/>
    <n v="46430"/>
    <x v="0"/>
    <n v="39208"/>
    <n v="0.84445401679948306"/>
  </r>
  <r>
    <s v="P-0256"/>
    <x v="6"/>
    <x v="0"/>
    <x v="2"/>
    <x v="71"/>
    <x v="2"/>
    <x v="2"/>
    <x v="1"/>
    <n v="69"/>
    <n v="7718"/>
    <n v="15.24443842"/>
    <n v="0.1524443842"/>
    <n v="166"/>
    <d v="1899-12-30T02:46:00"/>
    <n v="3"/>
    <n v="7782"/>
    <x v="0"/>
    <n v="64"/>
    <n v="8.2241069133898743E-3"/>
  </r>
  <r>
    <s v="P-0257"/>
    <x v="7"/>
    <x v="5"/>
    <x v="1"/>
    <x v="82"/>
    <x v="2"/>
    <x v="0"/>
    <x v="5"/>
    <n v="81"/>
    <n v="8276"/>
    <n v="18.60455558"/>
    <n v="0.18604555579999998"/>
    <n v="166"/>
    <d v="1899-12-30T02:46:00"/>
    <n v="1"/>
    <n v="27536"/>
    <x v="0"/>
    <n v="19260"/>
    <n v="0.69944799535153979"/>
  </r>
  <r>
    <s v="P-0258"/>
    <x v="4"/>
    <x v="2"/>
    <x v="0"/>
    <x v="39"/>
    <x v="0"/>
    <x v="0"/>
    <x v="5"/>
    <n v="56"/>
    <n v="4175"/>
    <n v="5.8334580120000004"/>
    <n v="5.8334580120000007E-2"/>
    <n v="107"/>
    <d v="1899-12-30T01:47:00"/>
    <n v="2"/>
    <n v="34816"/>
    <x v="0"/>
    <n v="30641"/>
    <n v="0.88008386948529416"/>
  </r>
  <r>
    <s v="P-0259"/>
    <x v="14"/>
    <x v="7"/>
    <x v="1"/>
    <x v="23"/>
    <x v="1"/>
    <x v="2"/>
    <x v="2"/>
    <n v="90"/>
    <n v="3554"/>
    <n v="6.6958403210000004"/>
    <n v="6.6958403210000003E-2"/>
    <n v="165"/>
    <d v="1899-12-30T02:45:00"/>
    <n v="1"/>
    <n v="26933"/>
    <x v="0"/>
    <n v="23379"/>
    <n v="0.86804292132328376"/>
  </r>
  <r>
    <s v="P-0260"/>
    <x v="8"/>
    <x v="5"/>
    <x v="2"/>
    <x v="51"/>
    <x v="3"/>
    <x v="3"/>
    <x v="3"/>
    <n v="82"/>
    <n v="8470"/>
    <n v="19.32646776"/>
    <n v="0.19326467759999999"/>
    <n v="88"/>
    <d v="1899-12-30T01:28:00"/>
    <n v="4"/>
    <n v="12618"/>
    <x v="0"/>
    <n v="4148"/>
    <n v="0.32873672531304488"/>
  </r>
  <r>
    <s v="P-0261"/>
    <x v="1"/>
    <x v="3"/>
    <x v="2"/>
    <x v="18"/>
    <x v="3"/>
    <x v="1"/>
    <x v="0"/>
    <n v="89"/>
    <n v="2643"/>
    <n v="6.4416867199999999"/>
    <n v="6.4416867200000005E-2"/>
    <n v="133"/>
    <d v="1899-12-30T02:13:00"/>
    <n v="2"/>
    <n v="9307"/>
    <x v="0"/>
    <n v="6664"/>
    <n v="0.71602019984957554"/>
  </r>
  <r>
    <s v="P-0262"/>
    <x v="6"/>
    <x v="0"/>
    <x v="0"/>
    <x v="35"/>
    <x v="2"/>
    <x v="2"/>
    <x v="2"/>
    <n v="88"/>
    <n v="5707"/>
    <n v="6.4251345549999996"/>
    <n v="6.4251345549999991E-2"/>
    <n v="13"/>
    <d v="1899-12-30T00:13:00"/>
    <n v="4"/>
    <n v="27671"/>
    <x v="0"/>
    <n v="21964"/>
    <n v="0.79375519496946256"/>
  </r>
  <r>
    <s v="P-0263"/>
    <x v="4"/>
    <x v="3"/>
    <x v="0"/>
    <x v="81"/>
    <x v="2"/>
    <x v="0"/>
    <x v="5"/>
    <n v="67"/>
    <n v="3038"/>
    <n v="5.2421695049999997"/>
    <n v="5.2421695049999995E-2"/>
    <n v="99"/>
    <d v="1899-12-30T01:39:00"/>
    <n v="3"/>
    <n v="41673"/>
    <x v="0"/>
    <n v="38635"/>
    <n v="0.92709908093969717"/>
  </r>
  <r>
    <s v="P-0264"/>
    <x v="8"/>
    <x v="7"/>
    <x v="0"/>
    <x v="84"/>
    <x v="0"/>
    <x v="2"/>
    <x v="4"/>
    <n v="89"/>
    <n v="5047"/>
    <n v="24.13002797"/>
    <n v="0.24130027970000001"/>
    <n v="113"/>
    <d v="1899-12-30T01:53:00"/>
    <n v="4"/>
    <n v="43761"/>
    <x v="0"/>
    <n v="38714"/>
    <n v="0.8846689975091977"/>
  </r>
  <r>
    <s v="P-0265"/>
    <x v="4"/>
    <x v="2"/>
    <x v="0"/>
    <x v="9"/>
    <x v="2"/>
    <x v="0"/>
    <x v="0"/>
    <n v="50"/>
    <n v="6119"/>
    <n v="19.750167189999999"/>
    <n v="0.19750167189999998"/>
    <n v="146"/>
    <d v="1899-12-30T02:26:00"/>
    <n v="4"/>
    <n v="11338"/>
    <x v="0"/>
    <n v="5219"/>
    <n v="0.46031046039865936"/>
  </r>
  <r>
    <s v="P-0266"/>
    <x v="8"/>
    <x v="4"/>
    <x v="2"/>
    <x v="51"/>
    <x v="3"/>
    <x v="3"/>
    <x v="4"/>
    <n v="60"/>
    <n v="8856"/>
    <n v="12.06502817"/>
    <n v="0.1206502817"/>
    <n v="128"/>
    <d v="1899-12-30T02:08:00"/>
    <n v="3"/>
    <n v="39346"/>
    <x v="0"/>
    <n v="30490"/>
    <n v="0.77491994103593753"/>
  </r>
  <r>
    <s v="P-0267"/>
    <x v="10"/>
    <x v="2"/>
    <x v="1"/>
    <x v="51"/>
    <x v="3"/>
    <x v="2"/>
    <x v="5"/>
    <n v="77"/>
    <n v="7112"/>
    <n v="10.930711629999999"/>
    <n v="0.10930711629999999"/>
    <n v="142"/>
    <d v="1899-12-30T02:22:00"/>
    <n v="1"/>
    <n v="47602"/>
    <x v="0"/>
    <n v="40490"/>
    <n v="0.85059451283559517"/>
  </r>
  <r>
    <s v="P-0268"/>
    <x v="8"/>
    <x v="0"/>
    <x v="0"/>
    <x v="68"/>
    <x v="3"/>
    <x v="1"/>
    <x v="5"/>
    <n v="74"/>
    <n v="5505"/>
    <n v="11.994064590000001"/>
    <n v="0.1199406459"/>
    <n v="65"/>
    <d v="1899-12-30T01:05:00"/>
    <n v="3"/>
    <n v="7548"/>
    <x v="0"/>
    <n v="2043"/>
    <n v="0.27066772655007948"/>
  </r>
  <r>
    <s v="P-0269"/>
    <x v="7"/>
    <x v="2"/>
    <x v="0"/>
    <x v="27"/>
    <x v="2"/>
    <x v="2"/>
    <x v="4"/>
    <n v="99"/>
    <n v="1322"/>
    <n v="20.493070620000001"/>
    <n v="0.20493070620000001"/>
    <n v="105"/>
    <d v="1899-12-30T01:45:00"/>
    <n v="3"/>
    <n v="41149"/>
    <x v="0"/>
    <n v="39827"/>
    <n v="0.96787285231718878"/>
  </r>
  <r>
    <s v="P-0270"/>
    <x v="13"/>
    <x v="1"/>
    <x v="0"/>
    <x v="85"/>
    <x v="1"/>
    <x v="0"/>
    <x v="5"/>
    <n v="72"/>
    <n v="1443"/>
    <n v="18.227412220000001"/>
    <n v="0.18227412220000003"/>
    <n v="84"/>
    <d v="1899-12-30T01:24:00"/>
    <n v="4"/>
    <n v="22164"/>
    <x v="0"/>
    <n v="20721"/>
    <n v="0.93489442338927986"/>
  </r>
  <r>
    <s v="P-0271"/>
    <x v="8"/>
    <x v="4"/>
    <x v="2"/>
    <x v="10"/>
    <x v="0"/>
    <x v="0"/>
    <x v="0"/>
    <n v="80"/>
    <n v="6650"/>
    <n v="8.7039113570000008"/>
    <n v="8.7039113570000007E-2"/>
    <n v="152"/>
    <d v="1899-12-30T02:32:00"/>
    <n v="1"/>
    <n v="28526"/>
    <x v="0"/>
    <n v="21876"/>
    <n v="0.76687933814765474"/>
  </r>
  <r>
    <s v="P-0272"/>
    <x v="13"/>
    <x v="3"/>
    <x v="2"/>
    <x v="68"/>
    <x v="3"/>
    <x v="1"/>
    <x v="2"/>
    <n v="79"/>
    <n v="4925"/>
    <n v="8.4821867070000003"/>
    <n v="8.4821867070000001E-2"/>
    <n v="41"/>
    <d v="1899-12-30T00:41:00"/>
    <n v="2"/>
    <n v="32222"/>
    <x v="0"/>
    <n v="27297"/>
    <n v="0.84715411830426413"/>
  </r>
  <r>
    <s v="P-0273"/>
    <x v="3"/>
    <x v="1"/>
    <x v="0"/>
    <x v="12"/>
    <x v="3"/>
    <x v="0"/>
    <x v="1"/>
    <n v="91"/>
    <n v="9466"/>
    <n v="6.9679129939999997"/>
    <n v="6.9679129940000001E-2"/>
    <n v="37"/>
    <d v="1899-12-30T00:37:00"/>
    <n v="3"/>
    <n v="21176"/>
    <x v="0"/>
    <n v="11710"/>
    <n v="0.55298451076690591"/>
  </r>
  <r>
    <s v="P-0274"/>
    <x v="7"/>
    <x v="1"/>
    <x v="2"/>
    <x v="74"/>
    <x v="1"/>
    <x v="0"/>
    <x v="1"/>
    <n v="84"/>
    <n v="2698"/>
    <n v="18.206054389999998"/>
    <n v="0.18206054389999998"/>
    <n v="31"/>
    <d v="1899-12-30T00:31:00"/>
    <n v="1"/>
    <n v="3941"/>
    <x v="0"/>
    <n v="1243"/>
    <n v="0.31540218218726213"/>
  </r>
  <r>
    <s v="P-0275"/>
    <x v="14"/>
    <x v="1"/>
    <x v="1"/>
    <x v="9"/>
    <x v="2"/>
    <x v="0"/>
    <x v="1"/>
    <n v="56"/>
    <n v="4742"/>
    <n v="20.287453240000001"/>
    <n v="0.2028745324"/>
    <n v="26"/>
    <d v="1899-12-30T00:26:00"/>
    <n v="3"/>
    <n v="6695"/>
    <x v="0"/>
    <n v="1953"/>
    <n v="0.29171023151605674"/>
  </r>
  <r>
    <s v="P-0276"/>
    <x v="13"/>
    <x v="7"/>
    <x v="2"/>
    <x v="40"/>
    <x v="3"/>
    <x v="2"/>
    <x v="2"/>
    <n v="65"/>
    <n v="4195"/>
    <n v="10.30092857"/>
    <n v="0.10300928569999999"/>
    <n v="68"/>
    <d v="1899-12-30T01:08:00"/>
    <n v="3"/>
    <n v="40169"/>
    <x v="0"/>
    <n v="35974"/>
    <n v="0.89556623266698199"/>
  </r>
  <r>
    <s v="P-0277"/>
    <x v="0"/>
    <x v="4"/>
    <x v="2"/>
    <x v="34"/>
    <x v="0"/>
    <x v="2"/>
    <x v="5"/>
    <n v="75"/>
    <n v="3952"/>
    <n v="5.4188992210000002"/>
    <n v="5.4188992210000002E-2"/>
    <n v="99"/>
    <d v="1899-12-30T01:39:00"/>
    <n v="3"/>
    <n v="48947"/>
    <x v="0"/>
    <n v="44995"/>
    <n v="0.9192596073303777"/>
  </r>
  <r>
    <s v="P-0278"/>
    <x v="11"/>
    <x v="7"/>
    <x v="0"/>
    <x v="75"/>
    <x v="2"/>
    <x v="1"/>
    <x v="3"/>
    <n v="97"/>
    <n v="9606"/>
    <n v="6.6434333499999996"/>
    <n v="6.6434333499999998E-2"/>
    <n v="115"/>
    <d v="1899-12-30T01:55:00"/>
    <n v="3"/>
    <n v="48224"/>
    <x v="1"/>
    <n v="38618"/>
    <n v="0.80080457863304577"/>
  </r>
  <r>
    <s v="P-0279"/>
    <x v="14"/>
    <x v="7"/>
    <x v="1"/>
    <x v="66"/>
    <x v="1"/>
    <x v="1"/>
    <x v="0"/>
    <n v="98"/>
    <n v="1808"/>
    <n v="24.3572007"/>
    <n v="0.24357200700000001"/>
    <n v="35"/>
    <d v="1899-12-30T00:35:00"/>
    <n v="4"/>
    <n v="46865"/>
    <x v="0"/>
    <n v="45057"/>
    <n v="0.96142110316867602"/>
  </r>
  <r>
    <s v="P-0280"/>
    <x v="13"/>
    <x v="1"/>
    <x v="2"/>
    <x v="35"/>
    <x v="2"/>
    <x v="3"/>
    <x v="2"/>
    <n v="51"/>
    <n v="4677"/>
    <n v="10.90889555"/>
    <n v="0.1090889555"/>
    <n v="34"/>
    <d v="1899-12-30T00:34:00"/>
    <n v="1"/>
    <n v="26553"/>
    <x v="0"/>
    <n v="21876"/>
    <n v="0.82386171054118174"/>
  </r>
  <r>
    <s v="P-0281"/>
    <x v="3"/>
    <x v="7"/>
    <x v="0"/>
    <x v="38"/>
    <x v="1"/>
    <x v="0"/>
    <x v="0"/>
    <n v="50"/>
    <n v="9205"/>
    <n v="20.38446296"/>
    <n v="0.20384462959999999"/>
    <n v="147"/>
    <d v="1899-12-30T02:27:00"/>
    <n v="1"/>
    <n v="39965"/>
    <x v="0"/>
    <n v="30760"/>
    <n v="0.76967346428124606"/>
  </r>
  <r>
    <s v="P-0282"/>
    <x v="12"/>
    <x v="5"/>
    <x v="1"/>
    <x v="18"/>
    <x v="3"/>
    <x v="1"/>
    <x v="5"/>
    <n v="97"/>
    <n v="7352"/>
    <n v="17.493271379999999"/>
    <n v="0.1749327138"/>
    <n v="54"/>
    <d v="1899-12-30T00:54:00"/>
    <n v="1"/>
    <n v="39218"/>
    <x v="0"/>
    <n v="31866"/>
    <n v="0.81253506043143453"/>
  </r>
  <r>
    <s v="P-0283"/>
    <x v="3"/>
    <x v="5"/>
    <x v="0"/>
    <x v="52"/>
    <x v="2"/>
    <x v="0"/>
    <x v="0"/>
    <n v="61"/>
    <n v="6535"/>
    <n v="12.63879279"/>
    <n v="0.1263879279"/>
    <n v="92"/>
    <d v="1899-12-30T01:32:00"/>
    <n v="3"/>
    <n v="26359"/>
    <x v="0"/>
    <n v="19824"/>
    <n v="0.75207708941917373"/>
  </r>
  <r>
    <s v="P-0284"/>
    <x v="7"/>
    <x v="6"/>
    <x v="0"/>
    <x v="52"/>
    <x v="2"/>
    <x v="1"/>
    <x v="5"/>
    <n v="54"/>
    <n v="4094"/>
    <n v="9.1137452440000004"/>
    <n v="9.1137452440000002E-2"/>
    <n v="20"/>
    <d v="1899-12-30T00:20:00"/>
    <n v="4"/>
    <n v="25816"/>
    <x v="0"/>
    <n v="21722"/>
    <n v="0.84141617601487451"/>
  </r>
  <r>
    <s v="P-0285"/>
    <x v="5"/>
    <x v="5"/>
    <x v="2"/>
    <x v="55"/>
    <x v="0"/>
    <x v="3"/>
    <x v="1"/>
    <n v="86"/>
    <n v="5341"/>
    <n v="7.4277283629999999"/>
    <n v="7.4277283629999996E-2"/>
    <n v="113"/>
    <d v="1899-12-30T01:53:00"/>
    <n v="3"/>
    <n v="9378"/>
    <x v="0"/>
    <n v="4037"/>
    <n v="0.43047558114736617"/>
  </r>
  <r>
    <s v="P-0286"/>
    <x v="7"/>
    <x v="5"/>
    <x v="2"/>
    <x v="41"/>
    <x v="2"/>
    <x v="1"/>
    <x v="0"/>
    <n v="81"/>
    <n v="1909"/>
    <n v="17.300259359999998"/>
    <n v="0.17300259359999998"/>
    <n v="77"/>
    <d v="1899-12-30T01:17:00"/>
    <n v="3"/>
    <n v="2881"/>
    <x v="0"/>
    <n v="972"/>
    <n v="0.33738285317598055"/>
  </r>
  <r>
    <s v="P-0287"/>
    <x v="12"/>
    <x v="0"/>
    <x v="1"/>
    <x v="80"/>
    <x v="1"/>
    <x v="2"/>
    <x v="3"/>
    <n v="58"/>
    <n v="5066"/>
    <n v="20.492675609999999"/>
    <n v="0.2049267561"/>
    <n v="104"/>
    <d v="1899-12-30T01:44:00"/>
    <n v="1"/>
    <n v="40567"/>
    <x v="0"/>
    <n v="35501"/>
    <n v="0.87512017156802324"/>
  </r>
  <r>
    <s v="P-0288"/>
    <x v="9"/>
    <x v="7"/>
    <x v="1"/>
    <x v="18"/>
    <x v="3"/>
    <x v="0"/>
    <x v="5"/>
    <n v="90"/>
    <n v="4991"/>
    <n v="17.878085070000001"/>
    <n v="0.17878085070000002"/>
    <n v="165"/>
    <d v="1899-12-30T02:45:00"/>
    <n v="3"/>
    <n v="48365"/>
    <x v="0"/>
    <n v="43374"/>
    <n v="0.89680554119714673"/>
  </r>
  <r>
    <s v="P-0289"/>
    <x v="13"/>
    <x v="2"/>
    <x v="1"/>
    <x v="4"/>
    <x v="2"/>
    <x v="2"/>
    <x v="0"/>
    <n v="84"/>
    <n v="2055"/>
    <n v="15.60604266"/>
    <n v="0.1560604266"/>
    <n v="74"/>
    <d v="1899-12-30T01:14:00"/>
    <n v="2"/>
    <n v="14675"/>
    <x v="0"/>
    <n v="12620"/>
    <n v="0.85996592844974451"/>
  </r>
  <r>
    <s v="P-0290"/>
    <x v="11"/>
    <x v="6"/>
    <x v="0"/>
    <x v="27"/>
    <x v="2"/>
    <x v="1"/>
    <x v="4"/>
    <n v="68"/>
    <n v="1304"/>
    <n v="5.8390244689999999"/>
    <n v="5.8390244690000002E-2"/>
    <n v="58"/>
    <d v="1899-12-30T00:58:00"/>
    <n v="3"/>
    <n v="5586"/>
    <x v="0"/>
    <n v="4282"/>
    <n v="0.76655925528105984"/>
  </r>
  <r>
    <s v="P-0291"/>
    <x v="3"/>
    <x v="7"/>
    <x v="2"/>
    <x v="55"/>
    <x v="0"/>
    <x v="1"/>
    <x v="2"/>
    <n v="97"/>
    <n v="1779"/>
    <n v="24.36977555"/>
    <n v="0.2436977555"/>
    <n v="61"/>
    <d v="1899-12-30T01:01:00"/>
    <n v="2"/>
    <n v="26006"/>
    <x v="0"/>
    <n v="24227"/>
    <n v="0.93159270937475969"/>
  </r>
  <r>
    <s v="P-0292"/>
    <x v="3"/>
    <x v="5"/>
    <x v="2"/>
    <x v="40"/>
    <x v="3"/>
    <x v="3"/>
    <x v="4"/>
    <n v="65"/>
    <n v="7583"/>
    <n v="20.974283830000001"/>
    <n v="0.20974283830000001"/>
    <n v="111"/>
    <d v="1899-12-30T01:51:00"/>
    <n v="3"/>
    <n v="42198"/>
    <x v="0"/>
    <n v="34615"/>
    <n v="0.82029954026257168"/>
  </r>
  <r>
    <s v="P-0293"/>
    <x v="12"/>
    <x v="2"/>
    <x v="0"/>
    <x v="82"/>
    <x v="2"/>
    <x v="3"/>
    <x v="3"/>
    <n v="52"/>
    <n v="6486"/>
    <n v="10.856440729999999"/>
    <n v="0.1085644073"/>
    <n v="66"/>
    <d v="1899-12-30T01:06:00"/>
    <n v="4"/>
    <n v="23831"/>
    <x v="1"/>
    <n v="17345"/>
    <n v="0.72783349418824217"/>
  </r>
  <r>
    <s v="P-0294"/>
    <x v="2"/>
    <x v="1"/>
    <x v="0"/>
    <x v="24"/>
    <x v="2"/>
    <x v="3"/>
    <x v="3"/>
    <n v="69"/>
    <n v="6119"/>
    <n v="24.599406590000001"/>
    <n v="0.2459940659"/>
    <n v="56"/>
    <d v="1899-12-30T00:56:00"/>
    <n v="4"/>
    <n v="36113"/>
    <x v="1"/>
    <n v="29994"/>
    <n v="0.8305596322653892"/>
  </r>
  <r>
    <s v="P-0295"/>
    <x v="13"/>
    <x v="4"/>
    <x v="1"/>
    <x v="40"/>
    <x v="3"/>
    <x v="1"/>
    <x v="4"/>
    <n v="73"/>
    <n v="1887"/>
    <n v="17.037631789999999"/>
    <n v="0.17037631789999999"/>
    <n v="168"/>
    <d v="1899-12-30T02:48:00"/>
    <n v="1"/>
    <n v="17459"/>
    <x v="0"/>
    <n v="15572"/>
    <n v="0.89191820837390456"/>
  </r>
  <r>
    <s v="P-0296"/>
    <x v="12"/>
    <x v="5"/>
    <x v="2"/>
    <x v="86"/>
    <x v="1"/>
    <x v="3"/>
    <x v="5"/>
    <n v="82"/>
    <n v="3179"/>
    <n v="16.648453159999999"/>
    <n v="0.16648453159999999"/>
    <n v="35"/>
    <d v="1899-12-30T00:35:00"/>
    <n v="3"/>
    <n v="33443"/>
    <x v="0"/>
    <n v="30264"/>
    <n v="0.90494273839069461"/>
  </r>
  <r>
    <s v="P-0297"/>
    <x v="11"/>
    <x v="1"/>
    <x v="0"/>
    <x v="84"/>
    <x v="0"/>
    <x v="1"/>
    <x v="0"/>
    <n v="73"/>
    <n v="2606"/>
    <n v="19.961463590000001"/>
    <n v="0.1996146359"/>
    <n v="123"/>
    <d v="1899-12-30T02:03:00"/>
    <n v="2"/>
    <n v="43316"/>
    <x v="0"/>
    <n v="40710"/>
    <n v="0.93983747345091884"/>
  </r>
  <r>
    <s v="P-0298"/>
    <x v="4"/>
    <x v="1"/>
    <x v="0"/>
    <x v="7"/>
    <x v="3"/>
    <x v="1"/>
    <x v="2"/>
    <n v="60"/>
    <n v="8673"/>
    <n v="21.235395759999999"/>
    <n v="0.2123539576"/>
    <n v="14"/>
    <d v="1899-12-30T00:14:00"/>
    <n v="2"/>
    <n v="31595"/>
    <x v="0"/>
    <n v="22922"/>
    <n v="0.72549454027535998"/>
  </r>
  <r>
    <s v="P-0299"/>
    <x v="9"/>
    <x v="5"/>
    <x v="1"/>
    <x v="9"/>
    <x v="2"/>
    <x v="0"/>
    <x v="4"/>
    <n v="98"/>
    <n v="4723"/>
    <n v="18.129572150000001"/>
    <n v="0.18129572150000001"/>
    <n v="93"/>
    <d v="1899-12-30T01:33:00"/>
    <n v="3"/>
    <n v="6877"/>
    <x v="0"/>
    <n v="2154"/>
    <n v="0.31321797295332265"/>
  </r>
  <r>
    <s v="P-0300"/>
    <x v="0"/>
    <x v="5"/>
    <x v="1"/>
    <x v="13"/>
    <x v="1"/>
    <x v="2"/>
    <x v="3"/>
    <n v="57"/>
    <n v="5331"/>
    <n v="7.5619149270000001"/>
    <n v="7.5619149270000005E-2"/>
    <n v="61"/>
    <d v="1899-12-30T01:01:00"/>
    <n v="2"/>
    <n v="40553"/>
    <x v="0"/>
    <n v="35222"/>
    <n v="0.86854240130199989"/>
  </r>
  <r>
    <s v="P-0301"/>
    <x v="11"/>
    <x v="0"/>
    <x v="1"/>
    <x v="49"/>
    <x v="2"/>
    <x v="0"/>
    <x v="0"/>
    <n v="85"/>
    <n v="3268"/>
    <n v="11.765350120000001"/>
    <n v="0.11765350120000001"/>
    <n v="114"/>
    <d v="1899-12-30T01:54:00"/>
    <n v="4"/>
    <n v="49601"/>
    <x v="0"/>
    <n v="46333"/>
    <n v="0.93411423156791196"/>
  </r>
  <r>
    <s v="P-0302"/>
    <x v="0"/>
    <x v="5"/>
    <x v="1"/>
    <x v="26"/>
    <x v="0"/>
    <x v="2"/>
    <x v="5"/>
    <n v="87"/>
    <n v="3686"/>
    <n v="23.561672810000001"/>
    <n v="0.23561672810000001"/>
    <n v="63"/>
    <d v="1899-12-30T01:03:00"/>
    <n v="2"/>
    <n v="5922"/>
    <x v="0"/>
    <n v="2236"/>
    <n v="0.37757514353259036"/>
  </r>
  <r>
    <s v="P-0303"/>
    <x v="10"/>
    <x v="5"/>
    <x v="2"/>
    <x v="57"/>
    <x v="2"/>
    <x v="2"/>
    <x v="4"/>
    <n v="89"/>
    <n v="3073"/>
    <n v="9.4923122370000002"/>
    <n v="9.4923122370000002E-2"/>
    <n v="170"/>
    <d v="1899-12-30T02:50:00"/>
    <n v="1"/>
    <n v="5686"/>
    <x v="0"/>
    <n v="2613"/>
    <n v="0.45954977136827296"/>
  </r>
  <r>
    <s v="P-0304"/>
    <x v="3"/>
    <x v="3"/>
    <x v="2"/>
    <x v="6"/>
    <x v="2"/>
    <x v="1"/>
    <x v="3"/>
    <n v="69"/>
    <n v="3099"/>
    <n v="12.44334048"/>
    <n v="0.12443340479999999"/>
    <n v="175"/>
    <d v="1899-12-30T02:55:00"/>
    <n v="4"/>
    <n v="33766"/>
    <x v="0"/>
    <n v="30667"/>
    <n v="0.90822128768583787"/>
  </r>
  <r>
    <s v="P-0305"/>
    <x v="8"/>
    <x v="3"/>
    <x v="1"/>
    <x v="49"/>
    <x v="2"/>
    <x v="3"/>
    <x v="4"/>
    <n v="84"/>
    <n v="4533"/>
    <n v="13.641537659999999"/>
    <n v="0.1364153766"/>
    <n v="164"/>
    <d v="1899-12-30T02:44:00"/>
    <n v="4"/>
    <n v="15407"/>
    <x v="0"/>
    <n v="10874"/>
    <n v="0.70578308561043679"/>
  </r>
  <r>
    <s v="P-0306"/>
    <x v="12"/>
    <x v="5"/>
    <x v="2"/>
    <x v="34"/>
    <x v="0"/>
    <x v="3"/>
    <x v="5"/>
    <n v="97"/>
    <n v="8928"/>
    <n v="13.78809979"/>
    <n v="0.1378809979"/>
    <n v="24"/>
    <d v="1899-12-30T00:24:00"/>
    <n v="4"/>
    <n v="33006"/>
    <x v="0"/>
    <n v="24078"/>
    <n v="0.72950372659516449"/>
  </r>
  <r>
    <s v="P-0307"/>
    <x v="10"/>
    <x v="0"/>
    <x v="2"/>
    <x v="2"/>
    <x v="2"/>
    <x v="3"/>
    <x v="3"/>
    <n v="74"/>
    <n v="1804"/>
    <n v="17.258791649999999"/>
    <n v="0.17258791649999999"/>
    <n v="70"/>
    <d v="1899-12-30T01:10:00"/>
    <n v="3"/>
    <n v="32422"/>
    <x v="0"/>
    <n v="30618"/>
    <n v="0.9443587687372772"/>
  </r>
  <r>
    <s v="P-0308"/>
    <x v="14"/>
    <x v="7"/>
    <x v="0"/>
    <x v="6"/>
    <x v="2"/>
    <x v="0"/>
    <x v="0"/>
    <n v="84"/>
    <n v="7868"/>
    <n v="23.86151675"/>
    <n v="0.2386151675"/>
    <n v="131"/>
    <d v="1899-12-30T02:11:00"/>
    <n v="3"/>
    <n v="13205"/>
    <x v="0"/>
    <n v="5337"/>
    <n v="0.40416508898144643"/>
  </r>
  <r>
    <s v="P-0309"/>
    <x v="10"/>
    <x v="6"/>
    <x v="2"/>
    <x v="17"/>
    <x v="2"/>
    <x v="3"/>
    <x v="4"/>
    <n v="74"/>
    <n v="6377"/>
    <n v="9.8138542369999993"/>
    <n v="9.8138542369999998E-2"/>
    <n v="30"/>
    <d v="1899-12-30T00:30:00"/>
    <n v="4"/>
    <n v="22054"/>
    <x v="0"/>
    <n v="15677"/>
    <n v="0.71084610501496326"/>
  </r>
  <r>
    <s v="P-0310"/>
    <x v="13"/>
    <x v="6"/>
    <x v="2"/>
    <x v="87"/>
    <x v="1"/>
    <x v="1"/>
    <x v="0"/>
    <n v="78"/>
    <n v="1801"/>
    <n v="7.4300275259999999"/>
    <n v="7.4300275259999993E-2"/>
    <n v="55"/>
    <d v="1899-12-30T00:55:00"/>
    <n v="3"/>
    <n v="24527"/>
    <x v="0"/>
    <n v="22726"/>
    <n v="0.92657071798426227"/>
  </r>
  <r>
    <s v="P-0311"/>
    <x v="2"/>
    <x v="7"/>
    <x v="1"/>
    <x v="58"/>
    <x v="0"/>
    <x v="3"/>
    <x v="2"/>
    <n v="67"/>
    <n v="3041"/>
    <n v="8.9494097969999995"/>
    <n v="8.9494097969999992E-2"/>
    <n v="143"/>
    <d v="1899-12-30T02:23:00"/>
    <n v="2"/>
    <n v="46947"/>
    <x v="0"/>
    <n v="43906"/>
    <n v="0.93522482799752915"/>
  </r>
  <r>
    <s v="P-0312"/>
    <x v="1"/>
    <x v="2"/>
    <x v="1"/>
    <x v="59"/>
    <x v="0"/>
    <x v="3"/>
    <x v="2"/>
    <n v="95"/>
    <n v="2551"/>
    <n v="22.738498"/>
    <n v="0.22738497999999999"/>
    <n v="47"/>
    <d v="1899-12-30T00:47:00"/>
    <n v="3"/>
    <n v="19443"/>
    <x v="0"/>
    <n v="16892"/>
    <n v="0.86879596770045775"/>
  </r>
  <r>
    <s v="P-0313"/>
    <x v="13"/>
    <x v="2"/>
    <x v="1"/>
    <x v="10"/>
    <x v="0"/>
    <x v="3"/>
    <x v="1"/>
    <n v="67"/>
    <n v="7309"/>
    <n v="17.916216250000002"/>
    <n v="0.17916216250000003"/>
    <n v="71"/>
    <d v="1899-12-30T01:11:00"/>
    <n v="3"/>
    <n v="17524"/>
    <x v="0"/>
    <n v="10215"/>
    <n v="0.58291485962109113"/>
  </r>
  <r>
    <s v="P-0314"/>
    <x v="13"/>
    <x v="3"/>
    <x v="0"/>
    <x v="80"/>
    <x v="1"/>
    <x v="0"/>
    <x v="5"/>
    <n v="51"/>
    <n v="9133"/>
    <n v="10.718135780000001"/>
    <n v="0.1071813578"/>
    <n v="95"/>
    <d v="1899-12-30T01:35:00"/>
    <n v="4"/>
    <n v="29202"/>
    <x v="0"/>
    <n v="20069"/>
    <n v="0.68724744880487643"/>
  </r>
  <r>
    <s v="P-0315"/>
    <x v="4"/>
    <x v="4"/>
    <x v="0"/>
    <x v="54"/>
    <x v="1"/>
    <x v="1"/>
    <x v="4"/>
    <n v="84"/>
    <n v="9496"/>
    <n v="21.31893878"/>
    <n v="0.21318938779999999"/>
    <n v="87"/>
    <d v="1899-12-30T01:27:00"/>
    <n v="1"/>
    <n v="1016"/>
    <x v="0"/>
    <n v="-8480"/>
    <n v="-8.3464566929133852"/>
  </r>
  <r>
    <s v="P-0316"/>
    <x v="5"/>
    <x v="3"/>
    <x v="1"/>
    <x v="84"/>
    <x v="0"/>
    <x v="3"/>
    <x v="3"/>
    <n v="65"/>
    <n v="574"/>
    <n v="22.227399930000001"/>
    <n v="0.2222739993"/>
    <n v="55"/>
    <d v="1899-12-30T00:55:00"/>
    <n v="1"/>
    <n v="47142"/>
    <x v="0"/>
    <n v="46568"/>
    <n v="0.98782402104280687"/>
  </r>
  <r>
    <s v="P-0317"/>
    <x v="10"/>
    <x v="0"/>
    <x v="0"/>
    <x v="69"/>
    <x v="0"/>
    <x v="2"/>
    <x v="2"/>
    <n v="90"/>
    <n v="7481"/>
    <n v="21.930286769999999"/>
    <n v="0.21930286769999999"/>
    <n v="150"/>
    <d v="1899-12-30T02:30:00"/>
    <n v="1"/>
    <n v="17848"/>
    <x v="0"/>
    <n v="10367"/>
    <n v="0.58084939489018372"/>
  </r>
  <r>
    <s v="P-0318"/>
    <x v="4"/>
    <x v="6"/>
    <x v="0"/>
    <x v="88"/>
    <x v="3"/>
    <x v="0"/>
    <x v="5"/>
    <n v="85"/>
    <n v="5975"/>
    <n v="23.37853067"/>
    <n v="0.2337853067"/>
    <n v="12"/>
    <d v="1899-12-30T00:12:00"/>
    <n v="2"/>
    <n v="21855"/>
    <x v="0"/>
    <n v="15880"/>
    <n v="0.72660718371082134"/>
  </r>
  <r>
    <s v="P-0319"/>
    <x v="14"/>
    <x v="4"/>
    <x v="2"/>
    <x v="80"/>
    <x v="1"/>
    <x v="3"/>
    <x v="1"/>
    <n v="82"/>
    <n v="8732"/>
    <n v="10.044820400000001"/>
    <n v="0.10044820400000001"/>
    <n v="15"/>
    <d v="1899-12-30T00:15:00"/>
    <n v="3"/>
    <n v="19211"/>
    <x v="0"/>
    <n v="10479"/>
    <n v="0.54546874186663885"/>
  </r>
  <r>
    <s v="P-0320"/>
    <x v="9"/>
    <x v="0"/>
    <x v="2"/>
    <x v="82"/>
    <x v="2"/>
    <x v="3"/>
    <x v="3"/>
    <n v="53"/>
    <n v="7684"/>
    <n v="20.100838570000001"/>
    <n v="0.20100838570000001"/>
    <n v="102"/>
    <d v="1899-12-30T01:42:00"/>
    <n v="1"/>
    <n v="26095"/>
    <x v="0"/>
    <n v="18411"/>
    <n v="0.70553745928338762"/>
  </r>
  <r>
    <s v="P-0321"/>
    <x v="14"/>
    <x v="1"/>
    <x v="2"/>
    <x v="6"/>
    <x v="2"/>
    <x v="0"/>
    <x v="5"/>
    <n v="82"/>
    <n v="6296"/>
    <n v="14.210789950000001"/>
    <n v="0.1421078995"/>
    <n v="17"/>
    <d v="1899-12-30T00:17:00"/>
    <n v="4"/>
    <n v="39724"/>
    <x v="0"/>
    <n v="33428"/>
    <n v="0.84150639411942407"/>
  </r>
  <r>
    <s v="P-0322"/>
    <x v="4"/>
    <x v="2"/>
    <x v="1"/>
    <x v="43"/>
    <x v="1"/>
    <x v="2"/>
    <x v="5"/>
    <n v="63"/>
    <n v="7641"/>
    <n v="21.83997106"/>
    <n v="0.21839971059999999"/>
    <n v="117"/>
    <d v="1899-12-30T01:57:00"/>
    <n v="1"/>
    <n v="38583"/>
    <x v="0"/>
    <n v="30942"/>
    <n v="0.80195941217634714"/>
  </r>
  <r>
    <s v="P-0323"/>
    <x v="11"/>
    <x v="2"/>
    <x v="1"/>
    <x v="17"/>
    <x v="2"/>
    <x v="2"/>
    <x v="4"/>
    <n v="70"/>
    <n v="2122"/>
    <n v="19.569813539999998"/>
    <n v="0.19569813539999997"/>
    <n v="170"/>
    <d v="1899-12-30T02:50:00"/>
    <n v="1"/>
    <n v="3843"/>
    <x v="0"/>
    <n v="1721"/>
    <n v="0.44782721831902161"/>
  </r>
  <r>
    <s v="P-0324"/>
    <x v="12"/>
    <x v="3"/>
    <x v="1"/>
    <x v="55"/>
    <x v="0"/>
    <x v="0"/>
    <x v="1"/>
    <n v="97"/>
    <n v="8541"/>
    <n v="20.528948929999999"/>
    <n v="0.20528948929999999"/>
    <n v="84"/>
    <d v="1899-12-30T01:24:00"/>
    <n v="3"/>
    <n v="30301"/>
    <x v="0"/>
    <n v="21760"/>
    <n v="0.71812811458367709"/>
  </r>
  <r>
    <s v="P-0325"/>
    <x v="7"/>
    <x v="6"/>
    <x v="0"/>
    <x v="82"/>
    <x v="2"/>
    <x v="3"/>
    <x v="4"/>
    <n v="69"/>
    <n v="841"/>
    <n v="18.12323675"/>
    <n v="0.18123236749999999"/>
    <n v="86"/>
    <d v="1899-12-30T01:26:00"/>
    <n v="3"/>
    <n v="27460"/>
    <x v="0"/>
    <n v="26619"/>
    <n v="0.96937363437727608"/>
  </r>
  <r>
    <s v="P-0326"/>
    <x v="5"/>
    <x v="5"/>
    <x v="2"/>
    <x v="18"/>
    <x v="3"/>
    <x v="0"/>
    <x v="2"/>
    <n v="57"/>
    <n v="2574"/>
    <n v="8.5485753889999998"/>
    <n v="8.5485753890000002E-2"/>
    <n v="59"/>
    <d v="1899-12-30T00:59:00"/>
    <n v="3"/>
    <n v="32918"/>
    <x v="0"/>
    <n v="30344"/>
    <n v="0.92180569900966036"/>
  </r>
  <r>
    <s v="P-0327"/>
    <x v="11"/>
    <x v="6"/>
    <x v="2"/>
    <x v="3"/>
    <x v="0"/>
    <x v="0"/>
    <x v="0"/>
    <n v="56"/>
    <n v="8492"/>
    <n v="15.90053838"/>
    <n v="0.15900538380000001"/>
    <n v="20"/>
    <d v="1899-12-30T00:20:00"/>
    <n v="2"/>
    <n v="29747"/>
    <x v="0"/>
    <n v="21255"/>
    <n v="0.71452583453793661"/>
  </r>
  <r>
    <s v="P-0328"/>
    <x v="5"/>
    <x v="0"/>
    <x v="1"/>
    <x v="55"/>
    <x v="0"/>
    <x v="0"/>
    <x v="3"/>
    <n v="52"/>
    <n v="1145"/>
    <n v="24.693394789999999"/>
    <n v="0.24693394790000001"/>
    <n v="104"/>
    <d v="1899-12-30T01:44:00"/>
    <n v="2"/>
    <n v="16972"/>
    <x v="0"/>
    <n v="15827"/>
    <n v="0.93253594155078956"/>
  </r>
  <r>
    <s v="P-0329"/>
    <x v="8"/>
    <x v="0"/>
    <x v="1"/>
    <x v="9"/>
    <x v="2"/>
    <x v="0"/>
    <x v="1"/>
    <n v="66"/>
    <n v="4763"/>
    <n v="23.747761329999999"/>
    <n v="0.2374776133"/>
    <n v="165"/>
    <d v="1899-12-30T02:45:00"/>
    <n v="1"/>
    <n v="29310"/>
    <x v="0"/>
    <n v="24547"/>
    <n v="0.83749573524394405"/>
  </r>
  <r>
    <s v="P-0330"/>
    <x v="6"/>
    <x v="0"/>
    <x v="1"/>
    <x v="20"/>
    <x v="2"/>
    <x v="2"/>
    <x v="5"/>
    <n v="82"/>
    <n v="9301"/>
    <n v="5.8634747159999998"/>
    <n v="5.863474716E-2"/>
    <n v="79"/>
    <d v="1899-12-30T01:19:00"/>
    <n v="3"/>
    <n v="23927"/>
    <x v="0"/>
    <n v="14626"/>
    <n v="0.61127596439169141"/>
  </r>
  <r>
    <s v="P-0331"/>
    <x v="11"/>
    <x v="1"/>
    <x v="1"/>
    <x v="0"/>
    <x v="0"/>
    <x v="0"/>
    <x v="5"/>
    <n v="97"/>
    <n v="6636"/>
    <n v="8.2962963149999993"/>
    <n v="8.2962963149999999E-2"/>
    <n v="178"/>
    <d v="1899-12-30T02:58:00"/>
    <n v="1"/>
    <n v="2094"/>
    <x v="0"/>
    <n v="-4542"/>
    <n v="-2.1690544412607449"/>
  </r>
  <r>
    <s v="P-0332"/>
    <x v="0"/>
    <x v="5"/>
    <x v="1"/>
    <x v="51"/>
    <x v="3"/>
    <x v="3"/>
    <x v="0"/>
    <n v="61"/>
    <n v="9146"/>
    <n v="7.6345754689999996"/>
    <n v="7.6345754689999989E-2"/>
    <n v="25"/>
    <d v="1899-12-30T00:25:00"/>
    <n v="4"/>
    <n v="39892"/>
    <x v="0"/>
    <n v="30746"/>
    <n v="0.77073097362879772"/>
  </r>
  <r>
    <s v="P-0333"/>
    <x v="10"/>
    <x v="5"/>
    <x v="1"/>
    <x v="42"/>
    <x v="1"/>
    <x v="3"/>
    <x v="5"/>
    <n v="71"/>
    <n v="3469"/>
    <n v="19.519598200000001"/>
    <n v="0.19519598200000002"/>
    <n v="77"/>
    <d v="1899-12-30T01:17:00"/>
    <n v="4"/>
    <n v="35172"/>
    <x v="0"/>
    <n v="31703"/>
    <n v="0.90137040827931314"/>
  </r>
  <r>
    <s v="P-0334"/>
    <x v="10"/>
    <x v="7"/>
    <x v="1"/>
    <x v="15"/>
    <x v="1"/>
    <x v="1"/>
    <x v="3"/>
    <n v="71"/>
    <n v="3528"/>
    <n v="21.355706600000001"/>
    <n v="0.21355706600000002"/>
    <n v="108"/>
    <d v="1899-12-30T01:48:00"/>
    <n v="3"/>
    <n v="24324"/>
    <x v="0"/>
    <n v="20796"/>
    <n v="0.8549580661075481"/>
  </r>
  <r>
    <s v="P-0335"/>
    <x v="11"/>
    <x v="6"/>
    <x v="2"/>
    <x v="40"/>
    <x v="3"/>
    <x v="1"/>
    <x v="4"/>
    <n v="95"/>
    <n v="8143"/>
    <n v="9.2702273260000005"/>
    <n v="9.2702273260000009E-2"/>
    <n v="57"/>
    <d v="1899-12-30T00:57:00"/>
    <n v="3"/>
    <n v="21674"/>
    <x v="0"/>
    <n v="13531"/>
    <n v="0.62429639199040321"/>
  </r>
  <r>
    <s v="P-0336"/>
    <x v="4"/>
    <x v="1"/>
    <x v="0"/>
    <x v="32"/>
    <x v="1"/>
    <x v="0"/>
    <x v="1"/>
    <n v="79"/>
    <n v="3181"/>
    <n v="15.11705386"/>
    <n v="0.15117053860000002"/>
    <n v="73"/>
    <d v="1899-12-30T01:13:00"/>
    <n v="4"/>
    <n v="4982"/>
    <x v="0"/>
    <n v="1801"/>
    <n v="0.36150140505820955"/>
  </r>
  <r>
    <s v="P-0337"/>
    <x v="5"/>
    <x v="0"/>
    <x v="0"/>
    <x v="56"/>
    <x v="0"/>
    <x v="1"/>
    <x v="3"/>
    <n v="87"/>
    <n v="4129"/>
    <n v="21.814060560000001"/>
    <n v="0.21814060560000001"/>
    <n v="99"/>
    <d v="1899-12-30T01:39:00"/>
    <n v="3"/>
    <n v="46283"/>
    <x v="1"/>
    <n v="42154"/>
    <n v="0.91078797830736991"/>
  </r>
  <r>
    <s v="P-0338"/>
    <x v="8"/>
    <x v="4"/>
    <x v="2"/>
    <x v="82"/>
    <x v="2"/>
    <x v="0"/>
    <x v="2"/>
    <n v="87"/>
    <n v="4725"/>
    <n v="19.656030900000001"/>
    <n v="0.19656030900000002"/>
    <n v="85"/>
    <d v="1899-12-30T01:25:00"/>
    <n v="2"/>
    <n v="16790"/>
    <x v="0"/>
    <n v="12065"/>
    <n v="0.71858248957712922"/>
  </r>
  <r>
    <s v="P-0339"/>
    <x v="9"/>
    <x v="6"/>
    <x v="2"/>
    <x v="0"/>
    <x v="0"/>
    <x v="2"/>
    <x v="0"/>
    <n v="94"/>
    <n v="3567"/>
    <n v="15.844744110000001"/>
    <n v="0.1584474411"/>
    <n v="148"/>
    <d v="1899-12-30T02:28:00"/>
    <n v="2"/>
    <n v="13205"/>
    <x v="0"/>
    <n v="9638"/>
    <n v="0.72987504733055664"/>
  </r>
  <r>
    <s v="P-0340"/>
    <x v="12"/>
    <x v="5"/>
    <x v="0"/>
    <x v="68"/>
    <x v="3"/>
    <x v="2"/>
    <x v="2"/>
    <n v="57"/>
    <n v="6441"/>
    <n v="16.80695381"/>
    <n v="0.1680695381"/>
    <n v="110"/>
    <d v="1899-12-30T01:50:00"/>
    <n v="3"/>
    <n v="25338"/>
    <x v="0"/>
    <n v="18897"/>
    <n v="0.7457968269003078"/>
  </r>
  <r>
    <s v="P-0341"/>
    <x v="8"/>
    <x v="2"/>
    <x v="1"/>
    <x v="16"/>
    <x v="1"/>
    <x v="2"/>
    <x v="3"/>
    <n v="76"/>
    <n v="1886"/>
    <n v="15.16721094"/>
    <n v="0.1516721094"/>
    <n v="98"/>
    <d v="1899-12-30T01:38:00"/>
    <n v="4"/>
    <n v="13748"/>
    <x v="0"/>
    <n v="11862"/>
    <n v="0.86281640965958684"/>
  </r>
  <r>
    <s v="P-0342"/>
    <x v="14"/>
    <x v="2"/>
    <x v="0"/>
    <x v="11"/>
    <x v="3"/>
    <x v="2"/>
    <x v="0"/>
    <n v="76"/>
    <n v="3366"/>
    <n v="10.95096903"/>
    <n v="0.10950969029999999"/>
    <n v="27"/>
    <d v="1899-12-30T00:27:00"/>
    <n v="1"/>
    <n v="22097"/>
    <x v="0"/>
    <n v="18731"/>
    <n v="0.84767162963298182"/>
  </r>
  <r>
    <s v="P-0343"/>
    <x v="7"/>
    <x v="1"/>
    <x v="2"/>
    <x v="68"/>
    <x v="3"/>
    <x v="3"/>
    <x v="3"/>
    <n v="83"/>
    <n v="5288"/>
    <n v="16.300439860000001"/>
    <n v="0.16300439860000002"/>
    <n v="28"/>
    <d v="1899-12-30T00:28:00"/>
    <n v="3"/>
    <n v="4092"/>
    <x v="0"/>
    <n v="-1196"/>
    <n v="-0.29227761485826004"/>
  </r>
  <r>
    <s v="P-0344"/>
    <x v="14"/>
    <x v="3"/>
    <x v="0"/>
    <x v="8"/>
    <x v="0"/>
    <x v="2"/>
    <x v="5"/>
    <n v="70"/>
    <n v="5990"/>
    <n v="18.777706040000002"/>
    <n v="0.18777706040000003"/>
    <n v="64"/>
    <d v="1899-12-30T01:04:00"/>
    <n v="3"/>
    <n v="23692"/>
    <x v="0"/>
    <n v="17702"/>
    <n v="0.7471720411953402"/>
  </r>
  <r>
    <s v="P-0345"/>
    <x v="12"/>
    <x v="5"/>
    <x v="1"/>
    <x v="78"/>
    <x v="3"/>
    <x v="2"/>
    <x v="5"/>
    <n v="79"/>
    <n v="4624"/>
    <n v="22.466458320000001"/>
    <n v="0.22466458320000002"/>
    <n v="111"/>
    <d v="1899-12-30T01:51:00"/>
    <n v="1"/>
    <n v="24862"/>
    <x v="0"/>
    <n v="20238"/>
    <n v="0.81401335371249295"/>
  </r>
  <r>
    <s v="P-0346"/>
    <x v="0"/>
    <x v="6"/>
    <x v="2"/>
    <x v="10"/>
    <x v="0"/>
    <x v="3"/>
    <x v="0"/>
    <n v="82"/>
    <n v="8840"/>
    <n v="17.725827079999998"/>
    <n v="0.17725827079999998"/>
    <n v="127"/>
    <d v="1899-12-30T02:07:00"/>
    <n v="3"/>
    <n v="25860"/>
    <x v="0"/>
    <n v="17020"/>
    <n v="0.65815931941221961"/>
  </r>
  <r>
    <s v="P-0347"/>
    <x v="13"/>
    <x v="3"/>
    <x v="2"/>
    <x v="69"/>
    <x v="0"/>
    <x v="0"/>
    <x v="3"/>
    <n v="77"/>
    <n v="4350"/>
    <n v="20.22243074"/>
    <n v="0.2022243074"/>
    <n v="163"/>
    <d v="1899-12-30T02:43:00"/>
    <n v="1"/>
    <n v="14971"/>
    <x v="0"/>
    <n v="10621"/>
    <n v="0.70943824727807092"/>
  </r>
  <r>
    <s v="P-0348"/>
    <x v="5"/>
    <x v="5"/>
    <x v="0"/>
    <x v="77"/>
    <x v="3"/>
    <x v="1"/>
    <x v="3"/>
    <n v="96"/>
    <n v="5915"/>
    <n v="8.2014326989999997"/>
    <n v="8.2014326989999997E-2"/>
    <n v="143"/>
    <d v="1899-12-30T02:23:00"/>
    <n v="4"/>
    <n v="15616"/>
    <x v="1"/>
    <n v="9701"/>
    <n v="0.62122182377049184"/>
  </r>
  <r>
    <s v="P-0349"/>
    <x v="4"/>
    <x v="7"/>
    <x v="2"/>
    <x v="76"/>
    <x v="2"/>
    <x v="0"/>
    <x v="4"/>
    <n v="82"/>
    <n v="8179"/>
    <n v="14.23114949"/>
    <n v="0.1423114949"/>
    <n v="13"/>
    <d v="1899-12-30T00:13:00"/>
    <n v="2"/>
    <n v="5933"/>
    <x v="0"/>
    <n v="-2246"/>
    <n v="-0.37856059329175795"/>
  </r>
  <r>
    <s v="P-0350"/>
    <x v="13"/>
    <x v="4"/>
    <x v="0"/>
    <x v="24"/>
    <x v="2"/>
    <x v="0"/>
    <x v="4"/>
    <n v="54"/>
    <n v="7319"/>
    <n v="5.1866323970000003"/>
    <n v="5.1866323970000003E-2"/>
    <n v="117"/>
    <d v="1899-12-30T01:57:00"/>
    <n v="4"/>
    <n v="5926"/>
    <x v="0"/>
    <n v="-1393"/>
    <n v="-0.23506581167735402"/>
  </r>
  <r>
    <s v="P-0351"/>
    <x v="4"/>
    <x v="5"/>
    <x v="0"/>
    <x v="22"/>
    <x v="3"/>
    <x v="1"/>
    <x v="1"/>
    <n v="97"/>
    <n v="9828"/>
    <n v="9.9335772900000006"/>
    <n v="9.9335772900000008E-2"/>
    <n v="124"/>
    <d v="1899-12-30T02:04:00"/>
    <n v="2"/>
    <n v="26763"/>
    <x v="0"/>
    <n v="16935"/>
    <n v="0.63277659455218027"/>
  </r>
  <r>
    <s v="P-0352"/>
    <x v="8"/>
    <x v="2"/>
    <x v="2"/>
    <x v="21"/>
    <x v="1"/>
    <x v="2"/>
    <x v="5"/>
    <n v="68"/>
    <n v="8878"/>
    <n v="19.529234299999999"/>
    <n v="0.19529234299999998"/>
    <n v="38"/>
    <d v="1899-12-30T00:38:00"/>
    <n v="1"/>
    <n v="4969"/>
    <x v="0"/>
    <n v="-3909"/>
    <n v="-0.78667739987925134"/>
  </r>
  <r>
    <s v="P-0353"/>
    <x v="12"/>
    <x v="7"/>
    <x v="2"/>
    <x v="13"/>
    <x v="1"/>
    <x v="2"/>
    <x v="0"/>
    <n v="53"/>
    <n v="9942"/>
    <n v="24.83619903"/>
    <n v="0.2483619903"/>
    <n v="68"/>
    <d v="1899-12-30T01:08:00"/>
    <n v="2"/>
    <n v="36733"/>
    <x v="0"/>
    <n v="26791"/>
    <n v="0.72934418642637411"/>
  </r>
  <r>
    <s v="P-0354"/>
    <x v="7"/>
    <x v="0"/>
    <x v="0"/>
    <x v="62"/>
    <x v="1"/>
    <x v="2"/>
    <x v="2"/>
    <n v="84"/>
    <n v="1833"/>
    <n v="6.9835619920000003"/>
    <n v="6.9835619920000008E-2"/>
    <n v="134"/>
    <d v="1899-12-30T02:14:00"/>
    <n v="4"/>
    <n v="5319"/>
    <x v="0"/>
    <n v="3486"/>
    <n v="0.65538635081782293"/>
  </r>
  <r>
    <s v="P-0355"/>
    <x v="0"/>
    <x v="6"/>
    <x v="2"/>
    <x v="63"/>
    <x v="2"/>
    <x v="2"/>
    <x v="5"/>
    <n v="98"/>
    <n v="4650"/>
    <n v="13.029886319999999"/>
    <n v="0.1302988632"/>
    <n v="107"/>
    <d v="1899-12-30T01:47:00"/>
    <n v="2"/>
    <n v="42743"/>
    <x v="0"/>
    <n v="38093"/>
    <n v="0.8912102566502117"/>
  </r>
  <r>
    <s v="P-0356"/>
    <x v="10"/>
    <x v="3"/>
    <x v="2"/>
    <x v="61"/>
    <x v="2"/>
    <x v="1"/>
    <x v="3"/>
    <n v="66"/>
    <n v="7266"/>
    <n v="21.001419370000001"/>
    <n v="0.21001419370000002"/>
    <n v="26"/>
    <d v="1899-12-30T00:26:00"/>
    <n v="1"/>
    <n v="40876"/>
    <x v="0"/>
    <n v="33610"/>
    <n v="0.82224288090811237"/>
  </r>
  <r>
    <s v="P-0357"/>
    <x v="11"/>
    <x v="7"/>
    <x v="1"/>
    <x v="55"/>
    <x v="0"/>
    <x v="2"/>
    <x v="5"/>
    <n v="93"/>
    <n v="3211"/>
    <n v="9.0807126930000006"/>
    <n v="9.0807126930000009E-2"/>
    <n v="116"/>
    <d v="1899-12-30T01:56:00"/>
    <n v="2"/>
    <n v="42909"/>
    <x v="0"/>
    <n v="39698"/>
    <n v="0.92516721433731852"/>
  </r>
  <r>
    <s v="P-0358"/>
    <x v="12"/>
    <x v="2"/>
    <x v="2"/>
    <x v="29"/>
    <x v="0"/>
    <x v="2"/>
    <x v="4"/>
    <n v="77"/>
    <n v="5353"/>
    <n v="16.101698989999999"/>
    <n v="0.16101698989999999"/>
    <n v="52"/>
    <d v="1899-12-30T00:52:00"/>
    <n v="3"/>
    <n v="21323"/>
    <x v="0"/>
    <n v="15970"/>
    <n v="0.74895652581719274"/>
  </r>
  <r>
    <s v="P-0359"/>
    <x v="10"/>
    <x v="0"/>
    <x v="0"/>
    <x v="9"/>
    <x v="2"/>
    <x v="2"/>
    <x v="2"/>
    <n v="79"/>
    <n v="6712"/>
    <n v="19.661425919999999"/>
    <n v="0.1966142592"/>
    <n v="89"/>
    <d v="1899-12-30T01:29:00"/>
    <n v="4"/>
    <n v="17428"/>
    <x v="0"/>
    <n v="10716"/>
    <n v="0.61487261877438604"/>
  </r>
  <r>
    <s v="P-0360"/>
    <x v="12"/>
    <x v="4"/>
    <x v="0"/>
    <x v="3"/>
    <x v="0"/>
    <x v="1"/>
    <x v="3"/>
    <n v="78"/>
    <n v="7979"/>
    <n v="17.31970901"/>
    <n v="0.17319709010000001"/>
    <n v="171"/>
    <d v="1899-12-30T02:51:00"/>
    <n v="3"/>
    <n v="35578"/>
    <x v="1"/>
    <n v="27599"/>
    <n v="0.77573219405250438"/>
  </r>
  <r>
    <s v="P-0361"/>
    <x v="8"/>
    <x v="0"/>
    <x v="2"/>
    <x v="21"/>
    <x v="1"/>
    <x v="3"/>
    <x v="5"/>
    <n v="95"/>
    <n v="5908"/>
    <n v="8.760494692"/>
    <n v="8.7604946919999996E-2"/>
    <n v="17"/>
    <d v="1899-12-30T00:17:00"/>
    <n v="1"/>
    <n v="21950"/>
    <x v="0"/>
    <n v="16042"/>
    <n v="0.73084282460136674"/>
  </r>
  <r>
    <s v="P-0362"/>
    <x v="0"/>
    <x v="7"/>
    <x v="1"/>
    <x v="11"/>
    <x v="3"/>
    <x v="1"/>
    <x v="1"/>
    <n v="55"/>
    <n v="8215"/>
    <n v="12.10769137"/>
    <n v="0.1210769137"/>
    <n v="150"/>
    <d v="1899-12-30T02:30:00"/>
    <n v="2"/>
    <n v="44041"/>
    <x v="0"/>
    <n v="35826"/>
    <n v="0.81346926727367685"/>
  </r>
  <r>
    <s v="P-0363"/>
    <x v="2"/>
    <x v="6"/>
    <x v="2"/>
    <x v="75"/>
    <x v="2"/>
    <x v="2"/>
    <x v="4"/>
    <n v="84"/>
    <n v="9442"/>
    <n v="20.67583569"/>
    <n v="0.2067583569"/>
    <n v="115"/>
    <d v="1899-12-30T01:55:00"/>
    <n v="3"/>
    <n v="42789"/>
    <x v="0"/>
    <n v="33347"/>
    <n v="0.77933581060552948"/>
  </r>
  <r>
    <s v="P-0364"/>
    <x v="4"/>
    <x v="4"/>
    <x v="2"/>
    <x v="82"/>
    <x v="2"/>
    <x v="1"/>
    <x v="4"/>
    <n v="90"/>
    <n v="2262"/>
    <n v="16.084530279999999"/>
    <n v="0.16084530279999998"/>
    <n v="17"/>
    <d v="1899-12-30T00:17:00"/>
    <n v="3"/>
    <n v="19293"/>
    <x v="0"/>
    <n v="17031"/>
    <n v="0.88275540351422799"/>
  </r>
  <r>
    <s v="P-0365"/>
    <x v="0"/>
    <x v="5"/>
    <x v="1"/>
    <x v="36"/>
    <x v="2"/>
    <x v="0"/>
    <x v="5"/>
    <n v="86"/>
    <n v="7601"/>
    <n v="5.1045922709999996"/>
    <n v="5.1045922709999997E-2"/>
    <n v="105"/>
    <d v="1899-12-30T01:45:00"/>
    <n v="2"/>
    <n v="7364"/>
    <x v="0"/>
    <n v="-237"/>
    <n v="-3.2183595871808801E-2"/>
  </r>
  <r>
    <s v="P-0366"/>
    <x v="5"/>
    <x v="6"/>
    <x v="2"/>
    <x v="49"/>
    <x v="2"/>
    <x v="0"/>
    <x v="3"/>
    <n v="73"/>
    <n v="8174"/>
    <n v="20.219815199999999"/>
    <n v="0.20219815199999999"/>
    <n v="103"/>
    <d v="1899-12-30T01:43:00"/>
    <n v="2"/>
    <n v="36349"/>
    <x v="0"/>
    <n v="28175"/>
    <n v="0.77512448760626151"/>
  </r>
  <r>
    <s v="P-0367"/>
    <x v="7"/>
    <x v="0"/>
    <x v="0"/>
    <x v="83"/>
    <x v="3"/>
    <x v="3"/>
    <x v="3"/>
    <n v="78"/>
    <n v="6622"/>
    <n v="5.7062270990000004"/>
    <n v="5.7062270990000004E-2"/>
    <n v="74"/>
    <d v="1899-12-30T01:14:00"/>
    <n v="4"/>
    <n v="1691"/>
    <x v="1"/>
    <n v="-4931"/>
    <n v="-2.9160260201064458"/>
  </r>
  <r>
    <s v="P-0368"/>
    <x v="11"/>
    <x v="2"/>
    <x v="1"/>
    <x v="46"/>
    <x v="0"/>
    <x v="2"/>
    <x v="4"/>
    <n v="98"/>
    <n v="981"/>
    <n v="19.91467565"/>
    <n v="0.19914675649999999"/>
    <n v="48"/>
    <d v="1899-12-30T00:48:00"/>
    <n v="3"/>
    <n v="31062"/>
    <x v="0"/>
    <n v="30081"/>
    <n v="0.96841800270426892"/>
  </r>
  <r>
    <s v="P-0369"/>
    <x v="0"/>
    <x v="6"/>
    <x v="1"/>
    <x v="29"/>
    <x v="0"/>
    <x v="3"/>
    <x v="2"/>
    <n v="95"/>
    <n v="653"/>
    <n v="9.0496112029999995"/>
    <n v="9.0496112029999992E-2"/>
    <n v="90"/>
    <d v="1899-12-30T01:30:00"/>
    <n v="3"/>
    <n v="1931"/>
    <x v="0"/>
    <n v="1278"/>
    <n v="0.6618332470222682"/>
  </r>
  <r>
    <s v="P-0370"/>
    <x v="9"/>
    <x v="4"/>
    <x v="0"/>
    <x v="23"/>
    <x v="1"/>
    <x v="0"/>
    <x v="3"/>
    <n v="80"/>
    <n v="8117"/>
    <n v="24.1614696"/>
    <n v="0.24161469599999999"/>
    <n v="93"/>
    <d v="1899-12-30T01:33:00"/>
    <n v="1"/>
    <n v="46896"/>
    <x v="1"/>
    <n v="38779"/>
    <n v="0.82691487546912312"/>
  </r>
  <r>
    <s v="P-0371"/>
    <x v="3"/>
    <x v="0"/>
    <x v="2"/>
    <x v="27"/>
    <x v="2"/>
    <x v="3"/>
    <x v="1"/>
    <n v="84"/>
    <n v="2024"/>
    <n v="12.358815030000001"/>
    <n v="0.1235881503"/>
    <n v="97"/>
    <d v="1899-12-30T01:37:00"/>
    <n v="4"/>
    <n v="32730"/>
    <x v="0"/>
    <n v="30706"/>
    <n v="0.93816070882981972"/>
  </r>
  <r>
    <s v="P-0372"/>
    <x v="1"/>
    <x v="4"/>
    <x v="2"/>
    <x v="62"/>
    <x v="1"/>
    <x v="0"/>
    <x v="0"/>
    <n v="82"/>
    <n v="2620"/>
    <n v="11.53863233"/>
    <n v="0.11538632330000001"/>
    <n v="95"/>
    <d v="1899-12-30T01:35:00"/>
    <n v="1"/>
    <n v="15226"/>
    <x v="0"/>
    <n v="12606"/>
    <n v="0.82792591619598055"/>
  </r>
  <r>
    <s v="P-0373"/>
    <x v="2"/>
    <x v="5"/>
    <x v="1"/>
    <x v="47"/>
    <x v="2"/>
    <x v="0"/>
    <x v="2"/>
    <n v="70"/>
    <n v="2843"/>
    <n v="7.9777610069999998"/>
    <n v="7.9777610070000005E-2"/>
    <n v="102"/>
    <d v="1899-12-30T01:42:00"/>
    <n v="3"/>
    <n v="14861"/>
    <x v="0"/>
    <n v="12018"/>
    <n v="0.80869389677679837"/>
  </r>
  <r>
    <s v="P-0374"/>
    <x v="2"/>
    <x v="3"/>
    <x v="0"/>
    <x v="68"/>
    <x v="3"/>
    <x v="1"/>
    <x v="2"/>
    <n v="81"/>
    <n v="5636"/>
    <n v="11.11208431"/>
    <n v="0.11112084310000001"/>
    <n v="95"/>
    <d v="1899-12-30T01:35:00"/>
    <n v="1"/>
    <n v="32301"/>
    <x v="0"/>
    <n v="26665"/>
    <n v="0.82551623788737194"/>
  </r>
  <r>
    <s v="P-0375"/>
    <x v="2"/>
    <x v="1"/>
    <x v="1"/>
    <x v="23"/>
    <x v="1"/>
    <x v="2"/>
    <x v="3"/>
    <n v="72"/>
    <n v="6260"/>
    <n v="22.533015240000001"/>
    <n v="0.22533015240000001"/>
    <n v="53"/>
    <d v="1899-12-30T00:53:00"/>
    <n v="3"/>
    <n v="49243"/>
    <x v="0"/>
    <n v="42983"/>
    <n v="0.87287533253457339"/>
  </r>
  <r>
    <s v="P-0376"/>
    <x v="0"/>
    <x v="1"/>
    <x v="2"/>
    <x v="45"/>
    <x v="3"/>
    <x v="0"/>
    <x v="1"/>
    <n v="82"/>
    <n v="1740"/>
    <n v="24.926686750000002"/>
    <n v="0.24926686750000002"/>
    <n v="146"/>
    <d v="1899-12-30T02:26:00"/>
    <n v="3"/>
    <n v="23766"/>
    <x v="0"/>
    <n v="22026"/>
    <n v="0.9267861651098207"/>
  </r>
  <r>
    <s v="P-0377"/>
    <x v="3"/>
    <x v="2"/>
    <x v="2"/>
    <x v="38"/>
    <x v="1"/>
    <x v="2"/>
    <x v="3"/>
    <n v="52"/>
    <n v="560"/>
    <n v="12.36619061"/>
    <n v="0.1236619061"/>
    <n v="174"/>
    <d v="1899-12-30T02:54:00"/>
    <n v="1"/>
    <n v="37174"/>
    <x v="0"/>
    <n v="36614"/>
    <n v="0.98493570775273043"/>
  </r>
  <r>
    <s v="P-0378"/>
    <x v="8"/>
    <x v="4"/>
    <x v="0"/>
    <x v="85"/>
    <x v="1"/>
    <x v="3"/>
    <x v="4"/>
    <n v="67"/>
    <n v="9630"/>
    <n v="13.972212620000001"/>
    <n v="0.13972212620000002"/>
    <n v="83"/>
    <d v="1899-12-30T01:23:00"/>
    <n v="1"/>
    <n v="42107"/>
    <x v="0"/>
    <n v="32477"/>
    <n v="0.77129693400147248"/>
  </r>
  <r>
    <s v="P-0379"/>
    <x v="12"/>
    <x v="0"/>
    <x v="1"/>
    <x v="76"/>
    <x v="2"/>
    <x v="3"/>
    <x v="1"/>
    <n v="74"/>
    <n v="2139"/>
    <n v="19.441418760000001"/>
    <n v="0.19441418760000001"/>
    <n v="45"/>
    <d v="1899-12-30T00:45:00"/>
    <n v="2"/>
    <n v="18695"/>
    <x v="0"/>
    <n v="16556"/>
    <n v="0.88558438085049473"/>
  </r>
  <r>
    <s v="P-0380"/>
    <x v="4"/>
    <x v="0"/>
    <x v="1"/>
    <x v="30"/>
    <x v="2"/>
    <x v="0"/>
    <x v="2"/>
    <n v="91"/>
    <n v="6685"/>
    <n v="22.723915609999999"/>
    <n v="0.22723915609999998"/>
    <n v="110"/>
    <d v="1899-12-30T01:50:00"/>
    <n v="2"/>
    <n v="42347"/>
    <x v="0"/>
    <n v="35662"/>
    <n v="0.84213757763241792"/>
  </r>
  <r>
    <s v="P-0381"/>
    <x v="10"/>
    <x v="7"/>
    <x v="2"/>
    <x v="16"/>
    <x v="1"/>
    <x v="2"/>
    <x v="2"/>
    <n v="80"/>
    <n v="8470"/>
    <n v="16.86088668"/>
    <n v="0.16860886680000001"/>
    <n v="165"/>
    <d v="1899-12-30T02:45:00"/>
    <n v="2"/>
    <n v="4121"/>
    <x v="0"/>
    <n v="-4349"/>
    <n v="-1.0553263770929386"/>
  </r>
  <r>
    <s v="P-0382"/>
    <x v="10"/>
    <x v="0"/>
    <x v="0"/>
    <x v="14"/>
    <x v="3"/>
    <x v="0"/>
    <x v="4"/>
    <n v="52"/>
    <n v="1752"/>
    <n v="12.830513959999999"/>
    <n v="0.12830513960000001"/>
    <n v="179"/>
    <d v="1899-12-30T02:59:00"/>
    <n v="3"/>
    <n v="19257"/>
    <x v="0"/>
    <n v="17505"/>
    <n v="0.90902009658825367"/>
  </r>
  <r>
    <s v="P-0383"/>
    <x v="2"/>
    <x v="6"/>
    <x v="2"/>
    <x v="22"/>
    <x v="3"/>
    <x v="0"/>
    <x v="5"/>
    <n v="89"/>
    <n v="4703"/>
    <n v="13.25243682"/>
    <n v="0.13252436819999999"/>
    <n v="179"/>
    <d v="1899-12-30T02:59:00"/>
    <n v="1"/>
    <n v="29164"/>
    <x v="0"/>
    <n v="24461"/>
    <n v="0.83873954190097377"/>
  </r>
  <r>
    <s v="P-0384"/>
    <x v="3"/>
    <x v="3"/>
    <x v="0"/>
    <x v="23"/>
    <x v="1"/>
    <x v="1"/>
    <x v="2"/>
    <n v="95"/>
    <n v="8863"/>
    <n v="18.91236293"/>
    <n v="0.18912362930000001"/>
    <n v="113"/>
    <d v="1899-12-30T01:53:00"/>
    <n v="4"/>
    <n v="26491"/>
    <x v="0"/>
    <n v="17628"/>
    <n v="0.66543354346759276"/>
  </r>
  <r>
    <s v="P-0385"/>
    <x v="14"/>
    <x v="2"/>
    <x v="2"/>
    <x v="86"/>
    <x v="1"/>
    <x v="3"/>
    <x v="3"/>
    <n v="73"/>
    <n v="4049"/>
    <n v="5.0643652719999999"/>
    <n v="5.0643652720000001E-2"/>
    <n v="75"/>
    <d v="1899-12-30T01:15:00"/>
    <n v="3"/>
    <n v="24165"/>
    <x v="0"/>
    <n v="20116"/>
    <n v="0.83244361680115875"/>
  </r>
  <r>
    <s v="P-0386"/>
    <x v="9"/>
    <x v="6"/>
    <x v="2"/>
    <x v="19"/>
    <x v="1"/>
    <x v="2"/>
    <x v="3"/>
    <n v="99"/>
    <n v="4697"/>
    <n v="17.391786750000001"/>
    <n v="0.17391786750000002"/>
    <n v="64"/>
    <d v="1899-12-30T01:04:00"/>
    <n v="4"/>
    <n v="49714"/>
    <x v="0"/>
    <n v="45017"/>
    <n v="0.90551957195156296"/>
  </r>
  <r>
    <s v="P-0387"/>
    <x v="3"/>
    <x v="6"/>
    <x v="0"/>
    <x v="32"/>
    <x v="1"/>
    <x v="3"/>
    <x v="4"/>
    <n v="81"/>
    <n v="7509"/>
    <n v="12.109860210000001"/>
    <n v="0.12109860210000001"/>
    <n v="100"/>
    <d v="1899-12-30T01:40:00"/>
    <n v="1"/>
    <n v="4748"/>
    <x v="0"/>
    <n v="-2761"/>
    <n v="-0.58150800336983999"/>
  </r>
  <r>
    <s v="P-0388"/>
    <x v="1"/>
    <x v="3"/>
    <x v="2"/>
    <x v="57"/>
    <x v="2"/>
    <x v="1"/>
    <x v="3"/>
    <n v="96"/>
    <n v="7167"/>
    <n v="20.883946630000001"/>
    <n v="0.2088394663"/>
    <n v="31"/>
    <d v="1899-12-30T00:31:00"/>
    <n v="3"/>
    <n v="34045"/>
    <x v="0"/>
    <n v="26878"/>
    <n v="0.7894845058011456"/>
  </r>
  <r>
    <s v="P-0389"/>
    <x v="1"/>
    <x v="7"/>
    <x v="0"/>
    <x v="84"/>
    <x v="0"/>
    <x v="3"/>
    <x v="2"/>
    <n v="71"/>
    <n v="2822"/>
    <n v="6.8598127959999999"/>
    <n v="6.8598127960000005E-2"/>
    <n v="110"/>
    <d v="1899-12-30T01:50:00"/>
    <n v="4"/>
    <n v="27553"/>
    <x v="0"/>
    <n v="24731"/>
    <n v="0.89757921097521143"/>
  </r>
  <r>
    <s v="P-0390"/>
    <x v="12"/>
    <x v="0"/>
    <x v="1"/>
    <x v="50"/>
    <x v="1"/>
    <x v="1"/>
    <x v="2"/>
    <n v="72"/>
    <n v="4590"/>
    <n v="16.764045339999999"/>
    <n v="0.1676404534"/>
    <n v="164"/>
    <d v="1899-12-30T02:44:00"/>
    <n v="4"/>
    <n v="45331"/>
    <x v="0"/>
    <n v="40741"/>
    <n v="0.89874478833469373"/>
  </r>
  <r>
    <s v="P-0391"/>
    <x v="9"/>
    <x v="7"/>
    <x v="0"/>
    <x v="79"/>
    <x v="2"/>
    <x v="3"/>
    <x v="0"/>
    <n v="51"/>
    <n v="7460"/>
    <n v="14.619457799999999"/>
    <n v="0.14619457799999999"/>
    <n v="130"/>
    <d v="1899-12-30T02:10:00"/>
    <n v="2"/>
    <n v="31497"/>
    <x v="0"/>
    <n v="24037"/>
    <n v="0.7631520462266248"/>
  </r>
  <r>
    <s v="P-0392"/>
    <x v="2"/>
    <x v="0"/>
    <x v="0"/>
    <x v="40"/>
    <x v="3"/>
    <x v="2"/>
    <x v="3"/>
    <n v="76"/>
    <n v="3504"/>
    <n v="17.846510519999999"/>
    <n v="0.1784651052"/>
    <n v="102"/>
    <d v="1899-12-30T01:42:00"/>
    <n v="2"/>
    <n v="32308"/>
    <x v="1"/>
    <n v="28804"/>
    <n v="0.8915438900581899"/>
  </r>
  <r>
    <s v="P-0393"/>
    <x v="11"/>
    <x v="4"/>
    <x v="2"/>
    <x v="62"/>
    <x v="1"/>
    <x v="1"/>
    <x v="1"/>
    <n v="91"/>
    <n v="5636"/>
    <n v="6.2970718899999998"/>
    <n v="6.29707189E-2"/>
    <n v="117"/>
    <d v="1899-12-30T01:57:00"/>
    <n v="2"/>
    <n v="40560"/>
    <x v="0"/>
    <n v="34924"/>
    <n v="0.86104536489151873"/>
  </r>
  <r>
    <s v="P-0394"/>
    <x v="4"/>
    <x v="4"/>
    <x v="2"/>
    <x v="37"/>
    <x v="2"/>
    <x v="3"/>
    <x v="5"/>
    <n v="51"/>
    <n v="829"/>
    <n v="16.599675749999999"/>
    <n v="0.16599675749999998"/>
    <n v="150"/>
    <d v="1899-12-30T02:30:00"/>
    <n v="3"/>
    <n v="47686"/>
    <x v="0"/>
    <n v="46857"/>
    <n v="0.98261544268758128"/>
  </r>
  <r>
    <s v="P-0395"/>
    <x v="10"/>
    <x v="6"/>
    <x v="2"/>
    <x v="48"/>
    <x v="2"/>
    <x v="1"/>
    <x v="4"/>
    <n v="75"/>
    <n v="4140"/>
    <n v="16.229691760000001"/>
    <n v="0.16229691760000001"/>
    <n v="19"/>
    <d v="1899-12-30T00:19:00"/>
    <n v="1"/>
    <n v="11374"/>
    <x v="0"/>
    <n v="7234"/>
    <n v="0.63601195709512925"/>
  </r>
  <r>
    <s v="P-0396"/>
    <x v="3"/>
    <x v="6"/>
    <x v="0"/>
    <x v="15"/>
    <x v="1"/>
    <x v="2"/>
    <x v="1"/>
    <n v="66"/>
    <n v="8482"/>
    <n v="16.213201890000001"/>
    <n v="0.16213201890000001"/>
    <n v="18"/>
    <d v="1899-12-30T00:18:00"/>
    <n v="1"/>
    <n v="5675"/>
    <x v="0"/>
    <n v="-2807"/>
    <n v="-0.49462555066079295"/>
  </r>
  <r>
    <s v="P-0397"/>
    <x v="9"/>
    <x v="5"/>
    <x v="2"/>
    <x v="51"/>
    <x v="3"/>
    <x v="3"/>
    <x v="1"/>
    <n v="89"/>
    <n v="4607"/>
    <n v="17.069753330000001"/>
    <n v="0.17069753330000001"/>
    <n v="164"/>
    <d v="1899-12-30T02:44:00"/>
    <n v="2"/>
    <n v="2170"/>
    <x v="0"/>
    <n v="-2437"/>
    <n v="-1.123041474654378"/>
  </r>
  <r>
    <s v="P-0398"/>
    <x v="10"/>
    <x v="3"/>
    <x v="2"/>
    <x v="89"/>
    <x v="1"/>
    <x v="0"/>
    <x v="1"/>
    <n v="82"/>
    <n v="1841"/>
    <n v="18.529358739999999"/>
    <n v="0.18529358739999999"/>
    <n v="43"/>
    <d v="1899-12-30T00:43:00"/>
    <n v="2"/>
    <n v="42449"/>
    <x v="0"/>
    <n v="40608"/>
    <n v="0.95663030931235127"/>
  </r>
  <r>
    <s v="P-0399"/>
    <x v="6"/>
    <x v="1"/>
    <x v="1"/>
    <x v="58"/>
    <x v="0"/>
    <x v="2"/>
    <x v="2"/>
    <n v="58"/>
    <n v="8907"/>
    <n v="21.099779989999998"/>
    <n v="0.21099779989999998"/>
    <n v="138"/>
    <d v="1899-12-30T02:18:00"/>
    <n v="2"/>
    <n v="44485"/>
    <x v="0"/>
    <n v="35578"/>
    <n v="0.79977520512532319"/>
  </r>
  <r>
    <s v="P-0400"/>
    <x v="12"/>
    <x v="4"/>
    <x v="1"/>
    <x v="87"/>
    <x v="1"/>
    <x v="2"/>
    <x v="2"/>
    <n v="92"/>
    <n v="838"/>
    <n v="10.396414399999999"/>
    <n v="0.10396414399999999"/>
    <n v="169"/>
    <d v="1899-12-30T02:49:00"/>
    <n v="4"/>
    <n v="13450"/>
    <x v="0"/>
    <n v="12612"/>
    <n v="0.93769516728624536"/>
  </r>
  <r>
    <s v="P-0401"/>
    <x v="9"/>
    <x v="3"/>
    <x v="0"/>
    <x v="36"/>
    <x v="2"/>
    <x v="2"/>
    <x v="5"/>
    <n v="97"/>
    <n v="6395"/>
    <n v="21.500988199999998"/>
    <n v="0.21500988199999999"/>
    <n v="98"/>
    <d v="1899-12-30T01:38:00"/>
    <n v="2"/>
    <n v="11680"/>
    <x v="0"/>
    <n v="5285"/>
    <n v="0.45248287671232879"/>
  </r>
  <r>
    <s v="P-0402"/>
    <x v="8"/>
    <x v="6"/>
    <x v="0"/>
    <x v="79"/>
    <x v="2"/>
    <x v="2"/>
    <x v="4"/>
    <n v="88"/>
    <n v="3208"/>
    <n v="14.965113649999999"/>
    <n v="0.1496511365"/>
    <n v="102"/>
    <d v="1899-12-30T01:42:00"/>
    <n v="4"/>
    <n v="11068"/>
    <x v="0"/>
    <n v="7860"/>
    <n v="0.71015540296349833"/>
  </r>
  <r>
    <s v="P-0403"/>
    <x v="11"/>
    <x v="7"/>
    <x v="1"/>
    <x v="22"/>
    <x v="3"/>
    <x v="0"/>
    <x v="4"/>
    <n v="78"/>
    <n v="2250"/>
    <n v="6.5411655829999997"/>
    <n v="6.5411655829999998E-2"/>
    <n v="80"/>
    <d v="1899-12-30T01:20:00"/>
    <n v="1"/>
    <n v="36230"/>
    <x v="0"/>
    <n v="33980"/>
    <n v="0.93789677063207288"/>
  </r>
  <r>
    <s v="P-0404"/>
    <x v="7"/>
    <x v="6"/>
    <x v="0"/>
    <x v="55"/>
    <x v="0"/>
    <x v="3"/>
    <x v="5"/>
    <n v="91"/>
    <n v="6104"/>
    <n v="6.1710185849999997"/>
    <n v="6.1710185849999995E-2"/>
    <n v="76"/>
    <d v="1899-12-30T01:16:00"/>
    <n v="3"/>
    <n v="47418"/>
    <x v="0"/>
    <n v="41314"/>
    <n v="0.87127251254797755"/>
  </r>
  <r>
    <s v="P-0405"/>
    <x v="5"/>
    <x v="7"/>
    <x v="0"/>
    <x v="53"/>
    <x v="0"/>
    <x v="2"/>
    <x v="0"/>
    <n v="75"/>
    <n v="2921"/>
    <n v="11.68476637"/>
    <n v="0.11684766370000001"/>
    <n v="157"/>
    <d v="1899-12-30T02:37:00"/>
    <n v="3"/>
    <n v="27206"/>
    <x v="0"/>
    <n v="24285"/>
    <n v="0.89263397779901488"/>
  </r>
  <r>
    <s v="P-0406"/>
    <x v="14"/>
    <x v="0"/>
    <x v="1"/>
    <x v="64"/>
    <x v="3"/>
    <x v="3"/>
    <x v="2"/>
    <n v="84"/>
    <n v="7619"/>
    <n v="20.69793954"/>
    <n v="0.20697939539999999"/>
    <n v="126"/>
    <d v="1899-12-30T02:06:00"/>
    <n v="3"/>
    <n v="1287"/>
    <x v="0"/>
    <n v="-6332"/>
    <n v="-4.9199689199689196"/>
  </r>
  <r>
    <s v="P-0407"/>
    <x v="13"/>
    <x v="1"/>
    <x v="1"/>
    <x v="0"/>
    <x v="0"/>
    <x v="1"/>
    <x v="1"/>
    <n v="99"/>
    <n v="9401"/>
    <n v="19.153618689999998"/>
    <n v="0.19153618689999999"/>
    <n v="103"/>
    <d v="1899-12-30T01:43:00"/>
    <n v="3"/>
    <n v="23337"/>
    <x v="0"/>
    <n v="13936"/>
    <n v="0.59716330290954278"/>
  </r>
  <r>
    <s v="P-0408"/>
    <x v="9"/>
    <x v="0"/>
    <x v="0"/>
    <x v="38"/>
    <x v="1"/>
    <x v="2"/>
    <x v="4"/>
    <n v="74"/>
    <n v="5819"/>
    <n v="20.772299289999999"/>
    <n v="0.20772299289999999"/>
    <n v="172"/>
    <d v="1899-12-30T02:52:00"/>
    <n v="4"/>
    <n v="21666"/>
    <x v="0"/>
    <n v="15847"/>
    <n v="0.73142250530785557"/>
  </r>
  <r>
    <s v="P-0409"/>
    <x v="2"/>
    <x v="6"/>
    <x v="0"/>
    <x v="66"/>
    <x v="1"/>
    <x v="2"/>
    <x v="5"/>
    <n v="73"/>
    <n v="7109"/>
    <n v="15.34538113"/>
    <n v="0.15345381129999999"/>
    <n v="108"/>
    <d v="1899-12-30T01:48:00"/>
    <n v="4"/>
    <n v="2161"/>
    <x v="0"/>
    <n v="-4948"/>
    <n v="-2.2896807033780657"/>
  </r>
  <r>
    <s v="P-0410"/>
    <x v="14"/>
    <x v="5"/>
    <x v="2"/>
    <x v="85"/>
    <x v="1"/>
    <x v="3"/>
    <x v="5"/>
    <n v="62"/>
    <n v="5887"/>
    <n v="13.803979959999999"/>
    <n v="0.13803979959999998"/>
    <n v="122"/>
    <d v="1899-12-30T02:02:00"/>
    <n v="2"/>
    <n v="36131"/>
    <x v="0"/>
    <n v="30244"/>
    <n v="0.83706512413163214"/>
  </r>
  <r>
    <s v="P-0411"/>
    <x v="5"/>
    <x v="6"/>
    <x v="0"/>
    <x v="46"/>
    <x v="0"/>
    <x v="0"/>
    <x v="2"/>
    <n v="56"/>
    <n v="4493"/>
    <n v="7.9490505340000004"/>
    <n v="7.9490505340000003E-2"/>
    <n v="112"/>
    <d v="1899-12-30T01:52:00"/>
    <n v="4"/>
    <n v="25535"/>
    <x v="0"/>
    <n v="21042"/>
    <n v="0.82404542784413548"/>
  </r>
  <r>
    <s v="P-0412"/>
    <x v="3"/>
    <x v="4"/>
    <x v="2"/>
    <x v="57"/>
    <x v="2"/>
    <x v="1"/>
    <x v="1"/>
    <n v="85"/>
    <n v="9180"/>
    <n v="11.563855070000001"/>
    <n v="0.11563855070000001"/>
    <n v="100"/>
    <d v="1899-12-30T01:40:00"/>
    <n v="2"/>
    <n v="33528"/>
    <x v="0"/>
    <n v="24348"/>
    <n v="0.72619899785254116"/>
  </r>
  <r>
    <s v="P-0413"/>
    <x v="13"/>
    <x v="6"/>
    <x v="1"/>
    <x v="64"/>
    <x v="3"/>
    <x v="0"/>
    <x v="5"/>
    <n v="94"/>
    <n v="8544"/>
    <n v="13.680387319999999"/>
    <n v="0.13680387319999998"/>
    <n v="99"/>
    <d v="1899-12-30T01:39:00"/>
    <n v="2"/>
    <n v="39751"/>
    <x v="0"/>
    <n v="31207"/>
    <n v="0.78506201101859074"/>
  </r>
  <r>
    <s v="P-0414"/>
    <x v="11"/>
    <x v="4"/>
    <x v="1"/>
    <x v="39"/>
    <x v="0"/>
    <x v="3"/>
    <x v="2"/>
    <n v="69"/>
    <n v="8738"/>
    <n v="6.7720085939999999"/>
    <n v="6.7720085939999994E-2"/>
    <n v="26"/>
    <d v="1899-12-30T00:26:00"/>
    <n v="3"/>
    <n v="17527"/>
    <x v="0"/>
    <n v="8789"/>
    <n v="0.50145489815712896"/>
  </r>
  <r>
    <s v="P-0415"/>
    <x v="10"/>
    <x v="0"/>
    <x v="1"/>
    <x v="73"/>
    <x v="1"/>
    <x v="2"/>
    <x v="3"/>
    <n v="50"/>
    <n v="5373"/>
    <n v="9.4122390540000005"/>
    <n v="9.4122390540000003E-2"/>
    <n v="27"/>
    <d v="1899-12-30T00:27:00"/>
    <n v="4"/>
    <n v="41975"/>
    <x v="0"/>
    <n v="36602"/>
    <n v="0.87199523525908273"/>
  </r>
  <r>
    <s v="P-0416"/>
    <x v="13"/>
    <x v="5"/>
    <x v="1"/>
    <x v="52"/>
    <x v="2"/>
    <x v="3"/>
    <x v="1"/>
    <n v="57"/>
    <n v="5306"/>
    <n v="16.964505880000001"/>
    <n v="0.1696450588"/>
    <n v="125"/>
    <d v="1899-12-30T02:05:00"/>
    <n v="4"/>
    <n v="24853"/>
    <x v="0"/>
    <n v="19547"/>
    <n v="0.78650464732627856"/>
  </r>
  <r>
    <s v="P-0417"/>
    <x v="2"/>
    <x v="3"/>
    <x v="0"/>
    <x v="88"/>
    <x v="3"/>
    <x v="3"/>
    <x v="4"/>
    <n v="95"/>
    <n v="9092"/>
    <n v="19.713262279999999"/>
    <n v="0.19713262279999999"/>
    <n v="102"/>
    <d v="1899-12-30T01:42:00"/>
    <n v="2"/>
    <n v="15758"/>
    <x v="0"/>
    <n v="6666"/>
    <n v="0.42302322629775352"/>
  </r>
  <r>
    <s v="P-0418"/>
    <x v="6"/>
    <x v="0"/>
    <x v="0"/>
    <x v="60"/>
    <x v="2"/>
    <x v="3"/>
    <x v="1"/>
    <n v="65"/>
    <n v="6413"/>
    <n v="24.966950229999998"/>
    <n v="0.24966950229999998"/>
    <n v="100"/>
    <d v="1899-12-30T01:40:00"/>
    <n v="2"/>
    <n v="1244"/>
    <x v="0"/>
    <n v="-5169"/>
    <n v="-4.155144694533762"/>
  </r>
  <r>
    <s v="P-0419"/>
    <x v="7"/>
    <x v="0"/>
    <x v="2"/>
    <x v="43"/>
    <x v="1"/>
    <x v="3"/>
    <x v="0"/>
    <n v="63"/>
    <n v="7624"/>
    <n v="23.662266630000001"/>
    <n v="0.23662266630000001"/>
    <n v="91"/>
    <d v="1899-12-30T01:31:00"/>
    <n v="1"/>
    <n v="4178"/>
    <x v="0"/>
    <n v="-3446"/>
    <n v="-0.8247965533748205"/>
  </r>
  <r>
    <s v="P-0420"/>
    <x v="4"/>
    <x v="6"/>
    <x v="1"/>
    <x v="13"/>
    <x v="1"/>
    <x v="2"/>
    <x v="1"/>
    <n v="61"/>
    <n v="3657"/>
    <n v="17.851303990000002"/>
    <n v="0.1785130399"/>
    <n v="77"/>
    <d v="1899-12-30T01:17:00"/>
    <n v="1"/>
    <n v="32831"/>
    <x v="0"/>
    <n v="29174"/>
    <n v="0.88861137339709417"/>
  </r>
  <r>
    <s v="P-0421"/>
    <x v="10"/>
    <x v="2"/>
    <x v="0"/>
    <x v="59"/>
    <x v="0"/>
    <x v="1"/>
    <x v="1"/>
    <n v="72"/>
    <n v="890"/>
    <n v="13.42496107"/>
    <n v="0.13424961069999999"/>
    <n v="123"/>
    <d v="1899-12-30T02:03:00"/>
    <n v="2"/>
    <n v="3176"/>
    <x v="0"/>
    <n v="2286"/>
    <n v="0.71977329974811088"/>
  </r>
  <r>
    <s v="P-0422"/>
    <x v="1"/>
    <x v="7"/>
    <x v="2"/>
    <x v="11"/>
    <x v="3"/>
    <x v="2"/>
    <x v="0"/>
    <n v="64"/>
    <n v="4930"/>
    <n v="17.723547289999999"/>
    <n v="0.1772354729"/>
    <n v="10"/>
    <d v="1899-12-30T00:10:00"/>
    <n v="1"/>
    <n v="38770"/>
    <x v="0"/>
    <n v="33840"/>
    <n v="0.87283982460665466"/>
  </r>
  <r>
    <s v="P-0423"/>
    <x v="10"/>
    <x v="0"/>
    <x v="2"/>
    <x v="20"/>
    <x v="2"/>
    <x v="3"/>
    <x v="1"/>
    <n v="77"/>
    <n v="9320"/>
    <n v="20.71303236"/>
    <n v="0.2071303236"/>
    <n v="67"/>
    <d v="1899-12-30T01:07:00"/>
    <n v="1"/>
    <n v="34654"/>
    <x v="0"/>
    <n v="25334"/>
    <n v="0.73105557799965371"/>
  </r>
  <r>
    <s v="P-0424"/>
    <x v="14"/>
    <x v="7"/>
    <x v="2"/>
    <x v="44"/>
    <x v="0"/>
    <x v="3"/>
    <x v="5"/>
    <n v="83"/>
    <n v="8186"/>
    <n v="7.3667238179999996"/>
    <n v="7.3667238179999997E-2"/>
    <n v="163"/>
    <d v="1899-12-30T02:43:00"/>
    <n v="2"/>
    <n v="27627"/>
    <x v="0"/>
    <n v="19441"/>
    <n v="0.70369566004271189"/>
  </r>
  <r>
    <s v="P-0425"/>
    <x v="12"/>
    <x v="7"/>
    <x v="1"/>
    <x v="30"/>
    <x v="2"/>
    <x v="2"/>
    <x v="4"/>
    <n v="51"/>
    <n v="4732"/>
    <n v="13.19809779"/>
    <n v="0.13198097789999999"/>
    <n v="118"/>
    <d v="1899-12-30T01:58:00"/>
    <n v="2"/>
    <n v="47489"/>
    <x v="0"/>
    <n v="42757"/>
    <n v="0.90035587188612098"/>
  </r>
  <r>
    <s v="P-0426"/>
    <x v="9"/>
    <x v="3"/>
    <x v="2"/>
    <x v="24"/>
    <x v="2"/>
    <x v="0"/>
    <x v="4"/>
    <n v="81"/>
    <n v="8507"/>
    <n v="21.796045710000001"/>
    <n v="0.2179604571"/>
    <n v="157"/>
    <d v="1899-12-30T02:37:00"/>
    <n v="4"/>
    <n v="45910"/>
    <x v="0"/>
    <n v="37403"/>
    <n v="0.81470267915486827"/>
  </r>
  <r>
    <s v="P-0427"/>
    <x v="5"/>
    <x v="3"/>
    <x v="1"/>
    <x v="10"/>
    <x v="0"/>
    <x v="0"/>
    <x v="3"/>
    <n v="72"/>
    <n v="2021"/>
    <n v="12.676659040000001"/>
    <n v="0.12676659040000002"/>
    <n v="125"/>
    <d v="1899-12-30T02:05:00"/>
    <n v="2"/>
    <n v="25881"/>
    <x v="0"/>
    <n v="23860"/>
    <n v="0.92191182720914955"/>
  </r>
  <r>
    <s v="P-0428"/>
    <x v="13"/>
    <x v="3"/>
    <x v="2"/>
    <x v="40"/>
    <x v="3"/>
    <x v="0"/>
    <x v="4"/>
    <n v="71"/>
    <n v="9518"/>
    <n v="16.43744542"/>
    <n v="0.16437445419999999"/>
    <n v="96"/>
    <d v="1899-12-30T01:36:00"/>
    <n v="2"/>
    <n v="36422"/>
    <x v="0"/>
    <n v="26904"/>
    <n v="0.7386744275437922"/>
  </r>
  <r>
    <s v="P-0429"/>
    <x v="10"/>
    <x v="1"/>
    <x v="2"/>
    <x v="81"/>
    <x v="2"/>
    <x v="3"/>
    <x v="4"/>
    <n v="74"/>
    <n v="2000"/>
    <n v="16.755387219999999"/>
    <n v="0.16755387219999998"/>
    <n v="19"/>
    <d v="1899-12-30T00:19:00"/>
    <n v="3"/>
    <n v="12984"/>
    <x v="0"/>
    <n v="10984"/>
    <n v="0.84596426370918054"/>
  </r>
  <r>
    <s v="P-0430"/>
    <x v="4"/>
    <x v="7"/>
    <x v="2"/>
    <x v="25"/>
    <x v="1"/>
    <x v="2"/>
    <x v="2"/>
    <n v="71"/>
    <n v="7237"/>
    <n v="8.6895250629999996"/>
    <n v="8.689525062999999E-2"/>
    <n v="68"/>
    <d v="1899-12-30T01:08:00"/>
    <n v="4"/>
    <n v="24776"/>
    <x v="0"/>
    <n v="17539"/>
    <n v="0.70790280917016468"/>
  </r>
  <r>
    <s v="P-0431"/>
    <x v="11"/>
    <x v="6"/>
    <x v="0"/>
    <x v="26"/>
    <x v="0"/>
    <x v="2"/>
    <x v="0"/>
    <n v="71"/>
    <n v="3794"/>
    <n v="12.24470883"/>
    <n v="0.12244708830000001"/>
    <n v="50"/>
    <d v="1899-12-30T00:50:00"/>
    <n v="4"/>
    <n v="18755"/>
    <x v="0"/>
    <n v="14961"/>
    <n v="0.79770727805918418"/>
  </r>
  <r>
    <s v="P-0432"/>
    <x v="3"/>
    <x v="7"/>
    <x v="1"/>
    <x v="87"/>
    <x v="1"/>
    <x v="0"/>
    <x v="1"/>
    <n v="98"/>
    <n v="5585"/>
    <n v="11.69022577"/>
    <n v="0.1169022577"/>
    <n v="114"/>
    <d v="1899-12-30T01:54:00"/>
    <n v="4"/>
    <n v="8135"/>
    <x v="0"/>
    <n v="2550"/>
    <n v="0.31346035648432696"/>
  </r>
  <r>
    <s v="P-0433"/>
    <x v="4"/>
    <x v="0"/>
    <x v="2"/>
    <x v="51"/>
    <x v="3"/>
    <x v="0"/>
    <x v="1"/>
    <n v="91"/>
    <n v="2919"/>
    <n v="5.5239341709999996"/>
    <n v="5.5239341709999994E-2"/>
    <n v="142"/>
    <d v="1899-12-30T02:22:00"/>
    <n v="3"/>
    <n v="1320"/>
    <x v="0"/>
    <n v="-1599"/>
    <n v="-1.2113636363636364"/>
  </r>
  <r>
    <s v="P-0434"/>
    <x v="7"/>
    <x v="3"/>
    <x v="1"/>
    <x v="88"/>
    <x v="3"/>
    <x v="2"/>
    <x v="5"/>
    <n v="55"/>
    <n v="9626"/>
    <n v="5.4838352779999999"/>
    <n v="5.4838352780000002E-2"/>
    <n v="131"/>
    <d v="1899-12-30T02:11:00"/>
    <n v="2"/>
    <n v="38422"/>
    <x v="0"/>
    <n v="28796"/>
    <n v="0.74946645151215452"/>
  </r>
  <r>
    <s v="P-0435"/>
    <x v="6"/>
    <x v="0"/>
    <x v="1"/>
    <x v="12"/>
    <x v="3"/>
    <x v="3"/>
    <x v="1"/>
    <n v="64"/>
    <n v="3542"/>
    <n v="21.63394087"/>
    <n v="0.21633940870000001"/>
    <n v="154"/>
    <d v="1899-12-30T02:34:00"/>
    <n v="4"/>
    <n v="29635"/>
    <x v="0"/>
    <n v="26093"/>
    <n v="0.88047916315167873"/>
  </r>
  <r>
    <s v="P-0436"/>
    <x v="13"/>
    <x v="3"/>
    <x v="2"/>
    <x v="7"/>
    <x v="3"/>
    <x v="0"/>
    <x v="0"/>
    <n v="92"/>
    <n v="4997"/>
    <n v="10.4614162"/>
    <n v="0.10461416200000001"/>
    <n v="31"/>
    <d v="1899-12-30T00:31:00"/>
    <n v="4"/>
    <n v="22684"/>
    <x v="0"/>
    <n v="17687"/>
    <n v="0.77971257273849415"/>
  </r>
  <r>
    <s v="P-0437"/>
    <x v="0"/>
    <x v="1"/>
    <x v="2"/>
    <x v="63"/>
    <x v="2"/>
    <x v="1"/>
    <x v="5"/>
    <n v="86"/>
    <n v="1966"/>
    <n v="15.36157532"/>
    <n v="0.15361575320000001"/>
    <n v="107"/>
    <d v="1899-12-30T01:47:00"/>
    <n v="1"/>
    <n v="24238"/>
    <x v="0"/>
    <n v="22272"/>
    <n v="0.91888769700470341"/>
  </r>
  <r>
    <s v="P-0438"/>
    <x v="12"/>
    <x v="6"/>
    <x v="0"/>
    <x v="76"/>
    <x v="2"/>
    <x v="1"/>
    <x v="5"/>
    <n v="82"/>
    <n v="4061"/>
    <n v="10.974511469999999"/>
    <n v="0.10974511469999999"/>
    <n v="178"/>
    <d v="1899-12-30T02:58:00"/>
    <n v="4"/>
    <n v="22889"/>
    <x v="0"/>
    <n v="18828"/>
    <n v="0.82257853117217883"/>
  </r>
  <r>
    <s v="P-0439"/>
    <x v="7"/>
    <x v="4"/>
    <x v="2"/>
    <x v="74"/>
    <x v="1"/>
    <x v="2"/>
    <x v="2"/>
    <n v="57"/>
    <n v="1114"/>
    <n v="23.813584899999999"/>
    <n v="0.23813584899999998"/>
    <n v="77"/>
    <d v="1899-12-30T01:17:00"/>
    <n v="2"/>
    <n v="31313"/>
    <x v="0"/>
    <n v="30199"/>
    <n v="0.96442372177689772"/>
  </r>
  <r>
    <s v="P-0440"/>
    <x v="9"/>
    <x v="3"/>
    <x v="1"/>
    <x v="47"/>
    <x v="2"/>
    <x v="3"/>
    <x v="3"/>
    <n v="93"/>
    <n v="5892"/>
    <n v="10.18593518"/>
    <n v="0.1018593518"/>
    <n v="148"/>
    <d v="1899-12-30T02:28:00"/>
    <n v="2"/>
    <n v="33535"/>
    <x v="0"/>
    <n v="27643"/>
    <n v="0.82430296704935146"/>
  </r>
  <r>
    <s v="P-0441"/>
    <x v="14"/>
    <x v="2"/>
    <x v="1"/>
    <x v="21"/>
    <x v="1"/>
    <x v="1"/>
    <x v="1"/>
    <n v="93"/>
    <n v="8193"/>
    <n v="13.593136250000001"/>
    <n v="0.13593136250000001"/>
    <n v="65"/>
    <d v="1899-12-30T01:05:00"/>
    <n v="1"/>
    <n v="49899"/>
    <x v="0"/>
    <n v="41706"/>
    <n v="0.83580833283232125"/>
  </r>
  <r>
    <s v="P-0442"/>
    <x v="12"/>
    <x v="1"/>
    <x v="0"/>
    <x v="17"/>
    <x v="2"/>
    <x v="0"/>
    <x v="2"/>
    <n v="54"/>
    <n v="9874"/>
    <n v="22.454605010000002"/>
    <n v="0.22454605010000001"/>
    <n v="158"/>
    <d v="1899-12-30T02:38:00"/>
    <n v="4"/>
    <n v="11770"/>
    <x v="0"/>
    <n v="1896"/>
    <n v="0.16108751062022089"/>
  </r>
  <r>
    <s v="P-0443"/>
    <x v="10"/>
    <x v="2"/>
    <x v="2"/>
    <x v="10"/>
    <x v="0"/>
    <x v="3"/>
    <x v="0"/>
    <n v="88"/>
    <n v="3723"/>
    <n v="21.838671340000001"/>
    <n v="0.21838671340000002"/>
    <n v="108"/>
    <d v="1899-12-30T01:48:00"/>
    <n v="4"/>
    <n v="40321"/>
    <x v="0"/>
    <n v="36598"/>
    <n v="0.90766598050643588"/>
  </r>
  <r>
    <s v="P-0444"/>
    <x v="12"/>
    <x v="1"/>
    <x v="1"/>
    <x v="64"/>
    <x v="3"/>
    <x v="2"/>
    <x v="2"/>
    <n v="53"/>
    <n v="7638"/>
    <n v="8.7220283569999992"/>
    <n v="8.7220283569999987E-2"/>
    <n v="85"/>
    <d v="1899-12-30T01:25:00"/>
    <n v="4"/>
    <n v="21426"/>
    <x v="0"/>
    <n v="13788"/>
    <n v="0.64351722206664796"/>
  </r>
  <r>
    <s v="P-0445"/>
    <x v="3"/>
    <x v="6"/>
    <x v="1"/>
    <x v="36"/>
    <x v="2"/>
    <x v="0"/>
    <x v="4"/>
    <n v="55"/>
    <n v="3167"/>
    <n v="21.0528662"/>
    <n v="0.21052866200000001"/>
    <n v="35"/>
    <d v="1899-12-30T00:35:00"/>
    <n v="3"/>
    <n v="45327"/>
    <x v="0"/>
    <n v="42160"/>
    <n v="0.93012994462461662"/>
  </r>
  <r>
    <s v="P-0446"/>
    <x v="4"/>
    <x v="7"/>
    <x v="1"/>
    <x v="56"/>
    <x v="0"/>
    <x v="3"/>
    <x v="0"/>
    <n v="94"/>
    <n v="8480"/>
    <n v="14.163737729999999"/>
    <n v="0.14163737730000001"/>
    <n v="124"/>
    <d v="1899-12-30T02:04:00"/>
    <n v="4"/>
    <n v="42777"/>
    <x v="0"/>
    <n v="34297"/>
    <n v="0.80176262945040555"/>
  </r>
  <r>
    <s v="P-0447"/>
    <x v="8"/>
    <x v="3"/>
    <x v="1"/>
    <x v="54"/>
    <x v="1"/>
    <x v="2"/>
    <x v="0"/>
    <n v="81"/>
    <n v="630"/>
    <n v="14.65937744"/>
    <n v="0.14659377439999999"/>
    <n v="156"/>
    <d v="1899-12-30T02:36:00"/>
    <n v="2"/>
    <n v="47250"/>
    <x v="0"/>
    <n v="46620"/>
    <n v="0.98666666666666669"/>
  </r>
  <r>
    <s v="P-0448"/>
    <x v="9"/>
    <x v="5"/>
    <x v="1"/>
    <x v="23"/>
    <x v="1"/>
    <x v="3"/>
    <x v="0"/>
    <n v="79"/>
    <n v="3483"/>
    <n v="7.6695994479999996"/>
    <n v="7.6695994480000002E-2"/>
    <n v="118"/>
    <d v="1899-12-30T01:58:00"/>
    <n v="2"/>
    <n v="8498"/>
    <x v="0"/>
    <n v="5015"/>
    <n v="0.59013885620145912"/>
  </r>
  <r>
    <s v="P-0449"/>
    <x v="3"/>
    <x v="0"/>
    <x v="2"/>
    <x v="25"/>
    <x v="1"/>
    <x v="1"/>
    <x v="5"/>
    <n v="96"/>
    <n v="4778"/>
    <n v="6.6120302750000004"/>
    <n v="6.6120302749999998E-2"/>
    <n v="56"/>
    <d v="1899-12-30T00:56:00"/>
    <n v="3"/>
    <n v="40404"/>
    <x v="0"/>
    <n v="35626"/>
    <n v="0.88174438174438174"/>
  </r>
  <r>
    <s v="P-0450"/>
    <x v="14"/>
    <x v="4"/>
    <x v="0"/>
    <x v="31"/>
    <x v="3"/>
    <x v="1"/>
    <x v="3"/>
    <n v="84"/>
    <n v="7626"/>
    <n v="19.558786139999999"/>
    <n v="0.19558786139999998"/>
    <n v="80"/>
    <d v="1899-12-30T01:20:00"/>
    <n v="3"/>
    <n v="41130"/>
    <x v="1"/>
    <n v="33504"/>
    <n v="0.81458789204959881"/>
  </r>
  <r>
    <s v="P-0451"/>
    <x v="9"/>
    <x v="0"/>
    <x v="2"/>
    <x v="34"/>
    <x v="0"/>
    <x v="2"/>
    <x v="5"/>
    <n v="89"/>
    <n v="8730"/>
    <n v="14.929223049999999"/>
    <n v="0.14929223049999998"/>
    <n v="163"/>
    <d v="1899-12-30T02:43:00"/>
    <n v="4"/>
    <n v="17395"/>
    <x v="0"/>
    <n v="8665"/>
    <n v="0.49813164702500717"/>
  </r>
  <r>
    <s v="P-0452"/>
    <x v="1"/>
    <x v="4"/>
    <x v="0"/>
    <x v="0"/>
    <x v="0"/>
    <x v="1"/>
    <x v="0"/>
    <n v="65"/>
    <n v="8194"/>
    <n v="13.737014050000001"/>
    <n v="0.13737014050000002"/>
    <n v="49"/>
    <d v="1899-12-30T00:49:00"/>
    <n v="1"/>
    <n v="3537"/>
    <x v="0"/>
    <n v="-4657"/>
    <n v="-1.3166525303929884"/>
  </r>
  <r>
    <s v="P-0453"/>
    <x v="13"/>
    <x v="1"/>
    <x v="1"/>
    <x v="87"/>
    <x v="1"/>
    <x v="2"/>
    <x v="4"/>
    <n v="62"/>
    <n v="7140"/>
    <n v="19.590164569999999"/>
    <n v="0.19590164569999999"/>
    <n v="142"/>
    <d v="1899-12-30T02:22:00"/>
    <n v="3"/>
    <n v="20226"/>
    <x v="0"/>
    <n v="13086"/>
    <n v="0.64698902402847824"/>
  </r>
  <r>
    <s v="P-0454"/>
    <x v="5"/>
    <x v="4"/>
    <x v="0"/>
    <x v="43"/>
    <x v="1"/>
    <x v="1"/>
    <x v="5"/>
    <n v="99"/>
    <n v="5968"/>
    <n v="20.310257979999999"/>
    <n v="0.20310257979999999"/>
    <n v="158"/>
    <d v="1899-12-30T02:38:00"/>
    <n v="3"/>
    <n v="16216"/>
    <x v="0"/>
    <n v="10248"/>
    <n v="0.63196842624568328"/>
  </r>
  <r>
    <s v="P-0455"/>
    <x v="1"/>
    <x v="0"/>
    <x v="0"/>
    <x v="8"/>
    <x v="0"/>
    <x v="3"/>
    <x v="2"/>
    <n v="91"/>
    <n v="1420"/>
    <n v="8.1781633530000004"/>
    <n v="8.1781633530000009E-2"/>
    <n v="141"/>
    <d v="1899-12-30T02:21:00"/>
    <n v="4"/>
    <n v="19613"/>
    <x v="0"/>
    <n v="18193"/>
    <n v="0.92759904145209815"/>
  </r>
  <r>
    <s v="P-0456"/>
    <x v="3"/>
    <x v="7"/>
    <x v="0"/>
    <x v="36"/>
    <x v="2"/>
    <x v="3"/>
    <x v="2"/>
    <n v="79"/>
    <n v="8064"/>
    <n v="17.204502990000002"/>
    <n v="0.17204502990000001"/>
    <n v="32"/>
    <d v="1899-12-30T00:32:00"/>
    <n v="4"/>
    <n v="4009"/>
    <x v="0"/>
    <n v="-4055"/>
    <n v="-1.0114741830880518"/>
  </r>
  <r>
    <s v="P-0457"/>
    <x v="1"/>
    <x v="3"/>
    <x v="2"/>
    <x v="55"/>
    <x v="0"/>
    <x v="2"/>
    <x v="0"/>
    <n v="68"/>
    <n v="9184"/>
    <n v="7.7070816459999998"/>
    <n v="7.7070816459999997E-2"/>
    <n v="115"/>
    <d v="1899-12-30T01:55:00"/>
    <n v="3"/>
    <n v="25368"/>
    <x v="0"/>
    <n v="16184"/>
    <n v="0.63796909492273735"/>
  </r>
  <r>
    <s v="P-0458"/>
    <x v="2"/>
    <x v="4"/>
    <x v="2"/>
    <x v="89"/>
    <x v="1"/>
    <x v="0"/>
    <x v="4"/>
    <n v="66"/>
    <n v="9823"/>
    <n v="20.02750172"/>
    <n v="0.20027501719999999"/>
    <n v="93"/>
    <d v="1899-12-30T01:33:00"/>
    <n v="1"/>
    <n v="30327"/>
    <x v="0"/>
    <n v="20504"/>
    <n v="0.67609720710917665"/>
  </r>
  <r>
    <s v="P-0459"/>
    <x v="1"/>
    <x v="2"/>
    <x v="1"/>
    <x v="18"/>
    <x v="3"/>
    <x v="3"/>
    <x v="2"/>
    <n v="68"/>
    <n v="9002"/>
    <n v="18.139103129999999"/>
    <n v="0.18139103129999998"/>
    <n v="152"/>
    <d v="1899-12-30T02:32:00"/>
    <n v="3"/>
    <n v="15209"/>
    <x v="0"/>
    <n v="6207"/>
    <n v="0.40811361693733972"/>
  </r>
  <r>
    <s v="P-0460"/>
    <x v="6"/>
    <x v="1"/>
    <x v="0"/>
    <x v="61"/>
    <x v="2"/>
    <x v="3"/>
    <x v="1"/>
    <n v="77"/>
    <n v="9430"/>
    <n v="24.132292419999999"/>
    <n v="0.24132292419999998"/>
    <n v="125"/>
    <d v="1899-12-30T02:05:00"/>
    <n v="4"/>
    <n v="49443"/>
    <x v="0"/>
    <n v="40013"/>
    <n v="0.80927532714438843"/>
  </r>
  <r>
    <s v="P-0461"/>
    <x v="8"/>
    <x v="4"/>
    <x v="0"/>
    <x v="82"/>
    <x v="2"/>
    <x v="2"/>
    <x v="1"/>
    <n v="75"/>
    <n v="3741"/>
    <n v="6.3791603270000001"/>
    <n v="6.3791603269999997E-2"/>
    <n v="118"/>
    <d v="1899-12-30T01:58:00"/>
    <n v="4"/>
    <n v="16029"/>
    <x v="0"/>
    <n v="12288"/>
    <n v="0.76661051843533601"/>
  </r>
  <r>
    <s v="P-0462"/>
    <x v="1"/>
    <x v="7"/>
    <x v="0"/>
    <x v="4"/>
    <x v="2"/>
    <x v="2"/>
    <x v="0"/>
    <n v="86"/>
    <n v="1045"/>
    <n v="6.1410944230000002"/>
    <n v="6.141094423E-2"/>
    <n v="145"/>
    <d v="1899-12-30T02:25:00"/>
    <n v="3"/>
    <n v="3077"/>
    <x v="0"/>
    <n v="2032"/>
    <n v="0.66038349041273969"/>
  </r>
  <r>
    <s v="P-0463"/>
    <x v="1"/>
    <x v="0"/>
    <x v="0"/>
    <x v="33"/>
    <x v="3"/>
    <x v="0"/>
    <x v="3"/>
    <n v="75"/>
    <n v="4846"/>
    <n v="10.64374149"/>
    <n v="0.1064374149"/>
    <n v="50"/>
    <d v="1899-12-30T00:50:00"/>
    <n v="1"/>
    <n v="14907"/>
    <x v="1"/>
    <n v="10061"/>
    <n v="0.6749178238411484"/>
  </r>
  <r>
    <s v="P-0464"/>
    <x v="3"/>
    <x v="4"/>
    <x v="1"/>
    <x v="29"/>
    <x v="0"/>
    <x v="2"/>
    <x v="2"/>
    <n v="72"/>
    <n v="4310"/>
    <n v="10.234113669999999"/>
    <n v="0.10234113669999999"/>
    <n v="121"/>
    <d v="1899-12-30T02:01:00"/>
    <n v="3"/>
    <n v="37635"/>
    <x v="0"/>
    <n v="33325"/>
    <n v="0.88547894247376113"/>
  </r>
  <r>
    <s v="P-0465"/>
    <x v="11"/>
    <x v="3"/>
    <x v="2"/>
    <x v="8"/>
    <x v="0"/>
    <x v="0"/>
    <x v="3"/>
    <n v="58"/>
    <n v="7706"/>
    <n v="9.9395759810000008"/>
    <n v="9.9395759810000012E-2"/>
    <n v="156"/>
    <d v="1899-12-30T02:36:00"/>
    <n v="3"/>
    <n v="49920"/>
    <x v="0"/>
    <n v="42214"/>
    <n v="0.84563301282051284"/>
  </r>
  <r>
    <s v="P-0466"/>
    <x v="1"/>
    <x v="1"/>
    <x v="2"/>
    <x v="66"/>
    <x v="1"/>
    <x v="2"/>
    <x v="0"/>
    <n v="61"/>
    <n v="9505"/>
    <n v="23.125091609999998"/>
    <n v="0.23125091609999998"/>
    <n v="121"/>
    <d v="1899-12-30T02:01:00"/>
    <n v="4"/>
    <n v="5873"/>
    <x v="0"/>
    <n v="-3632"/>
    <n v="-0.61842329303592714"/>
  </r>
  <r>
    <s v="P-0467"/>
    <x v="11"/>
    <x v="2"/>
    <x v="0"/>
    <x v="13"/>
    <x v="1"/>
    <x v="3"/>
    <x v="3"/>
    <n v="50"/>
    <n v="2532"/>
    <n v="9.9909239969999994"/>
    <n v="9.9909239969999994E-2"/>
    <n v="112"/>
    <d v="1899-12-30T01:52:00"/>
    <n v="1"/>
    <n v="9635"/>
    <x v="1"/>
    <n v="7103"/>
    <n v="0.73720809548521016"/>
  </r>
  <r>
    <s v="P-0468"/>
    <x v="10"/>
    <x v="4"/>
    <x v="2"/>
    <x v="56"/>
    <x v="0"/>
    <x v="2"/>
    <x v="2"/>
    <n v="50"/>
    <n v="8936"/>
    <n v="10.43899452"/>
    <n v="0.1043899452"/>
    <n v="55"/>
    <d v="1899-12-30T00:55:00"/>
    <n v="2"/>
    <n v="34065"/>
    <x v="0"/>
    <n v="25129"/>
    <n v="0.73767796858946133"/>
  </r>
  <r>
    <s v="P-0469"/>
    <x v="11"/>
    <x v="0"/>
    <x v="0"/>
    <x v="8"/>
    <x v="0"/>
    <x v="1"/>
    <x v="3"/>
    <n v="96"/>
    <n v="771"/>
    <n v="20.187965250000001"/>
    <n v="0.20187965250000001"/>
    <n v="165"/>
    <d v="1899-12-30T02:45:00"/>
    <n v="1"/>
    <n v="46863"/>
    <x v="1"/>
    <n v="46092"/>
    <n v="0.98354778823378786"/>
  </r>
  <r>
    <s v="P-0470"/>
    <x v="6"/>
    <x v="3"/>
    <x v="1"/>
    <x v="37"/>
    <x v="2"/>
    <x v="3"/>
    <x v="3"/>
    <n v="83"/>
    <n v="4011"/>
    <n v="13.99479685"/>
    <n v="0.13994796849999999"/>
    <n v="77"/>
    <d v="1899-12-30T01:17:00"/>
    <n v="3"/>
    <n v="42804"/>
    <x v="0"/>
    <n v="38793"/>
    <n v="0.90629380431735351"/>
  </r>
  <r>
    <s v="P-0471"/>
    <x v="5"/>
    <x v="0"/>
    <x v="1"/>
    <x v="86"/>
    <x v="1"/>
    <x v="1"/>
    <x v="5"/>
    <n v="81"/>
    <n v="2271"/>
    <n v="20.53421114"/>
    <n v="0.2053421114"/>
    <n v="131"/>
    <d v="1899-12-30T02:11:00"/>
    <n v="3"/>
    <n v="34783"/>
    <x v="0"/>
    <n v="32512"/>
    <n v="0.93470948451829916"/>
  </r>
  <r>
    <s v="P-0472"/>
    <x v="14"/>
    <x v="4"/>
    <x v="2"/>
    <x v="58"/>
    <x v="0"/>
    <x v="1"/>
    <x v="4"/>
    <n v="97"/>
    <n v="9954"/>
    <n v="6.3073231510000003"/>
    <n v="6.3073231510000008E-2"/>
    <n v="24"/>
    <d v="1899-12-30T00:24:00"/>
    <n v="3"/>
    <n v="35152"/>
    <x v="0"/>
    <n v="25198"/>
    <n v="0.71682976786527086"/>
  </r>
  <r>
    <s v="P-0473"/>
    <x v="10"/>
    <x v="6"/>
    <x v="0"/>
    <x v="50"/>
    <x v="1"/>
    <x v="2"/>
    <x v="0"/>
    <n v="74"/>
    <n v="4861"/>
    <n v="14.75142387"/>
    <n v="0.14751423869999999"/>
    <n v="174"/>
    <d v="1899-12-30T02:54:00"/>
    <n v="1"/>
    <n v="42513"/>
    <x v="0"/>
    <n v="37652"/>
    <n v="0.88565850445746008"/>
  </r>
  <r>
    <s v="P-0474"/>
    <x v="14"/>
    <x v="2"/>
    <x v="1"/>
    <x v="8"/>
    <x v="0"/>
    <x v="2"/>
    <x v="1"/>
    <n v="89"/>
    <n v="7569"/>
    <n v="5.6722720039999999"/>
    <n v="5.6722720040000001E-2"/>
    <n v="138"/>
    <d v="1899-12-30T02:18:00"/>
    <n v="4"/>
    <n v="30092"/>
    <x v="0"/>
    <n v="22523"/>
    <n v="0.74847135451282731"/>
  </r>
  <r>
    <s v="P-0475"/>
    <x v="2"/>
    <x v="7"/>
    <x v="2"/>
    <x v="53"/>
    <x v="0"/>
    <x v="1"/>
    <x v="3"/>
    <n v="94"/>
    <n v="1420"/>
    <n v="6.2530640689999997"/>
    <n v="6.253064069E-2"/>
    <n v="120"/>
    <d v="1899-12-30T02:00:00"/>
    <n v="3"/>
    <n v="18653"/>
    <x v="0"/>
    <n v="17233"/>
    <n v="0.92387283546882537"/>
  </r>
  <r>
    <s v="P-0476"/>
    <x v="6"/>
    <x v="5"/>
    <x v="1"/>
    <x v="57"/>
    <x v="2"/>
    <x v="3"/>
    <x v="0"/>
    <n v="50"/>
    <n v="8690"/>
    <n v="23.128749070000001"/>
    <n v="0.23128749070000001"/>
    <n v="33"/>
    <d v="1899-12-30T00:33:00"/>
    <n v="3"/>
    <n v="33463"/>
    <x v="0"/>
    <n v="24773"/>
    <n v="0.74031019334787673"/>
  </r>
  <r>
    <s v="P-0477"/>
    <x v="4"/>
    <x v="1"/>
    <x v="1"/>
    <x v="36"/>
    <x v="2"/>
    <x v="2"/>
    <x v="5"/>
    <n v="65"/>
    <n v="3930"/>
    <n v="7.7849074219999999"/>
    <n v="7.7849074219999995E-2"/>
    <n v="36"/>
    <d v="1899-12-30T00:36:00"/>
    <n v="1"/>
    <n v="35028"/>
    <x v="0"/>
    <n v="31098"/>
    <n v="0.88780404248030143"/>
  </r>
  <r>
    <s v="P-0478"/>
    <x v="1"/>
    <x v="2"/>
    <x v="0"/>
    <x v="47"/>
    <x v="2"/>
    <x v="3"/>
    <x v="5"/>
    <n v="88"/>
    <n v="4935"/>
    <n v="15.64841365"/>
    <n v="0.15648413650000001"/>
    <n v="49"/>
    <d v="1899-12-30T00:49:00"/>
    <n v="2"/>
    <n v="41469"/>
    <x v="0"/>
    <n v="36534"/>
    <n v="0.88099544237864424"/>
  </r>
  <r>
    <s v="P-0479"/>
    <x v="1"/>
    <x v="1"/>
    <x v="2"/>
    <x v="31"/>
    <x v="3"/>
    <x v="2"/>
    <x v="3"/>
    <n v="54"/>
    <n v="4260"/>
    <n v="13.22191205"/>
    <n v="0.13221912050000001"/>
    <n v="173"/>
    <d v="1899-12-30T02:53:00"/>
    <n v="2"/>
    <n v="21947"/>
    <x v="0"/>
    <n v="17687"/>
    <n v="0.80589602223538526"/>
  </r>
  <r>
    <s v="P-0480"/>
    <x v="13"/>
    <x v="3"/>
    <x v="0"/>
    <x v="22"/>
    <x v="3"/>
    <x v="1"/>
    <x v="2"/>
    <n v="71"/>
    <n v="2550"/>
    <n v="11.946866529999999"/>
    <n v="0.1194686653"/>
    <n v="33"/>
    <d v="1899-12-30T00:33:00"/>
    <n v="4"/>
    <n v="30978"/>
    <x v="0"/>
    <n v="28428"/>
    <n v="0.91768351733488285"/>
  </r>
  <r>
    <s v="P-0481"/>
    <x v="2"/>
    <x v="6"/>
    <x v="2"/>
    <x v="83"/>
    <x v="3"/>
    <x v="1"/>
    <x v="4"/>
    <n v="78"/>
    <n v="1665"/>
    <n v="22.996666909999998"/>
    <n v="0.22996666909999999"/>
    <n v="33"/>
    <d v="1899-12-30T00:33:00"/>
    <n v="4"/>
    <n v="23056"/>
    <x v="0"/>
    <n v="21391"/>
    <n v="0.92778452463566963"/>
  </r>
  <r>
    <s v="P-0482"/>
    <x v="0"/>
    <x v="0"/>
    <x v="1"/>
    <x v="55"/>
    <x v="0"/>
    <x v="2"/>
    <x v="2"/>
    <n v="52"/>
    <n v="9067"/>
    <n v="5.4364679359999997"/>
    <n v="5.4364679359999994E-2"/>
    <n v="13"/>
    <d v="1899-12-30T00:13:00"/>
    <n v="3"/>
    <n v="30007"/>
    <x v="0"/>
    <n v="20940"/>
    <n v="0.69783717132669043"/>
  </r>
  <r>
    <s v="P-0483"/>
    <x v="8"/>
    <x v="1"/>
    <x v="0"/>
    <x v="76"/>
    <x v="2"/>
    <x v="1"/>
    <x v="2"/>
    <n v="61"/>
    <n v="2533"/>
    <n v="18.275793719999999"/>
    <n v="0.1827579372"/>
    <n v="76"/>
    <d v="1899-12-30T01:16:00"/>
    <n v="1"/>
    <n v="44169"/>
    <x v="0"/>
    <n v="41636"/>
    <n v="0.94265208630487451"/>
  </r>
  <r>
    <s v="P-0484"/>
    <x v="12"/>
    <x v="7"/>
    <x v="0"/>
    <x v="59"/>
    <x v="0"/>
    <x v="2"/>
    <x v="1"/>
    <n v="75"/>
    <n v="6967"/>
    <n v="24.267888679999999"/>
    <n v="0.24267888679999999"/>
    <n v="43"/>
    <d v="1899-12-30T00:43:00"/>
    <n v="3"/>
    <n v="49287"/>
    <x v="0"/>
    <n v="42320"/>
    <n v="0.85864426725099929"/>
  </r>
  <r>
    <s v="P-0485"/>
    <x v="1"/>
    <x v="3"/>
    <x v="0"/>
    <x v="51"/>
    <x v="3"/>
    <x v="0"/>
    <x v="4"/>
    <n v="65"/>
    <n v="645"/>
    <n v="16.203363670000002"/>
    <n v="0.16203363670000001"/>
    <n v="125"/>
    <d v="1899-12-30T02:05:00"/>
    <n v="4"/>
    <n v="45632"/>
    <x v="0"/>
    <n v="44987"/>
    <n v="0.98586518232819076"/>
  </r>
  <r>
    <s v="P-0486"/>
    <x v="13"/>
    <x v="2"/>
    <x v="0"/>
    <x v="62"/>
    <x v="1"/>
    <x v="2"/>
    <x v="1"/>
    <n v="86"/>
    <n v="4888"/>
    <n v="23.736449239999999"/>
    <n v="0.23736449239999999"/>
    <n v="32"/>
    <d v="1899-12-30T00:32:00"/>
    <n v="1"/>
    <n v="49449"/>
    <x v="0"/>
    <n v="44561"/>
    <n v="0.90115068049910008"/>
  </r>
  <r>
    <s v="P-0487"/>
    <x v="3"/>
    <x v="3"/>
    <x v="2"/>
    <x v="76"/>
    <x v="2"/>
    <x v="3"/>
    <x v="1"/>
    <n v="71"/>
    <n v="8332"/>
    <n v="6.0451575860000002"/>
    <n v="6.0451575860000002E-2"/>
    <n v="118"/>
    <d v="1899-12-30T01:58:00"/>
    <n v="1"/>
    <n v="6543"/>
    <x v="0"/>
    <n v="-1789"/>
    <n v="-0.27342197768607673"/>
  </r>
  <r>
    <s v="P-0488"/>
    <x v="4"/>
    <x v="7"/>
    <x v="2"/>
    <x v="22"/>
    <x v="3"/>
    <x v="1"/>
    <x v="0"/>
    <n v="78"/>
    <n v="9123"/>
    <n v="13.37586638"/>
    <n v="0.13375866380000001"/>
    <n v="78"/>
    <d v="1899-12-30T01:18:00"/>
    <n v="4"/>
    <n v="22067"/>
    <x v="0"/>
    <n v="12944"/>
    <n v="0.58657724203561878"/>
  </r>
  <r>
    <s v="P-0489"/>
    <x v="6"/>
    <x v="0"/>
    <x v="0"/>
    <x v="46"/>
    <x v="0"/>
    <x v="2"/>
    <x v="1"/>
    <n v="63"/>
    <n v="9396"/>
    <n v="10.203155819999999"/>
    <n v="0.1020315582"/>
    <n v="104"/>
    <d v="1899-12-30T01:44:00"/>
    <n v="2"/>
    <n v="46256"/>
    <x v="0"/>
    <n v="36860"/>
    <n v="0.79686959529574541"/>
  </r>
  <r>
    <s v="P-0490"/>
    <x v="14"/>
    <x v="0"/>
    <x v="0"/>
    <x v="82"/>
    <x v="2"/>
    <x v="2"/>
    <x v="1"/>
    <n v="77"/>
    <n v="8673"/>
    <n v="19.6164193"/>
    <n v="0.19616419300000001"/>
    <n v="71"/>
    <d v="1899-12-30T01:11:00"/>
    <n v="2"/>
    <n v="26097"/>
    <x v="0"/>
    <n v="17424"/>
    <n v="0.66766294976434071"/>
  </r>
  <r>
    <s v="P-0491"/>
    <x v="0"/>
    <x v="6"/>
    <x v="2"/>
    <x v="25"/>
    <x v="1"/>
    <x v="2"/>
    <x v="5"/>
    <n v="54"/>
    <n v="3132"/>
    <n v="24.62594181"/>
    <n v="0.24625941810000002"/>
    <n v="178"/>
    <d v="1899-12-30T02:58:00"/>
    <n v="1"/>
    <n v="43847"/>
    <x v="0"/>
    <n v="40715"/>
    <n v="0.92856979953018448"/>
  </r>
  <r>
    <s v="P-0492"/>
    <x v="7"/>
    <x v="1"/>
    <x v="2"/>
    <x v="6"/>
    <x v="2"/>
    <x v="3"/>
    <x v="4"/>
    <n v="96"/>
    <n v="4994"/>
    <n v="10.13060125"/>
    <n v="0.1013060125"/>
    <n v="66"/>
    <d v="1899-12-30T01:06:00"/>
    <n v="3"/>
    <n v="44512"/>
    <x v="0"/>
    <n v="39518"/>
    <n v="0.88780553558590947"/>
  </r>
  <r>
    <s v="P-0493"/>
    <x v="14"/>
    <x v="1"/>
    <x v="0"/>
    <x v="32"/>
    <x v="1"/>
    <x v="1"/>
    <x v="4"/>
    <n v="98"/>
    <n v="8556"/>
    <n v="18.083492029999999"/>
    <n v="0.18083492029999998"/>
    <n v="63"/>
    <d v="1899-12-30T01:03:00"/>
    <n v="2"/>
    <n v="4809"/>
    <x v="0"/>
    <n v="-3747"/>
    <n v="-0.77916406737367438"/>
  </r>
  <r>
    <s v="P-0494"/>
    <x v="4"/>
    <x v="0"/>
    <x v="2"/>
    <x v="50"/>
    <x v="1"/>
    <x v="2"/>
    <x v="5"/>
    <n v="79"/>
    <n v="8011"/>
    <n v="8.9619526549999993"/>
    <n v="8.9619526549999995E-2"/>
    <n v="79"/>
    <d v="1899-12-30T01:19:00"/>
    <n v="3"/>
    <n v="23191"/>
    <x v="0"/>
    <n v="15180"/>
    <n v="0.65456427062222411"/>
  </r>
  <r>
    <s v="P-0495"/>
    <x v="6"/>
    <x v="0"/>
    <x v="0"/>
    <x v="50"/>
    <x v="1"/>
    <x v="1"/>
    <x v="3"/>
    <n v="95"/>
    <n v="9655"/>
    <n v="16.306605090000001"/>
    <n v="0.16306605090000001"/>
    <n v="110"/>
    <d v="1899-12-30T01:50:00"/>
    <n v="2"/>
    <n v="22267"/>
    <x v="1"/>
    <n v="12612"/>
    <n v="0.56639870660618852"/>
  </r>
  <r>
    <s v="P-0496"/>
    <x v="3"/>
    <x v="5"/>
    <x v="0"/>
    <x v="74"/>
    <x v="1"/>
    <x v="3"/>
    <x v="0"/>
    <n v="54"/>
    <n v="2328"/>
    <n v="14.27864973"/>
    <n v="0.14278649730000001"/>
    <n v="66"/>
    <d v="1899-12-30T01:06:00"/>
    <n v="2"/>
    <n v="8206"/>
    <x v="0"/>
    <n v="5878"/>
    <n v="0.71630514257860101"/>
  </r>
  <r>
    <s v="P-0497"/>
    <x v="6"/>
    <x v="4"/>
    <x v="0"/>
    <x v="87"/>
    <x v="1"/>
    <x v="0"/>
    <x v="4"/>
    <n v="61"/>
    <n v="9630"/>
    <n v="24.440106589999999"/>
    <n v="0.24440106589999999"/>
    <n v="147"/>
    <d v="1899-12-30T02:27:00"/>
    <n v="3"/>
    <n v="22057"/>
    <x v="0"/>
    <n v="12427"/>
    <n v="0.56340390805639928"/>
  </r>
  <r>
    <s v="P-0498"/>
    <x v="8"/>
    <x v="6"/>
    <x v="1"/>
    <x v="68"/>
    <x v="3"/>
    <x v="3"/>
    <x v="3"/>
    <n v="65"/>
    <n v="5305"/>
    <n v="17.170545449999999"/>
    <n v="0.17170545449999999"/>
    <n v="177"/>
    <d v="1899-12-30T02:57:00"/>
    <n v="4"/>
    <n v="29992"/>
    <x v="0"/>
    <n v="24687"/>
    <n v="0.82311949853294208"/>
  </r>
  <r>
    <s v="P-0499"/>
    <x v="6"/>
    <x v="6"/>
    <x v="0"/>
    <x v="53"/>
    <x v="0"/>
    <x v="0"/>
    <x v="5"/>
    <n v="75"/>
    <n v="1306"/>
    <n v="11.99012744"/>
    <n v="0.11990127440000001"/>
    <n v="144"/>
    <d v="1899-12-30T02:24:00"/>
    <n v="2"/>
    <n v="47514"/>
    <x v="0"/>
    <n v="46208"/>
    <n v="0.97251336448204739"/>
  </r>
  <r>
    <s v="P-0500"/>
    <x v="10"/>
    <x v="2"/>
    <x v="2"/>
    <x v="83"/>
    <x v="3"/>
    <x v="2"/>
    <x v="2"/>
    <n v="75"/>
    <n v="7986"/>
    <n v="7.2819156979999997"/>
    <n v="7.2819156979999994E-2"/>
    <n v="112"/>
    <d v="1899-12-30T01:52:00"/>
    <n v="2"/>
    <n v="16995"/>
    <x v="0"/>
    <n v="9009"/>
    <n v="0.53009708737864081"/>
  </r>
  <r>
    <s v="P-0501"/>
    <x v="1"/>
    <x v="4"/>
    <x v="1"/>
    <x v="3"/>
    <x v="0"/>
    <x v="1"/>
    <x v="0"/>
    <n v="97"/>
    <n v="8702"/>
    <n v="8.0249365749999999"/>
    <n v="8.0249365749999996E-2"/>
    <n v="175"/>
    <d v="1899-12-30T02:55:00"/>
    <n v="3"/>
    <n v="49803"/>
    <x v="0"/>
    <n v="41101"/>
    <n v="0.8252715699857438"/>
  </r>
  <r>
    <s v="P-0502"/>
    <x v="5"/>
    <x v="7"/>
    <x v="2"/>
    <x v="89"/>
    <x v="1"/>
    <x v="0"/>
    <x v="5"/>
    <n v="70"/>
    <n v="2368"/>
    <n v="9.5063385989999993"/>
    <n v="9.5063385989999999E-2"/>
    <n v="94"/>
    <d v="1899-12-30T01:34:00"/>
    <n v="4"/>
    <n v="45439"/>
    <x v="0"/>
    <n v="43071"/>
    <n v="0.94788617707255884"/>
  </r>
  <r>
    <s v="P-0503"/>
    <x v="9"/>
    <x v="5"/>
    <x v="2"/>
    <x v="59"/>
    <x v="0"/>
    <x v="1"/>
    <x v="3"/>
    <n v="88"/>
    <n v="8378"/>
    <n v="10.019333230000001"/>
    <n v="0.10019333230000001"/>
    <n v="70"/>
    <d v="1899-12-30T01:10:00"/>
    <n v="2"/>
    <n v="14210"/>
    <x v="0"/>
    <n v="5832"/>
    <n v="0.41041520056298381"/>
  </r>
  <r>
    <s v="P-0504"/>
    <x v="9"/>
    <x v="0"/>
    <x v="2"/>
    <x v="21"/>
    <x v="1"/>
    <x v="2"/>
    <x v="4"/>
    <n v="85"/>
    <n v="6190"/>
    <n v="22.012321159999999"/>
    <n v="0.22012321159999998"/>
    <n v="12"/>
    <d v="1899-12-30T00:12:00"/>
    <n v="2"/>
    <n v="18793"/>
    <x v="0"/>
    <n v="12603"/>
    <n v="0.67062204012132176"/>
  </r>
  <r>
    <s v="P-0505"/>
    <x v="5"/>
    <x v="4"/>
    <x v="0"/>
    <x v="25"/>
    <x v="1"/>
    <x v="1"/>
    <x v="4"/>
    <n v="82"/>
    <n v="8327"/>
    <n v="16.224455769999999"/>
    <n v="0.16224455769999999"/>
    <n v="137"/>
    <d v="1899-12-30T02:17:00"/>
    <n v="4"/>
    <n v="27270"/>
    <x v="0"/>
    <n v="18943"/>
    <n v="0.69464613127979469"/>
  </r>
  <r>
    <s v="P-0506"/>
    <x v="7"/>
    <x v="0"/>
    <x v="2"/>
    <x v="73"/>
    <x v="1"/>
    <x v="0"/>
    <x v="2"/>
    <n v="79"/>
    <n v="5929"/>
    <n v="15.467818230000001"/>
    <n v="0.15467818229999999"/>
    <n v="95"/>
    <d v="1899-12-30T01:35:00"/>
    <n v="2"/>
    <n v="6197"/>
    <x v="0"/>
    <n v="268"/>
    <n v="4.3246732289817652E-2"/>
  </r>
  <r>
    <s v="P-0507"/>
    <x v="3"/>
    <x v="6"/>
    <x v="2"/>
    <x v="34"/>
    <x v="0"/>
    <x v="2"/>
    <x v="1"/>
    <n v="86"/>
    <n v="9576"/>
    <n v="7.295377437"/>
    <n v="7.2953774370000002E-2"/>
    <n v="56"/>
    <d v="1899-12-30T00:56:00"/>
    <n v="4"/>
    <n v="49321"/>
    <x v="0"/>
    <n v="39745"/>
    <n v="0.80584335273007446"/>
  </r>
  <r>
    <s v="P-0508"/>
    <x v="2"/>
    <x v="5"/>
    <x v="2"/>
    <x v="29"/>
    <x v="0"/>
    <x v="2"/>
    <x v="5"/>
    <n v="72"/>
    <n v="4064"/>
    <n v="22.202793870000001"/>
    <n v="0.22202793870000001"/>
    <n v="85"/>
    <d v="1899-12-30T01:25:00"/>
    <n v="4"/>
    <n v="8452"/>
    <x v="0"/>
    <n v="4388"/>
    <n v="0.51916706105063892"/>
  </r>
  <r>
    <s v="P-0509"/>
    <x v="5"/>
    <x v="6"/>
    <x v="1"/>
    <x v="50"/>
    <x v="1"/>
    <x v="0"/>
    <x v="1"/>
    <n v="59"/>
    <n v="1889"/>
    <n v="19.45628606"/>
    <n v="0.1945628606"/>
    <n v="47"/>
    <d v="1899-12-30T00:47:00"/>
    <n v="3"/>
    <n v="42486"/>
    <x v="0"/>
    <n v="40597"/>
    <n v="0.95553829496775411"/>
  </r>
  <r>
    <s v="P-0510"/>
    <x v="7"/>
    <x v="3"/>
    <x v="0"/>
    <x v="17"/>
    <x v="2"/>
    <x v="1"/>
    <x v="5"/>
    <n v="54"/>
    <n v="7774"/>
    <n v="6.3533672379999997"/>
    <n v="6.3533672380000003E-2"/>
    <n v="173"/>
    <d v="1899-12-30T02:53:00"/>
    <n v="1"/>
    <n v="15859"/>
    <x v="0"/>
    <n v="8085"/>
    <n v="0.50980515795447379"/>
  </r>
  <r>
    <s v="P-0511"/>
    <x v="7"/>
    <x v="2"/>
    <x v="0"/>
    <x v="63"/>
    <x v="2"/>
    <x v="3"/>
    <x v="4"/>
    <n v="85"/>
    <n v="1324"/>
    <n v="19.156701940000001"/>
    <n v="0.19156701940000001"/>
    <n v="178"/>
    <d v="1899-12-30T02:58:00"/>
    <n v="4"/>
    <n v="28236"/>
    <x v="0"/>
    <n v="26912"/>
    <n v="0.95310950559569341"/>
  </r>
  <r>
    <s v="P-0512"/>
    <x v="1"/>
    <x v="2"/>
    <x v="1"/>
    <x v="55"/>
    <x v="0"/>
    <x v="1"/>
    <x v="2"/>
    <n v="83"/>
    <n v="2765"/>
    <n v="15.87076435"/>
    <n v="0.1587076435"/>
    <n v="150"/>
    <d v="1899-12-30T02:30:00"/>
    <n v="3"/>
    <n v="32899"/>
    <x v="0"/>
    <n v="30134"/>
    <n v="0.91595489224596494"/>
  </r>
  <r>
    <s v="P-0513"/>
    <x v="2"/>
    <x v="1"/>
    <x v="2"/>
    <x v="88"/>
    <x v="3"/>
    <x v="0"/>
    <x v="5"/>
    <n v="80"/>
    <n v="1436"/>
    <n v="6.6345069150000002"/>
    <n v="6.6345069150000005E-2"/>
    <n v="96"/>
    <d v="1899-12-30T01:36:00"/>
    <n v="1"/>
    <n v="33083"/>
    <x v="0"/>
    <n v="31647"/>
    <n v="0.95659402109844938"/>
  </r>
  <r>
    <s v="P-0514"/>
    <x v="12"/>
    <x v="4"/>
    <x v="1"/>
    <x v="37"/>
    <x v="2"/>
    <x v="1"/>
    <x v="5"/>
    <n v="59"/>
    <n v="6902"/>
    <n v="14.16601283"/>
    <n v="0.14166012829999999"/>
    <n v="67"/>
    <d v="1899-12-30T01:07:00"/>
    <n v="2"/>
    <n v="3172"/>
    <x v="0"/>
    <n v="-3730"/>
    <n v="-1.1759142496847415"/>
  </r>
  <r>
    <s v="P-0515"/>
    <x v="3"/>
    <x v="0"/>
    <x v="1"/>
    <x v="1"/>
    <x v="1"/>
    <x v="3"/>
    <x v="0"/>
    <n v="68"/>
    <n v="4345"/>
    <n v="14.693925739999999"/>
    <n v="0.1469392574"/>
    <n v="59"/>
    <d v="1899-12-30T00:59:00"/>
    <n v="1"/>
    <n v="46926"/>
    <x v="0"/>
    <n v="42581"/>
    <n v="0.90740740740740744"/>
  </r>
  <r>
    <s v="P-0516"/>
    <x v="7"/>
    <x v="1"/>
    <x v="0"/>
    <x v="19"/>
    <x v="1"/>
    <x v="1"/>
    <x v="2"/>
    <n v="81"/>
    <n v="2296"/>
    <n v="8.3154908029999994"/>
    <n v="8.3154908029999988E-2"/>
    <n v="39"/>
    <d v="1899-12-30T00:39:00"/>
    <n v="4"/>
    <n v="17663"/>
    <x v="0"/>
    <n v="15367"/>
    <n v="0.87001075694955554"/>
  </r>
  <r>
    <s v="P-0517"/>
    <x v="2"/>
    <x v="7"/>
    <x v="0"/>
    <x v="22"/>
    <x v="3"/>
    <x v="2"/>
    <x v="3"/>
    <n v="50"/>
    <n v="8745"/>
    <n v="23.913962940000001"/>
    <n v="0.2391396294"/>
    <n v="110"/>
    <d v="1899-12-30T01:50:00"/>
    <n v="4"/>
    <n v="28540"/>
    <x v="1"/>
    <n v="19795"/>
    <n v="0.69358794674141555"/>
  </r>
  <r>
    <s v="P-0518"/>
    <x v="9"/>
    <x v="4"/>
    <x v="1"/>
    <x v="50"/>
    <x v="1"/>
    <x v="1"/>
    <x v="0"/>
    <n v="54"/>
    <n v="7714"/>
    <n v="21.999507430000001"/>
    <n v="0.21999507430000001"/>
    <n v="34"/>
    <d v="1899-12-30T00:34:00"/>
    <n v="4"/>
    <n v="20053"/>
    <x v="0"/>
    <n v="12339"/>
    <n v="0.61531940358051163"/>
  </r>
  <r>
    <s v="P-0519"/>
    <x v="1"/>
    <x v="5"/>
    <x v="2"/>
    <x v="54"/>
    <x v="1"/>
    <x v="2"/>
    <x v="2"/>
    <n v="94"/>
    <n v="1226"/>
    <n v="18.380446750000001"/>
    <n v="0.18380446750000001"/>
    <n v="121"/>
    <d v="1899-12-30T02:01:00"/>
    <n v="4"/>
    <n v="12085"/>
    <x v="0"/>
    <n v="10859"/>
    <n v="0.89855192387256932"/>
  </r>
  <r>
    <s v="P-0520"/>
    <x v="9"/>
    <x v="1"/>
    <x v="0"/>
    <x v="22"/>
    <x v="3"/>
    <x v="3"/>
    <x v="2"/>
    <n v="53"/>
    <n v="3236"/>
    <n v="14.24591122"/>
    <n v="0.14245911219999999"/>
    <n v="164"/>
    <d v="1899-12-30T02:44:00"/>
    <n v="4"/>
    <n v="31564"/>
    <x v="0"/>
    <n v="28328"/>
    <n v="0.89747813965276901"/>
  </r>
  <r>
    <s v="P-0521"/>
    <x v="8"/>
    <x v="6"/>
    <x v="2"/>
    <x v="89"/>
    <x v="1"/>
    <x v="1"/>
    <x v="0"/>
    <n v="65"/>
    <n v="2413"/>
    <n v="13.23531083"/>
    <n v="0.13235310829999999"/>
    <n v="135"/>
    <d v="1899-12-30T02:15:00"/>
    <n v="3"/>
    <n v="25209"/>
    <x v="0"/>
    <n v="22796"/>
    <n v="0.90428021738268083"/>
  </r>
  <r>
    <s v="P-0522"/>
    <x v="3"/>
    <x v="3"/>
    <x v="0"/>
    <x v="3"/>
    <x v="0"/>
    <x v="2"/>
    <x v="2"/>
    <n v="73"/>
    <n v="8157"/>
    <n v="18.019469340000001"/>
    <n v="0.18019469339999999"/>
    <n v="132"/>
    <d v="1899-12-30T02:12:00"/>
    <n v="4"/>
    <n v="4981"/>
    <x v="0"/>
    <n v="-3176"/>
    <n v="-0.63762296727564749"/>
  </r>
  <r>
    <s v="P-0523"/>
    <x v="11"/>
    <x v="0"/>
    <x v="2"/>
    <x v="49"/>
    <x v="2"/>
    <x v="3"/>
    <x v="2"/>
    <n v="65"/>
    <n v="2966"/>
    <n v="15.908637390000001"/>
    <n v="0.15908637390000002"/>
    <n v="56"/>
    <d v="1899-12-30T00:56:00"/>
    <n v="3"/>
    <n v="22153"/>
    <x v="0"/>
    <n v="19187"/>
    <n v="0.86611294181374987"/>
  </r>
  <r>
    <s v="P-0524"/>
    <x v="5"/>
    <x v="6"/>
    <x v="2"/>
    <x v="77"/>
    <x v="3"/>
    <x v="2"/>
    <x v="1"/>
    <n v="51"/>
    <n v="9541"/>
    <n v="6.2454621179999998"/>
    <n v="6.2454621179999996E-2"/>
    <n v="127"/>
    <d v="1899-12-30T02:07:00"/>
    <n v="2"/>
    <n v="6247"/>
    <x v="0"/>
    <n v="-3294"/>
    <n v="-0.52729310068833035"/>
  </r>
  <r>
    <s v="P-0525"/>
    <x v="0"/>
    <x v="6"/>
    <x v="2"/>
    <x v="3"/>
    <x v="0"/>
    <x v="2"/>
    <x v="5"/>
    <n v="98"/>
    <n v="7812"/>
    <n v="15.25005298"/>
    <n v="0.15250052980000001"/>
    <n v="48"/>
    <d v="1899-12-30T00:48:00"/>
    <n v="4"/>
    <n v="11553"/>
    <x v="0"/>
    <n v="3741"/>
    <n v="0.32381199688392626"/>
  </r>
  <r>
    <s v="P-0526"/>
    <x v="8"/>
    <x v="7"/>
    <x v="1"/>
    <x v="4"/>
    <x v="2"/>
    <x v="2"/>
    <x v="3"/>
    <n v="77"/>
    <n v="8694"/>
    <n v="21.128072339999999"/>
    <n v="0.21128072339999998"/>
    <n v="25"/>
    <d v="1899-12-30T00:25:00"/>
    <n v="4"/>
    <n v="21811"/>
    <x v="0"/>
    <n v="13117"/>
    <n v="0.60139379212324051"/>
  </r>
  <r>
    <s v="P-0527"/>
    <x v="4"/>
    <x v="4"/>
    <x v="0"/>
    <x v="42"/>
    <x v="1"/>
    <x v="1"/>
    <x v="4"/>
    <n v="81"/>
    <n v="8406"/>
    <n v="14.184797550000001"/>
    <n v="0.1418479755"/>
    <n v="31"/>
    <d v="1899-12-30T00:31:00"/>
    <n v="1"/>
    <n v="30845"/>
    <x v="0"/>
    <n v="22439"/>
    <n v="0.72747609012805969"/>
  </r>
  <r>
    <s v="P-0528"/>
    <x v="2"/>
    <x v="3"/>
    <x v="2"/>
    <x v="44"/>
    <x v="0"/>
    <x v="2"/>
    <x v="5"/>
    <n v="76"/>
    <n v="5376"/>
    <n v="6.0391315509999997"/>
    <n v="6.0391315509999995E-2"/>
    <n v="63"/>
    <d v="1899-12-30T01:03:00"/>
    <n v="2"/>
    <n v="7135"/>
    <x v="0"/>
    <n v="1759"/>
    <n v="0.24653118430273302"/>
  </r>
  <r>
    <s v="P-0529"/>
    <x v="0"/>
    <x v="4"/>
    <x v="2"/>
    <x v="37"/>
    <x v="2"/>
    <x v="0"/>
    <x v="2"/>
    <n v="69"/>
    <n v="7787"/>
    <n v="20.725563990000001"/>
    <n v="0.20725563990000001"/>
    <n v="158"/>
    <d v="1899-12-30T02:38:00"/>
    <n v="4"/>
    <n v="6573"/>
    <x v="0"/>
    <n v="-1214"/>
    <n v="-0.18469496424767989"/>
  </r>
  <r>
    <s v="P-0530"/>
    <x v="4"/>
    <x v="1"/>
    <x v="1"/>
    <x v="13"/>
    <x v="1"/>
    <x v="3"/>
    <x v="2"/>
    <n v="73"/>
    <n v="1392"/>
    <n v="9.0272756429999994"/>
    <n v="9.027275642999999E-2"/>
    <n v="25"/>
    <d v="1899-12-30T00:25:00"/>
    <n v="4"/>
    <n v="14731"/>
    <x v="0"/>
    <n v="13339"/>
    <n v="0.9055053967822958"/>
  </r>
  <r>
    <s v="P-0531"/>
    <x v="14"/>
    <x v="2"/>
    <x v="1"/>
    <x v="10"/>
    <x v="0"/>
    <x v="3"/>
    <x v="5"/>
    <n v="61"/>
    <n v="5175"/>
    <n v="10.172416699999999"/>
    <n v="0.10172416699999999"/>
    <n v="68"/>
    <d v="1899-12-30T01:08:00"/>
    <n v="2"/>
    <n v="8189"/>
    <x v="0"/>
    <n v="3014"/>
    <n v="0.36805470753449748"/>
  </r>
  <r>
    <s v="P-0532"/>
    <x v="7"/>
    <x v="1"/>
    <x v="2"/>
    <x v="44"/>
    <x v="0"/>
    <x v="1"/>
    <x v="2"/>
    <n v="99"/>
    <n v="2433"/>
    <n v="8.294127069"/>
    <n v="8.2941270689999999E-2"/>
    <n v="40"/>
    <d v="1899-12-30T00:40:00"/>
    <n v="3"/>
    <n v="15541"/>
    <x v="0"/>
    <n v="13108"/>
    <n v="0.84344636767260794"/>
  </r>
  <r>
    <s v="P-0533"/>
    <x v="4"/>
    <x v="4"/>
    <x v="2"/>
    <x v="60"/>
    <x v="2"/>
    <x v="1"/>
    <x v="0"/>
    <n v="84"/>
    <n v="1880"/>
    <n v="11.604301299999999"/>
    <n v="0.116043013"/>
    <n v="179"/>
    <d v="1899-12-30T02:59:00"/>
    <n v="4"/>
    <n v="44646"/>
    <x v="0"/>
    <n v="42766"/>
    <n v="0.95789096447610089"/>
  </r>
  <r>
    <s v="P-0534"/>
    <x v="6"/>
    <x v="1"/>
    <x v="0"/>
    <x v="7"/>
    <x v="3"/>
    <x v="1"/>
    <x v="3"/>
    <n v="82"/>
    <n v="1790"/>
    <n v="20.135030109999999"/>
    <n v="0.20135030109999999"/>
    <n v="41"/>
    <d v="1899-12-30T00:41:00"/>
    <n v="1"/>
    <n v="12087"/>
    <x v="1"/>
    <n v="10297"/>
    <n v="0.85190700752874993"/>
  </r>
  <r>
    <s v="P-0535"/>
    <x v="8"/>
    <x v="6"/>
    <x v="0"/>
    <x v="44"/>
    <x v="0"/>
    <x v="0"/>
    <x v="1"/>
    <n v="82"/>
    <n v="2140"/>
    <n v="15.38771719"/>
    <n v="0.1538771719"/>
    <n v="171"/>
    <d v="1899-12-30T02:51:00"/>
    <n v="4"/>
    <n v="47435"/>
    <x v="0"/>
    <n v="45295"/>
    <n v="0.95488563297143458"/>
  </r>
  <r>
    <s v="P-0536"/>
    <x v="12"/>
    <x v="1"/>
    <x v="1"/>
    <x v="80"/>
    <x v="1"/>
    <x v="3"/>
    <x v="4"/>
    <n v="92"/>
    <n v="7990"/>
    <n v="9.0976254829999998"/>
    <n v="9.0976254829999992E-2"/>
    <n v="18"/>
    <d v="1899-12-30T00:18:00"/>
    <n v="1"/>
    <n v="3776"/>
    <x v="0"/>
    <n v="-4214"/>
    <n v="-1.1159957627118644"/>
  </r>
  <r>
    <s v="P-0537"/>
    <x v="4"/>
    <x v="1"/>
    <x v="1"/>
    <x v="27"/>
    <x v="2"/>
    <x v="3"/>
    <x v="4"/>
    <n v="86"/>
    <n v="9679"/>
    <n v="22.556601560000001"/>
    <n v="0.2255660156"/>
    <n v="148"/>
    <d v="1899-12-30T02:28:00"/>
    <n v="1"/>
    <n v="43079"/>
    <x v="0"/>
    <n v="33400"/>
    <n v="0.77531976136864833"/>
  </r>
  <r>
    <s v="P-0538"/>
    <x v="14"/>
    <x v="4"/>
    <x v="0"/>
    <x v="86"/>
    <x v="1"/>
    <x v="1"/>
    <x v="0"/>
    <n v="61"/>
    <n v="1718"/>
    <n v="22.5916371"/>
    <n v="0.225916371"/>
    <n v="19"/>
    <d v="1899-12-30T00:19:00"/>
    <n v="4"/>
    <n v="28564"/>
    <x v="0"/>
    <n v="26846"/>
    <n v="0.93985436213415485"/>
  </r>
  <r>
    <s v="P-0539"/>
    <x v="9"/>
    <x v="6"/>
    <x v="0"/>
    <x v="20"/>
    <x v="2"/>
    <x v="1"/>
    <x v="4"/>
    <n v="52"/>
    <n v="5516"/>
    <n v="22.411568500000001"/>
    <n v="0.22411568500000001"/>
    <n v="26"/>
    <d v="1899-12-30T00:26:00"/>
    <n v="4"/>
    <n v="29835"/>
    <x v="0"/>
    <n v="24319"/>
    <n v="0.81511647394000331"/>
  </r>
  <r>
    <s v="P-0540"/>
    <x v="14"/>
    <x v="3"/>
    <x v="0"/>
    <x v="59"/>
    <x v="0"/>
    <x v="2"/>
    <x v="5"/>
    <n v="50"/>
    <n v="7381"/>
    <n v="9.7759242279999992"/>
    <n v="9.7759242279999992E-2"/>
    <n v="77"/>
    <d v="1899-12-30T01:17:00"/>
    <n v="1"/>
    <n v="8697"/>
    <x v="0"/>
    <n v="1316"/>
    <n v="0.15131654593538002"/>
  </r>
  <r>
    <s v="P-0541"/>
    <x v="2"/>
    <x v="5"/>
    <x v="0"/>
    <x v="50"/>
    <x v="1"/>
    <x v="1"/>
    <x v="5"/>
    <n v="82"/>
    <n v="1454"/>
    <n v="14.024786880000001"/>
    <n v="0.14024786880000001"/>
    <n v="57"/>
    <d v="1899-12-30T00:57:00"/>
    <n v="2"/>
    <n v="15629"/>
    <x v="0"/>
    <n v="14175"/>
    <n v="0.90696781623904277"/>
  </r>
  <r>
    <s v="P-0542"/>
    <x v="11"/>
    <x v="6"/>
    <x v="2"/>
    <x v="69"/>
    <x v="0"/>
    <x v="3"/>
    <x v="0"/>
    <n v="89"/>
    <n v="9675"/>
    <n v="24.699793119999999"/>
    <n v="0.24699793119999999"/>
    <n v="120"/>
    <d v="1899-12-30T02:00:00"/>
    <n v="2"/>
    <n v="9386"/>
    <x v="0"/>
    <n v="-289"/>
    <n v="-3.0790539100788408E-2"/>
  </r>
  <r>
    <s v="P-0543"/>
    <x v="0"/>
    <x v="5"/>
    <x v="2"/>
    <x v="29"/>
    <x v="0"/>
    <x v="2"/>
    <x v="1"/>
    <n v="59"/>
    <n v="7791"/>
    <n v="20.440249529999999"/>
    <n v="0.20440249529999999"/>
    <n v="162"/>
    <d v="1899-12-30T02:42:00"/>
    <n v="4"/>
    <n v="18046"/>
    <x v="0"/>
    <n v="10255"/>
    <n v="0.56826997672614432"/>
  </r>
  <r>
    <s v="P-0544"/>
    <x v="1"/>
    <x v="4"/>
    <x v="2"/>
    <x v="44"/>
    <x v="0"/>
    <x v="0"/>
    <x v="5"/>
    <n v="92"/>
    <n v="1474"/>
    <n v="5.5433484249999996"/>
    <n v="5.5433484249999998E-2"/>
    <n v="132"/>
    <d v="1899-12-30T02:12:00"/>
    <n v="3"/>
    <n v="9044"/>
    <x v="0"/>
    <n v="7570"/>
    <n v="0.83701901813356927"/>
  </r>
  <r>
    <s v="P-0545"/>
    <x v="2"/>
    <x v="6"/>
    <x v="1"/>
    <x v="14"/>
    <x v="3"/>
    <x v="0"/>
    <x v="1"/>
    <n v="93"/>
    <n v="4633"/>
    <n v="6.3040918250000004"/>
    <n v="6.3040918250000008E-2"/>
    <n v="158"/>
    <d v="1899-12-30T02:38:00"/>
    <n v="2"/>
    <n v="10615"/>
    <x v="0"/>
    <n v="5982"/>
    <n v="0.56354215732454072"/>
  </r>
  <r>
    <s v="P-0546"/>
    <x v="10"/>
    <x v="7"/>
    <x v="0"/>
    <x v="75"/>
    <x v="2"/>
    <x v="3"/>
    <x v="1"/>
    <n v="78"/>
    <n v="5870"/>
    <n v="14.27862754"/>
    <n v="0.1427862754"/>
    <n v="110"/>
    <d v="1899-12-30T01:50:00"/>
    <n v="4"/>
    <n v="48802"/>
    <x v="0"/>
    <n v="42932"/>
    <n v="0.87971804434244494"/>
  </r>
  <r>
    <s v="P-0547"/>
    <x v="3"/>
    <x v="2"/>
    <x v="2"/>
    <x v="47"/>
    <x v="2"/>
    <x v="2"/>
    <x v="4"/>
    <n v="62"/>
    <n v="4472"/>
    <n v="23.18440412"/>
    <n v="0.23184404119999999"/>
    <n v="111"/>
    <d v="1899-12-30T01:51:00"/>
    <n v="2"/>
    <n v="6060"/>
    <x v="0"/>
    <n v="1588"/>
    <n v="0.26204620462046202"/>
  </r>
  <r>
    <s v="P-0548"/>
    <x v="11"/>
    <x v="7"/>
    <x v="0"/>
    <x v="84"/>
    <x v="0"/>
    <x v="1"/>
    <x v="2"/>
    <n v="61"/>
    <n v="5795"/>
    <n v="15.774035960000001"/>
    <n v="0.15774035960000002"/>
    <n v="74"/>
    <d v="1899-12-30T01:14:00"/>
    <n v="3"/>
    <n v="11900"/>
    <x v="0"/>
    <n v="6105"/>
    <n v="0.51302521008403357"/>
  </r>
  <r>
    <s v="P-0549"/>
    <x v="9"/>
    <x v="7"/>
    <x v="0"/>
    <x v="89"/>
    <x v="1"/>
    <x v="1"/>
    <x v="5"/>
    <n v="80"/>
    <n v="9605"/>
    <n v="14.95625016"/>
    <n v="0.14956250160000001"/>
    <n v="60"/>
    <d v="1899-12-30T01:00:00"/>
    <n v="4"/>
    <n v="6581"/>
    <x v="0"/>
    <n v="-3024"/>
    <n v="-0.45950463455401913"/>
  </r>
  <r>
    <s v="P-0550"/>
    <x v="2"/>
    <x v="4"/>
    <x v="1"/>
    <x v="7"/>
    <x v="3"/>
    <x v="2"/>
    <x v="2"/>
    <n v="95"/>
    <n v="8728"/>
    <n v="7.1094739990000004"/>
    <n v="7.1094739990000003E-2"/>
    <n v="45"/>
    <d v="1899-12-30T00:45:00"/>
    <n v="3"/>
    <n v="35782"/>
    <x v="0"/>
    <n v="27054"/>
    <n v="0.75607847521099991"/>
  </r>
  <r>
    <s v="P-0551"/>
    <x v="3"/>
    <x v="0"/>
    <x v="2"/>
    <x v="85"/>
    <x v="1"/>
    <x v="2"/>
    <x v="4"/>
    <n v="51"/>
    <n v="3520"/>
    <n v="18.135602089999999"/>
    <n v="0.1813560209"/>
    <n v="90"/>
    <d v="1899-12-30T01:30:00"/>
    <n v="4"/>
    <n v="21173"/>
    <x v="0"/>
    <n v="17653"/>
    <n v="0.83375053133708021"/>
  </r>
  <r>
    <s v="P-0552"/>
    <x v="3"/>
    <x v="1"/>
    <x v="2"/>
    <x v="39"/>
    <x v="0"/>
    <x v="0"/>
    <x v="0"/>
    <n v="99"/>
    <n v="9487"/>
    <n v="21.442063210000001"/>
    <n v="0.21442063210000001"/>
    <n v="136"/>
    <d v="1899-12-30T02:16:00"/>
    <n v="3"/>
    <n v="13997"/>
    <x v="0"/>
    <n v="4510"/>
    <n v="0.32221190255054655"/>
  </r>
  <r>
    <s v="P-0553"/>
    <x v="11"/>
    <x v="2"/>
    <x v="0"/>
    <x v="15"/>
    <x v="1"/>
    <x v="1"/>
    <x v="5"/>
    <n v="84"/>
    <n v="4536"/>
    <n v="12.60840015"/>
    <n v="0.12608400149999999"/>
    <n v="97"/>
    <d v="1899-12-30T01:37:00"/>
    <n v="2"/>
    <n v="44403"/>
    <x v="0"/>
    <n v="39867"/>
    <n v="0.8978447402202554"/>
  </r>
  <r>
    <s v="P-0554"/>
    <x v="11"/>
    <x v="0"/>
    <x v="2"/>
    <x v="71"/>
    <x v="2"/>
    <x v="3"/>
    <x v="0"/>
    <n v="72"/>
    <n v="5568"/>
    <n v="20.512237020000001"/>
    <n v="0.20512237020000001"/>
    <n v="113"/>
    <d v="1899-12-30T01:53:00"/>
    <n v="2"/>
    <n v="47416"/>
    <x v="0"/>
    <n v="41848"/>
    <n v="0.88257128395478324"/>
  </r>
  <r>
    <s v="P-0555"/>
    <x v="2"/>
    <x v="7"/>
    <x v="2"/>
    <x v="29"/>
    <x v="0"/>
    <x v="1"/>
    <x v="4"/>
    <n v="66"/>
    <n v="5733"/>
    <n v="24.289533080000002"/>
    <n v="0.24289533080000003"/>
    <n v="24"/>
    <d v="1899-12-30T00:24:00"/>
    <n v="3"/>
    <n v="8148"/>
    <x v="0"/>
    <n v="2415"/>
    <n v="0.29639175257731959"/>
  </r>
  <r>
    <s v="P-0556"/>
    <x v="1"/>
    <x v="7"/>
    <x v="0"/>
    <x v="30"/>
    <x v="2"/>
    <x v="0"/>
    <x v="4"/>
    <n v="75"/>
    <n v="817"/>
    <n v="9.0753291829999991"/>
    <n v="9.0753291829999985E-2"/>
    <n v="105"/>
    <d v="1899-12-30T01:45:00"/>
    <n v="3"/>
    <n v="19748"/>
    <x v="0"/>
    <n v="18931"/>
    <n v="0.95862872189588821"/>
  </r>
  <r>
    <s v="P-0557"/>
    <x v="0"/>
    <x v="0"/>
    <x v="0"/>
    <x v="39"/>
    <x v="0"/>
    <x v="2"/>
    <x v="2"/>
    <n v="57"/>
    <n v="2896"/>
    <n v="15.46659262"/>
    <n v="0.1546659262"/>
    <n v="176"/>
    <d v="1899-12-30T02:56:00"/>
    <n v="3"/>
    <n v="15022"/>
    <x v="0"/>
    <n v="12126"/>
    <n v="0.80721608307815207"/>
  </r>
  <r>
    <s v="P-0558"/>
    <x v="0"/>
    <x v="0"/>
    <x v="1"/>
    <x v="86"/>
    <x v="1"/>
    <x v="1"/>
    <x v="4"/>
    <n v="78"/>
    <n v="2662"/>
    <n v="10.74275916"/>
    <n v="0.1074275916"/>
    <n v="132"/>
    <d v="1899-12-30T02:12:00"/>
    <n v="4"/>
    <n v="21013"/>
    <x v="0"/>
    <n v="18351"/>
    <n v="0.87331651834578594"/>
  </r>
  <r>
    <s v="P-0559"/>
    <x v="1"/>
    <x v="5"/>
    <x v="2"/>
    <x v="50"/>
    <x v="1"/>
    <x v="2"/>
    <x v="5"/>
    <n v="75"/>
    <n v="3245"/>
    <n v="20.85708838"/>
    <n v="0.2085708838"/>
    <n v="10"/>
    <d v="1899-12-30T00:10:00"/>
    <n v="2"/>
    <n v="39687"/>
    <x v="0"/>
    <n v="36442"/>
    <n v="0.91823519036460299"/>
  </r>
  <r>
    <s v="P-0560"/>
    <x v="7"/>
    <x v="2"/>
    <x v="0"/>
    <x v="8"/>
    <x v="0"/>
    <x v="1"/>
    <x v="2"/>
    <n v="59"/>
    <n v="2091"/>
    <n v="16.551867319999999"/>
    <n v="0.16551867319999999"/>
    <n v="160"/>
    <d v="1899-12-30T02:40:00"/>
    <n v="4"/>
    <n v="16886"/>
    <x v="0"/>
    <n v="14795"/>
    <n v="0.87616960795925614"/>
  </r>
  <r>
    <s v="P-0561"/>
    <x v="6"/>
    <x v="1"/>
    <x v="2"/>
    <x v="14"/>
    <x v="3"/>
    <x v="3"/>
    <x v="4"/>
    <n v="75"/>
    <n v="6683"/>
    <n v="17.691648350000001"/>
    <n v="0.1769164835"/>
    <n v="131"/>
    <d v="1899-12-30T02:11:00"/>
    <n v="2"/>
    <n v="26256"/>
    <x v="0"/>
    <n v="19573"/>
    <n v="0.74546770262035345"/>
  </r>
  <r>
    <s v="P-0562"/>
    <x v="1"/>
    <x v="0"/>
    <x v="2"/>
    <x v="9"/>
    <x v="2"/>
    <x v="3"/>
    <x v="0"/>
    <n v="83"/>
    <n v="4430"/>
    <n v="20.95828319"/>
    <n v="0.20958283189999999"/>
    <n v="176"/>
    <d v="1899-12-30T02:56:00"/>
    <n v="1"/>
    <n v="31005"/>
    <x v="0"/>
    <n v="26575"/>
    <n v="0.85711981938397031"/>
  </r>
  <r>
    <s v="P-0563"/>
    <x v="4"/>
    <x v="0"/>
    <x v="0"/>
    <x v="19"/>
    <x v="1"/>
    <x v="1"/>
    <x v="1"/>
    <n v="90"/>
    <n v="1812"/>
    <n v="12.91940945"/>
    <n v="0.1291940945"/>
    <n v="135"/>
    <d v="1899-12-30T02:15:00"/>
    <n v="4"/>
    <n v="7638"/>
    <x v="0"/>
    <n v="5826"/>
    <n v="0.76276512175962297"/>
  </r>
  <r>
    <s v="P-0564"/>
    <x v="10"/>
    <x v="5"/>
    <x v="2"/>
    <x v="68"/>
    <x v="3"/>
    <x v="1"/>
    <x v="2"/>
    <n v="56"/>
    <n v="9977"/>
    <n v="23.30180137"/>
    <n v="0.2330180137"/>
    <n v="66"/>
    <d v="1899-12-30T01:06:00"/>
    <n v="2"/>
    <n v="38419"/>
    <x v="0"/>
    <n v="28442"/>
    <n v="0.74031078372680181"/>
  </r>
  <r>
    <s v="P-0565"/>
    <x v="1"/>
    <x v="2"/>
    <x v="2"/>
    <x v="13"/>
    <x v="1"/>
    <x v="2"/>
    <x v="5"/>
    <n v="53"/>
    <n v="4811"/>
    <n v="15.66057734"/>
    <n v="0.15660577340000001"/>
    <n v="90"/>
    <d v="1899-12-30T01:30:00"/>
    <n v="2"/>
    <n v="34377"/>
    <x v="0"/>
    <n v="29566"/>
    <n v="0.8600517788055968"/>
  </r>
  <r>
    <s v="P-0566"/>
    <x v="2"/>
    <x v="2"/>
    <x v="1"/>
    <x v="14"/>
    <x v="3"/>
    <x v="2"/>
    <x v="3"/>
    <n v="99"/>
    <n v="7814"/>
    <n v="8.1590964570000004"/>
    <n v="8.1590964570000007E-2"/>
    <n v="171"/>
    <d v="1899-12-30T02:51:00"/>
    <n v="4"/>
    <n v="41708"/>
    <x v="0"/>
    <n v="33894"/>
    <n v="0.81264985134746337"/>
  </r>
  <r>
    <s v="P-0567"/>
    <x v="6"/>
    <x v="3"/>
    <x v="2"/>
    <x v="70"/>
    <x v="2"/>
    <x v="0"/>
    <x v="0"/>
    <n v="94"/>
    <n v="2883"/>
    <n v="18.91798236"/>
    <n v="0.18917982359999999"/>
    <n v="178"/>
    <d v="1899-12-30T02:58:00"/>
    <n v="4"/>
    <n v="44116"/>
    <x v="0"/>
    <n v="41233"/>
    <n v="0.93464956025024937"/>
  </r>
  <r>
    <s v="P-0568"/>
    <x v="1"/>
    <x v="6"/>
    <x v="1"/>
    <x v="64"/>
    <x v="3"/>
    <x v="0"/>
    <x v="5"/>
    <n v="60"/>
    <n v="3739"/>
    <n v="20.865227010000002"/>
    <n v="0.20865227010000001"/>
    <n v="82"/>
    <d v="1899-12-30T01:22:00"/>
    <n v="2"/>
    <n v="37634"/>
    <x v="0"/>
    <n v="33895"/>
    <n v="0.90064834989637033"/>
  </r>
  <r>
    <s v="P-0569"/>
    <x v="0"/>
    <x v="6"/>
    <x v="1"/>
    <x v="29"/>
    <x v="0"/>
    <x v="1"/>
    <x v="4"/>
    <n v="78"/>
    <n v="2639"/>
    <n v="11.335233540000001"/>
    <n v="0.1133523354"/>
    <n v="150"/>
    <d v="1899-12-30T02:30:00"/>
    <n v="4"/>
    <n v="17755"/>
    <x v="0"/>
    <n v="15116"/>
    <n v="0.851365812447198"/>
  </r>
  <r>
    <s v="P-0570"/>
    <x v="0"/>
    <x v="7"/>
    <x v="0"/>
    <x v="75"/>
    <x v="2"/>
    <x v="3"/>
    <x v="3"/>
    <n v="85"/>
    <n v="2204"/>
    <n v="22.143585139999999"/>
    <n v="0.22143585139999999"/>
    <n v="79"/>
    <d v="1899-12-30T01:19:00"/>
    <n v="3"/>
    <n v="24382"/>
    <x v="1"/>
    <n v="22178"/>
    <n v="0.90960544664096465"/>
  </r>
  <r>
    <s v="P-0571"/>
    <x v="12"/>
    <x v="4"/>
    <x v="2"/>
    <x v="26"/>
    <x v="0"/>
    <x v="0"/>
    <x v="2"/>
    <n v="74"/>
    <n v="7424"/>
    <n v="23.122865099999999"/>
    <n v="0.23122865099999998"/>
    <n v="15"/>
    <d v="1899-12-30T00:15:00"/>
    <n v="4"/>
    <n v="23394"/>
    <x v="0"/>
    <n v="15970"/>
    <n v="0.68265367188167903"/>
  </r>
  <r>
    <s v="P-0572"/>
    <x v="4"/>
    <x v="4"/>
    <x v="2"/>
    <x v="50"/>
    <x v="1"/>
    <x v="0"/>
    <x v="3"/>
    <n v="70"/>
    <n v="862"/>
    <n v="10.538089749999999"/>
    <n v="0.10538089749999999"/>
    <n v="93"/>
    <d v="1899-12-30T01:33:00"/>
    <n v="4"/>
    <n v="3253"/>
    <x v="0"/>
    <n v="2391"/>
    <n v="0.73501383338456805"/>
  </r>
  <r>
    <s v="P-0573"/>
    <x v="13"/>
    <x v="2"/>
    <x v="1"/>
    <x v="24"/>
    <x v="2"/>
    <x v="3"/>
    <x v="2"/>
    <n v="85"/>
    <n v="3104"/>
    <n v="24.67042945"/>
    <n v="0.2467042945"/>
    <n v="61"/>
    <d v="1899-12-30T01:01:00"/>
    <n v="4"/>
    <n v="38710"/>
    <x v="0"/>
    <n v="35606"/>
    <n v="0.91981400154998705"/>
  </r>
  <r>
    <s v="P-0574"/>
    <x v="3"/>
    <x v="1"/>
    <x v="0"/>
    <x v="75"/>
    <x v="2"/>
    <x v="2"/>
    <x v="5"/>
    <n v="59"/>
    <n v="4786"/>
    <n v="7.8142305609999996"/>
    <n v="7.814230560999999E-2"/>
    <n v="12"/>
    <d v="1899-12-30T00:12:00"/>
    <n v="2"/>
    <n v="46098"/>
    <x v="0"/>
    <n v="41312"/>
    <n v="0.89617770836044952"/>
  </r>
  <r>
    <s v="P-0575"/>
    <x v="10"/>
    <x v="6"/>
    <x v="1"/>
    <x v="19"/>
    <x v="1"/>
    <x v="2"/>
    <x v="4"/>
    <n v="86"/>
    <n v="4238"/>
    <n v="9.0403133679999996"/>
    <n v="9.0403133679999997E-2"/>
    <n v="90"/>
    <d v="1899-12-30T01:30:00"/>
    <n v="3"/>
    <n v="1864"/>
    <x v="0"/>
    <n v="-2374"/>
    <n v="-1.2736051502145922"/>
  </r>
  <r>
    <s v="P-0576"/>
    <x v="5"/>
    <x v="3"/>
    <x v="1"/>
    <x v="38"/>
    <x v="1"/>
    <x v="2"/>
    <x v="2"/>
    <n v="58"/>
    <n v="2969"/>
    <n v="8.6844967850000003"/>
    <n v="8.684496785000001E-2"/>
    <n v="72"/>
    <d v="1899-12-30T01:12:00"/>
    <n v="1"/>
    <n v="35036"/>
    <x v="0"/>
    <n v="32067"/>
    <n v="0.91525859116337482"/>
  </r>
  <r>
    <s v="P-0577"/>
    <x v="3"/>
    <x v="1"/>
    <x v="1"/>
    <x v="40"/>
    <x v="3"/>
    <x v="1"/>
    <x v="0"/>
    <n v="73"/>
    <n v="5295"/>
    <n v="22.879794199999999"/>
    <n v="0.228797942"/>
    <n v="58"/>
    <d v="1899-12-30T00:58:00"/>
    <n v="1"/>
    <n v="41222"/>
    <x v="0"/>
    <n v="35927"/>
    <n v="0.87154917277182087"/>
  </r>
  <r>
    <s v="P-0578"/>
    <x v="12"/>
    <x v="4"/>
    <x v="2"/>
    <x v="20"/>
    <x v="2"/>
    <x v="1"/>
    <x v="0"/>
    <n v="84"/>
    <n v="6650"/>
    <n v="18.085851049999999"/>
    <n v="0.18085851049999999"/>
    <n v="85"/>
    <d v="1899-12-30T01:25:00"/>
    <n v="3"/>
    <n v="14666"/>
    <x v="0"/>
    <n v="8016"/>
    <n v="0.54657029864993867"/>
  </r>
  <r>
    <s v="P-0579"/>
    <x v="8"/>
    <x v="0"/>
    <x v="2"/>
    <x v="53"/>
    <x v="0"/>
    <x v="2"/>
    <x v="2"/>
    <n v="98"/>
    <n v="1056"/>
    <n v="8.042085664"/>
    <n v="8.0420856639999996E-2"/>
    <n v="121"/>
    <d v="1899-12-30T02:01:00"/>
    <n v="3"/>
    <n v="21955"/>
    <x v="0"/>
    <n v="20899"/>
    <n v="0.95190161694374853"/>
  </r>
  <r>
    <s v="P-0580"/>
    <x v="8"/>
    <x v="0"/>
    <x v="2"/>
    <x v="78"/>
    <x v="3"/>
    <x v="3"/>
    <x v="2"/>
    <n v="84"/>
    <n v="9517"/>
    <n v="13.806468369999999"/>
    <n v="0.1380646837"/>
    <n v="118"/>
    <d v="1899-12-30T01:58:00"/>
    <n v="3"/>
    <n v="46138"/>
    <x v="0"/>
    <n v="36621"/>
    <n v="0.7937275131128354"/>
  </r>
  <r>
    <s v="P-0581"/>
    <x v="8"/>
    <x v="6"/>
    <x v="2"/>
    <x v="86"/>
    <x v="1"/>
    <x v="2"/>
    <x v="1"/>
    <n v="97"/>
    <n v="3308"/>
    <n v="17.305960500000001"/>
    <n v="0.17305960500000001"/>
    <n v="74"/>
    <d v="1899-12-30T01:14:00"/>
    <n v="2"/>
    <n v="38997"/>
    <x v="0"/>
    <n v="35689"/>
    <n v="0.91517296202271969"/>
  </r>
  <r>
    <s v="P-0582"/>
    <x v="2"/>
    <x v="4"/>
    <x v="0"/>
    <x v="49"/>
    <x v="2"/>
    <x v="2"/>
    <x v="2"/>
    <n v="85"/>
    <n v="5650"/>
    <n v="6.6692817"/>
    <n v="6.6692817000000001E-2"/>
    <n v="90"/>
    <d v="1899-12-30T01:30:00"/>
    <n v="1"/>
    <n v="17309"/>
    <x v="0"/>
    <n v="11659"/>
    <n v="0.67358021838349991"/>
  </r>
  <r>
    <s v="P-0583"/>
    <x v="1"/>
    <x v="4"/>
    <x v="1"/>
    <x v="73"/>
    <x v="1"/>
    <x v="1"/>
    <x v="4"/>
    <n v="67"/>
    <n v="8061"/>
    <n v="22.648327370000001"/>
    <n v="0.22648327370000002"/>
    <n v="24"/>
    <d v="1899-12-30T00:24:00"/>
    <n v="3"/>
    <n v="5054"/>
    <x v="0"/>
    <n v="-3007"/>
    <n v="-0.59497427779976253"/>
  </r>
  <r>
    <s v="P-0584"/>
    <x v="6"/>
    <x v="1"/>
    <x v="0"/>
    <x v="44"/>
    <x v="0"/>
    <x v="3"/>
    <x v="2"/>
    <n v="98"/>
    <n v="3219"/>
    <n v="21.072070709999998"/>
    <n v="0.21072070709999999"/>
    <n v="109"/>
    <d v="1899-12-30T01:49:00"/>
    <n v="2"/>
    <n v="1935"/>
    <x v="0"/>
    <n v="-1284"/>
    <n v="-0.66356589147286826"/>
  </r>
  <r>
    <s v="P-0585"/>
    <x v="13"/>
    <x v="7"/>
    <x v="1"/>
    <x v="50"/>
    <x v="1"/>
    <x v="0"/>
    <x v="1"/>
    <n v="88"/>
    <n v="7006"/>
    <n v="15.104135469999999"/>
    <n v="0.15104135469999999"/>
    <n v="41"/>
    <d v="1899-12-30T00:41:00"/>
    <n v="1"/>
    <n v="45940"/>
    <x v="0"/>
    <n v="38934"/>
    <n v="0.84749673487157162"/>
  </r>
  <r>
    <s v="P-0586"/>
    <x v="4"/>
    <x v="3"/>
    <x v="1"/>
    <x v="44"/>
    <x v="0"/>
    <x v="3"/>
    <x v="0"/>
    <n v="81"/>
    <n v="4241"/>
    <n v="24.342532309999999"/>
    <n v="0.24342532309999998"/>
    <n v="105"/>
    <d v="1899-12-30T01:45:00"/>
    <n v="4"/>
    <n v="23778"/>
    <x v="0"/>
    <n v="19537"/>
    <n v="0.82164185381445032"/>
  </r>
  <r>
    <s v="P-0587"/>
    <x v="11"/>
    <x v="6"/>
    <x v="0"/>
    <x v="61"/>
    <x v="2"/>
    <x v="1"/>
    <x v="4"/>
    <n v="73"/>
    <n v="4498"/>
    <n v="13.355219590000001"/>
    <n v="0.1335521959"/>
    <n v="137"/>
    <d v="1899-12-30T02:17:00"/>
    <n v="2"/>
    <n v="44298"/>
    <x v="0"/>
    <n v="39800"/>
    <n v="0.89846042710731866"/>
  </r>
  <r>
    <s v="P-0588"/>
    <x v="2"/>
    <x v="7"/>
    <x v="0"/>
    <x v="75"/>
    <x v="2"/>
    <x v="0"/>
    <x v="1"/>
    <n v="72"/>
    <n v="2903"/>
    <n v="24.68220638"/>
    <n v="0.24682206379999999"/>
    <n v="155"/>
    <d v="1899-12-30T02:35:00"/>
    <n v="1"/>
    <n v="49328"/>
    <x v="0"/>
    <n v="46425"/>
    <n v="0.94114904313979886"/>
  </r>
  <r>
    <s v="P-0589"/>
    <x v="7"/>
    <x v="4"/>
    <x v="1"/>
    <x v="39"/>
    <x v="0"/>
    <x v="1"/>
    <x v="2"/>
    <n v="81"/>
    <n v="9280"/>
    <n v="18.358399980000002"/>
    <n v="0.18358399980000001"/>
    <n v="122"/>
    <d v="1899-12-30T02:02:00"/>
    <n v="2"/>
    <n v="49924"/>
    <x v="0"/>
    <n v="40644"/>
    <n v="0.81411745853697626"/>
  </r>
  <r>
    <s v="P-0590"/>
    <x v="7"/>
    <x v="6"/>
    <x v="2"/>
    <x v="19"/>
    <x v="1"/>
    <x v="2"/>
    <x v="5"/>
    <n v="86"/>
    <n v="794"/>
    <n v="17.693425470000001"/>
    <n v="0.17693425470000002"/>
    <n v="92"/>
    <d v="1899-12-30T01:32:00"/>
    <n v="1"/>
    <n v="17709"/>
    <x v="0"/>
    <n v="16915"/>
    <n v="0.95516404088316675"/>
  </r>
  <r>
    <s v="P-0591"/>
    <x v="11"/>
    <x v="2"/>
    <x v="2"/>
    <x v="33"/>
    <x v="3"/>
    <x v="0"/>
    <x v="5"/>
    <n v="61"/>
    <n v="5843"/>
    <n v="8.3190979059999997"/>
    <n v="8.3190979060000003E-2"/>
    <n v="52"/>
    <d v="1899-12-30T00:52:00"/>
    <n v="1"/>
    <n v="10726"/>
    <x v="0"/>
    <n v="4883"/>
    <n v="0.45524892783889614"/>
  </r>
  <r>
    <s v="P-0592"/>
    <x v="1"/>
    <x v="3"/>
    <x v="1"/>
    <x v="10"/>
    <x v="0"/>
    <x v="1"/>
    <x v="3"/>
    <n v="98"/>
    <n v="1636"/>
    <n v="22.63855517"/>
    <n v="0.22638555169999999"/>
    <n v="125"/>
    <d v="1899-12-30T02:05:00"/>
    <n v="4"/>
    <n v="41542"/>
    <x v="0"/>
    <n v="39906"/>
    <n v="0.96061816956333346"/>
  </r>
  <r>
    <s v="P-0593"/>
    <x v="3"/>
    <x v="6"/>
    <x v="1"/>
    <x v="65"/>
    <x v="2"/>
    <x v="2"/>
    <x v="0"/>
    <n v="62"/>
    <n v="2564"/>
    <n v="13.54979376"/>
    <n v="0.13549793760000001"/>
    <n v="172"/>
    <d v="1899-12-30T02:52:00"/>
    <n v="2"/>
    <n v="21245"/>
    <x v="0"/>
    <n v="18681"/>
    <n v="0.87931277947752418"/>
  </r>
  <r>
    <s v="P-0594"/>
    <x v="9"/>
    <x v="7"/>
    <x v="0"/>
    <x v="78"/>
    <x v="3"/>
    <x v="1"/>
    <x v="0"/>
    <n v="72"/>
    <n v="7509"/>
    <n v="8.2446681159999997"/>
    <n v="8.2446681159999993E-2"/>
    <n v="87"/>
    <d v="1899-12-30T01:27:00"/>
    <n v="3"/>
    <n v="35753"/>
    <x v="0"/>
    <n v="28244"/>
    <n v="0.7899756663776466"/>
  </r>
  <r>
    <s v="P-0595"/>
    <x v="0"/>
    <x v="4"/>
    <x v="0"/>
    <x v="61"/>
    <x v="2"/>
    <x v="3"/>
    <x v="1"/>
    <n v="74"/>
    <n v="5043"/>
    <n v="5.2521503999999997"/>
    <n v="5.2521503999999997E-2"/>
    <n v="67"/>
    <d v="1899-12-30T01:07:00"/>
    <n v="4"/>
    <n v="15252"/>
    <x v="0"/>
    <n v="10209"/>
    <n v="0.66935483870967738"/>
  </r>
  <r>
    <s v="P-0596"/>
    <x v="6"/>
    <x v="7"/>
    <x v="2"/>
    <x v="67"/>
    <x v="0"/>
    <x v="1"/>
    <x v="1"/>
    <n v="84"/>
    <n v="1507"/>
    <n v="16.195113670000001"/>
    <n v="0.16195113670000003"/>
    <n v="42"/>
    <d v="1899-12-30T00:42:00"/>
    <n v="4"/>
    <n v="22316"/>
    <x v="0"/>
    <n v="20809"/>
    <n v="0.93246997669833298"/>
  </r>
  <r>
    <s v="P-0597"/>
    <x v="12"/>
    <x v="0"/>
    <x v="2"/>
    <x v="66"/>
    <x v="1"/>
    <x v="3"/>
    <x v="3"/>
    <n v="90"/>
    <n v="5945"/>
    <n v="15.54799244"/>
    <n v="0.1554799244"/>
    <n v="23"/>
    <d v="1899-12-30T00:23:00"/>
    <n v="1"/>
    <n v="38371"/>
    <x v="0"/>
    <n v="32426"/>
    <n v="0.84506528367777745"/>
  </r>
  <r>
    <s v="P-0598"/>
    <x v="2"/>
    <x v="0"/>
    <x v="0"/>
    <x v="53"/>
    <x v="0"/>
    <x v="1"/>
    <x v="2"/>
    <n v="79"/>
    <n v="5852"/>
    <n v="19.387072450000002"/>
    <n v="0.19387072450000001"/>
    <n v="171"/>
    <d v="1899-12-30T02:51:00"/>
    <n v="3"/>
    <n v="20162"/>
    <x v="0"/>
    <n v="14310"/>
    <n v="0.70975101676420993"/>
  </r>
  <r>
    <s v="P-0599"/>
    <x v="4"/>
    <x v="7"/>
    <x v="2"/>
    <x v="82"/>
    <x v="2"/>
    <x v="2"/>
    <x v="2"/>
    <n v="66"/>
    <n v="9939"/>
    <n v="22.80516106"/>
    <n v="0.22805161060000001"/>
    <n v="141"/>
    <d v="1899-12-30T02:21:00"/>
    <n v="2"/>
    <n v="16960"/>
    <x v="0"/>
    <n v="7021"/>
    <n v="0.41397405660377357"/>
  </r>
  <r>
    <s v="P-0600"/>
    <x v="0"/>
    <x v="0"/>
    <x v="2"/>
    <x v="65"/>
    <x v="2"/>
    <x v="3"/>
    <x v="1"/>
    <n v="98"/>
    <n v="1935"/>
    <n v="6.5881316930000002"/>
    <n v="6.5881316930000003E-2"/>
    <n v="68"/>
    <d v="1899-12-30T01:08:00"/>
    <n v="3"/>
    <n v="31791"/>
    <x v="0"/>
    <n v="29856"/>
    <n v="0.93913371708974236"/>
  </r>
  <r>
    <s v="P-0601"/>
    <x v="7"/>
    <x v="0"/>
    <x v="0"/>
    <x v="2"/>
    <x v="2"/>
    <x v="3"/>
    <x v="3"/>
    <n v="69"/>
    <n v="1071"/>
    <n v="19.62992981"/>
    <n v="0.19629929809999999"/>
    <n v="166"/>
    <d v="1899-12-30T02:46:00"/>
    <n v="3"/>
    <n v="43230"/>
    <x v="1"/>
    <n v="42159"/>
    <n v="0.97522553782095767"/>
  </r>
  <r>
    <s v="P-0602"/>
    <x v="9"/>
    <x v="7"/>
    <x v="2"/>
    <x v="20"/>
    <x v="2"/>
    <x v="2"/>
    <x v="2"/>
    <n v="97"/>
    <n v="2882"/>
    <n v="8.7482388820000008"/>
    <n v="8.7482388820000007E-2"/>
    <n v="92"/>
    <d v="1899-12-30T01:32:00"/>
    <n v="3"/>
    <n v="26216"/>
    <x v="0"/>
    <n v="23334"/>
    <n v="0.89006713457430575"/>
  </r>
  <r>
    <s v="P-0603"/>
    <x v="4"/>
    <x v="1"/>
    <x v="0"/>
    <x v="40"/>
    <x v="3"/>
    <x v="3"/>
    <x v="4"/>
    <n v="74"/>
    <n v="9937"/>
    <n v="22.16354106"/>
    <n v="0.2216354106"/>
    <n v="143"/>
    <d v="1899-12-30T02:23:00"/>
    <n v="3"/>
    <n v="33467"/>
    <x v="0"/>
    <n v="23530"/>
    <n v="0.70308064660710545"/>
  </r>
  <r>
    <s v="P-0604"/>
    <x v="12"/>
    <x v="7"/>
    <x v="1"/>
    <x v="28"/>
    <x v="2"/>
    <x v="1"/>
    <x v="5"/>
    <n v="71"/>
    <n v="5584"/>
    <n v="21.381270279999999"/>
    <n v="0.21381270279999998"/>
    <n v="130"/>
    <d v="1899-12-30T02:10:00"/>
    <n v="3"/>
    <n v="47934"/>
    <x v="0"/>
    <n v="42350"/>
    <n v="0.88350648808778742"/>
  </r>
  <r>
    <s v="P-0605"/>
    <x v="13"/>
    <x v="7"/>
    <x v="2"/>
    <x v="77"/>
    <x v="3"/>
    <x v="1"/>
    <x v="4"/>
    <n v="62"/>
    <n v="777"/>
    <n v="15.8158751"/>
    <n v="0.15815875099999999"/>
    <n v="177"/>
    <d v="1899-12-30T02:57:00"/>
    <n v="1"/>
    <n v="8754"/>
    <x v="0"/>
    <n v="7977"/>
    <n v="0.91124057573680606"/>
  </r>
  <r>
    <s v="P-0606"/>
    <x v="13"/>
    <x v="1"/>
    <x v="0"/>
    <x v="16"/>
    <x v="1"/>
    <x v="3"/>
    <x v="4"/>
    <n v="68"/>
    <n v="7559"/>
    <n v="19.204855970000001"/>
    <n v="0.19204855970000001"/>
    <n v="92"/>
    <d v="1899-12-30T01:32:00"/>
    <n v="1"/>
    <n v="48014"/>
    <x v="0"/>
    <n v="40455"/>
    <n v="0.84256675136418546"/>
  </r>
  <r>
    <s v="P-0607"/>
    <x v="13"/>
    <x v="3"/>
    <x v="2"/>
    <x v="13"/>
    <x v="1"/>
    <x v="1"/>
    <x v="2"/>
    <n v="98"/>
    <n v="2387"/>
    <n v="11.28700226"/>
    <n v="0.11287002259999999"/>
    <n v="36"/>
    <d v="1899-12-30T00:36:00"/>
    <n v="4"/>
    <n v="5078"/>
    <x v="0"/>
    <n v="2691"/>
    <n v="0.52993304450571088"/>
  </r>
  <r>
    <s v="P-0608"/>
    <x v="11"/>
    <x v="7"/>
    <x v="1"/>
    <x v="35"/>
    <x v="2"/>
    <x v="3"/>
    <x v="1"/>
    <n v="85"/>
    <n v="1765"/>
    <n v="14.42335798"/>
    <n v="0.14423357980000001"/>
    <n v="89"/>
    <d v="1899-12-30T01:29:00"/>
    <n v="1"/>
    <n v="13853"/>
    <x v="0"/>
    <n v="12088"/>
    <n v="0.87259077456146683"/>
  </r>
  <r>
    <s v="P-0609"/>
    <x v="13"/>
    <x v="7"/>
    <x v="1"/>
    <x v="18"/>
    <x v="3"/>
    <x v="0"/>
    <x v="5"/>
    <n v="61"/>
    <n v="7991"/>
    <n v="21.43273795"/>
    <n v="0.2143273795"/>
    <n v="143"/>
    <d v="1899-12-30T02:23:00"/>
    <n v="4"/>
    <n v="5042"/>
    <x v="0"/>
    <n v="-2949"/>
    <n v="-0.58488694962316545"/>
  </r>
  <r>
    <s v="P-0610"/>
    <x v="11"/>
    <x v="4"/>
    <x v="1"/>
    <x v="83"/>
    <x v="3"/>
    <x v="1"/>
    <x v="1"/>
    <n v="90"/>
    <n v="1540"/>
    <n v="14.185303940000001"/>
    <n v="0.14185303940000002"/>
    <n v="22"/>
    <d v="1899-12-30T00:22:00"/>
    <n v="4"/>
    <n v="15389"/>
    <x v="0"/>
    <n v="13849"/>
    <n v="0.89992852037169402"/>
  </r>
  <r>
    <s v="P-0611"/>
    <x v="12"/>
    <x v="1"/>
    <x v="0"/>
    <x v="14"/>
    <x v="3"/>
    <x v="3"/>
    <x v="2"/>
    <n v="68"/>
    <n v="9609"/>
    <n v="12.155965309999999"/>
    <n v="0.1215596531"/>
    <n v="73"/>
    <d v="1899-12-30T01:13:00"/>
    <n v="2"/>
    <n v="31425"/>
    <x v="0"/>
    <n v="21816"/>
    <n v="0.69422434367541763"/>
  </r>
  <r>
    <s v="P-0612"/>
    <x v="5"/>
    <x v="5"/>
    <x v="0"/>
    <x v="70"/>
    <x v="2"/>
    <x v="1"/>
    <x v="3"/>
    <n v="61"/>
    <n v="8573"/>
    <n v="14.88424895"/>
    <n v="0.14884248950000001"/>
    <n v="156"/>
    <d v="1899-12-30T02:36:00"/>
    <n v="3"/>
    <n v="3575"/>
    <x v="1"/>
    <n v="-4998"/>
    <n v="-1.3980419580419581"/>
  </r>
  <r>
    <s v="P-0613"/>
    <x v="6"/>
    <x v="4"/>
    <x v="1"/>
    <x v="32"/>
    <x v="1"/>
    <x v="0"/>
    <x v="5"/>
    <n v="58"/>
    <n v="9577"/>
    <n v="21.564985050000001"/>
    <n v="0.21564985050000002"/>
    <n v="89"/>
    <d v="1899-12-30T01:29:00"/>
    <n v="1"/>
    <n v="40522"/>
    <x v="0"/>
    <n v="30945"/>
    <n v="0.76365924682888309"/>
  </r>
  <r>
    <s v="P-0614"/>
    <x v="9"/>
    <x v="5"/>
    <x v="2"/>
    <x v="10"/>
    <x v="0"/>
    <x v="0"/>
    <x v="5"/>
    <n v="56"/>
    <n v="3252"/>
    <n v="11.70416095"/>
    <n v="0.1170416095"/>
    <n v="132"/>
    <d v="1899-12-30T02:12:00"/>
    <n v="2"/>
    <n v="29179"/>
    <x v="0"/>
    <n v="25927"/>
    <n v="0.88854998457794987"/>
  </r>
  <r>
    <s v="P-0615"/>
    <x v="9"/>
    <x v="1"/>
    <x v="2"/>
    <x v="83"/>
    <x v="3"/>
    <x v="1"/>
    <x v="1"/>
    <n v="77"/>
    <n v="8713"/>
    <n v="8.4752318629999994"/>
    <n v="8.475231862999999E-2"/>
    <n v="52"/>
    <d v="1899-12-30T00:52:00"/>
    <n v="1"/>
    <n v="35754"/>
    <x v="0"/>
    <n v="27041"/>
    <n v="0.75630698663086648"/>
  </r>
  <r>
    <s v="P-0616"/>
    <x v="6"/>
    <x v="7"/>
    <x v="1"/>
    <x v="12"/>
    <x v="3"/>
    <x v="0"/>
    <x v="0"/>
    <n v="63"/>
    <n v="5069"/>
    <n v="19.24028041"/>
    <n v="0.19240280409999999"/>
    <n v="98"/>
    <d v="1899-12-30T01:38:00"/>
    <n v="4"/>
    <n v="19624"/>
    <x v="0"/>
    <n v="14555"/>
    <n v="0.74169384427231966"/>
  </r>
  <r>
    <s v="P-0617"/>
    <x v="13"/>
    <x v="2"/>
    <x v="1"/>
    <x v="20"/>
    <x v="2"/>
    <x v="1"/>
    <x v="4"/>
    <n v="80"/>
    <n v="6853"/>
    <n v="21.519564249999998"/>
    <n v="0.21519564249999998"/>
    <n v="157"/>
    <d v="1899-12-30T02:37:00"/>
    <n v="1"/>
    <n v="21350"/>
    <x v="0"/>
    <n v="14497"/>
    <n v="0.67901639344262299"/>
  </r>
  <r>
    <s v="P-0618"/>
    <x v="3"/>
    <x v="0"/>
    <x v="2"/>
    <x v="59"/>
    <x v="0"/>
    <x v="2"/>
    <x v="5"/>
    <n v="68"/>
    <n v="2853"/>
    <n v="7.0127495700000004"/>
    <n v="7.01274957E-2"/>
    <n v="104"/>
    <d v="1899-12-30T01:44:00"/>
    <n v="3"/>
    <n v="27681"/>
    <x v="0"/>
    <n v="24828"/>
    <n v="0.89693291427332833"/>
  </r>
  <r>
    <s v="P-0619"/>
    <x v="7"/>
    <x v="1"/>
    <x v="1"/>
    <x v="20"/>
    <x v="2"/>
    <x v="2"/>
    <x v="1"/>
    <n v="96"/>
    <n v="7937"/>
    <n v="9.7974822550000003"/>
    <n v="9.7974822550000007E-2"/>
    <n v="160"/>
    <d v="1899-12-30T02:40:00"/>
    <n v="4"/>
    <n v="24988"/>
    <x v="0"/>
    <n v="17051"/>
    <n v="0.68236753641748038"/>
  </r>
  <r>
    <s v="P-0620"/>
    <x v="4"/>
    <x v="0"/>
    <x v="2"/>
    <x v="85"/>
    <x v="1"/>
    <x v="0"/>
    <x v="4"/>
    <n v="65"/>
    <n v="5299"/>
    <n v="7.8394397949999997"/>
    <n v="7.839439795E-2"/>
    <n v="11"/>
    <d v="1899-12-30T00:11:00"/>
    <n v="4"/>
    <n v="16470"/>
    <x v="0"/>
    <n v="11171"/>
    <n v="0.6782635094110504"/>
  </r>
  <r>
    <s v="P-0621"/>
    <x v="10"/>
    <x v="1"/>
    <x v="1"/>
    <x v="81"/>
    <x v="2"/>
    <x v="1"/>
    <x v="4"/>
    <n v="54"/>
    <n v="1186"/>
    <n v="11.95882823"/>
    <n v="0.1195882823"/>
    <n v="129"/>
    <d v="1899-12-30T02:09:00"/>
    <n v="2"/>
    <n v="25704"/>
    <x v="0"/>
    <n v="24518"/>
    <n v="0.95385932150638031"/>
  </r>
  <r>
    <s v="P-0622"/>
    <x v="4"/>
    <x v="0"/>
    <x v="2"/>
    <x v="46"/>
    <x v="0"/>
    <x v="2"/>
    <x v="3"/>
    <n v="84"/>
    <n v="8976"/>
    <n v="14.00701958"/>
    <n v="0.14007019579999999"/>
    <n v="31"/>
    <d v="1899-12-30T00:31:00"/>
    <n v="3"/>
    <n v="39736"/>
    <x v="0"/>
    <n v="30760"/>
    <n v="0.7741091201932756"/>
  </r>
  <r>
    <s v="P-0623"/>
    <x v="10"/>
    <x v="1"/>
    <x v="1"/>
    <x v="81"/>
    <x v="2"/>
    <x v="3"/>
    <x v="1"/>
    <n v="61"/>
    <n v="5311"/>
    <n v="19.976526740000001"/>
    <n v="0.1997652674"/>
    <n v="124"/>
    <d v="1899-12-30T02:04:00"/>
    <n v="4"/>
    <n v="30377"/>
    <x v="0"/>
    <n v="25066"/>
    <n v="0.82516377522467654"/>
  </r>
  <r>
    <s v="P-0624"/>
    <x v="0"/>
    <x v="1"/>
    <x v="2"/>
    <x v="83"/>
    <x v="3"/>
    <x v="3"/>
    <x v="0"/>
    <n v="74"/>
    <n v="9454"/>
    <n v="18.0229517"/>
    <n v="0.18022951700000001"/>
    <n v="66"/>
    <d v="1899-12-30T01:06:00"/>
    <n v="3"/>
    <n v="29572"/>
    <x v="0"/>
    <n v="20118"/>
    <n v="0.68030569457595025"/>
  </r>
  <r>
    <s v="P-0625"/>
    <x v="0"/>
    <x v="7"/>
    <x v="1"/>
    <x v="24"/>
    <x v="2"/>
    <x v="3"/>
    <x v="0"/>
    <n v="70"/>
    <n v="5846"/>
    <n v="17.418571350000001"/>
    <n v="0.17418571350000001"/>
    <n v="81"/>
    <d v="1899-12-30T01:21:00"/>
    <n v="1"/>
    <n v="8493"/>
    <x v="0"/>
    <n v="2647"/>
    <n v="0.31166843282703405"/>
  </r>
  <r>
    <s v="P-0626"/>
    <x v="9"/>
    <x v="6"/>
    <x v="0"/>
    <x v="20"/>
    <x v="2"/>
    <x v="1"/>
    <x v="3"/>
    <n v="85"/>
    <n v="5543"/>
    <n v="12.04749893"/>
    <n v="0.1204749893"/>
    <n v="16"/>
    <d v="1899-12-30T00:16:00"/>
    <n v="3"/>
    <n v="5103"/>
    <x v="1"/>
    <n v="-440"/>
    <n v="-8.6223789927493633E-2"/>
  </r>
  <r>
    <s v="P-0627"/>
    <x v="2"/>
    <x v="5"/>
    <x v="1"/>
    <x v="10"/>
    <x v="0"/>
    <x v="0"/>
    <x v="2"/>
    <n v="72"/>
    <n v="2928"/>
    <n v="21.828951060000001"/>
    <n v="0.21828951060000001"/>
    <n v="128"/>
    <d v="1899-12-30T02:08:00"/>
    <n v="4"/>
    <n v="35844"/>
    <x v="0"/>
    <n v="32916"/>
    <n v="0.91831268831603619"/>
  </r>
  <r>
    <s v="P-0628"/>
    <x v="9"/>
    <x v="2"/>
    <x v="2"/>
    <x v="33"/>
    <x v="3"/>
    <x v="1"/>
    <x v="3"/>
    <n v="65"/>
    <n v="5626"/>
    <n v="14.425743349999999"/>
    <n v="0.1442574335"/>
    <n v="123"/>
    <d v="1899-12-30T02:03:00"/>
    <n v="2"/>
    <n v="3994"/>
    <x v="0"/>
    <n v="-1632"/>
    <n v="-0.40861291937906863"/>
  </r>
  <r>
    <s v="P-0629"/>
    <x v="3"/>
    <x v="3"/>
    <x v="2"/>
    <x v="6"/>
    <x v="2"/>
    <x v="0"/>
    <x v="2"/>
    <n v="88"/>
    <n v="8720"/>
    <n v="24.582098760000001"/>
    <n v="0.24582098760000001"/>
    <n v="25"/>
    <d v="1899-12-30T00:25:00"/>
    <n v="4"/>
    <n v="4744"/>
    <x v="0"/>
    <n v="-3976"/>
    <n v="-0.83811129848229338"/>
  </r>
  <r>
    <s v="P-0630"/>
    <x v="14"/>
    <x v="5"/>
    <x v="1"/>
    <x v="76"/>
    <x v="2"/>
    <x v="1"/>
    <x v="1"/>
    <n v="94"/>
    <n v="9598"/>
    <n v="17.682842770000001"/>
    <n v="0.17682842770000001"/>
    <n v="92"/>
    <d v="1899-12-30T01:32:00"/>
    <n v="3"/>
    <n v="48234"/>
    <x v="0"/>
    <n v="38636"/>
    <n v="0.80101173446116847"/>
  </r>
  <r>
    <s v="P-0631"/>
    <x v="10"/>
    <x v="3"/>
    <x v="0"/>
    <x v="65"/>
    <x v="2"/>
    <x v="1"/>
    <x v="0"/>
    <n v="91"/>
    <n v="8313"/>
    <n v="7.5252948310000001"/>
    <n v="7.5252948309999998E-2"/>
    <n v="81"/>
    <d v="1899-12-30T01:21:00"/>
    <n v="3"/>
    <n v="48291"/>
    <x v="0"/>
    <n v="39978"/>
    <n v="0.827856122258806"/>
  </r>
  <r>
    <s v="P-0632"/>
    <x v="9"/>
    <x v="2"/>
    <x v="1"/>
    <x v="21"/>
    <x v="1"/>
    <x v="1"/>
    <x v="4"/>
    <n v="88"/>
    <n v="3856"/>
    <n v="18.52355124"/>
    <n v="0.1852355124"/>
    <n v="133"/>
    <d v="1899-12-30T02:13:00"/>
    <n v="4"/>
    <n v="28332"/>
    <x v="0"/>
    <n v="24476"/>
    <n v="0.86389947762247632"/>
  </r>
  <r>
    <s v="P-0633"/>
    <x v="11"/>
    <x v="3"/>
    <x v="2"/>
    <x v="48"/>
    <x v="2"/>
    <x v="2"/>
    <x v="1"/>
    <n v="63"/>
    <n v="9207"/>
    <n v="11.50208031"/>
    <n v="0.1150208031"/>
    <n v="122"/>
    <d v="1899-12-30T02:02:00"/>
    <n v="3"/>
    <n v="6594"/>
    <x v="0"/>
    <n v="-2613"/>
    <n v="-0.39626933575978163"/>
  </r>
  <r>
    <s v="P-0634"/>
    <x v="5"/>
    <x v="7"/>
    <x v="2"/>
    <x v="71"/>
    <x v="2"/>
    <x v="3"/>
    <x v="5"/>
    <n v="80"/>
    <n v="7766"/>
    <n v="18.726543929999998"/>
    <n v="0.18726543929999998"/>
    <n v="21"/>
    <d v="1899-12-30T00:21:00"/>
    <n v="1"/>
    <n v="41299"/>
    <x v="0"/>
    <n v="33533"/>
    <n v="0.81195670597351022"/>
  </r>
  <r>
    <s v="P-0635"/>
    <x v="4"/>
    <x v="1"/>
    <x v="1"/>
    <x v="70"/>
    <x v="2"/>
    <x v="3"/>
    <x v="2"/>
    <n v="54"/>
    <n v="7040"/>
    <n v="6.3928229630000004"/>
    <n v="6.392822963E-2"/>
    <n v="135"/>
    <d v="1899-12-30T02:15:00"/>
    <n v="4"/>
    <n v="8371"/>
    <x v="0"/>
    <n v="1331"/>
    <n v="0.15900131406044679"/>
  </r>
  <r>
    <s v="P-0636"/>
    <x v="13"/>
    <x v="1"/>
    <x v="1"/>
    <x v="9"/>
    <x v="2"/>
    <x v="1"/>
    <x v="1"/>
    <n v="84"/>
    <n v="538"/>
    <n v="8.497628744"/>
    <n v="8.4976287440000006E-2"/>
    <n v="62"/>
    <d v="1899-12-30T01:02:00"/>
    <n v="2"/>
    <n v="48315"/>
    <x v="0"/>
    <n v="47777"/>
    <n v="0.98886474179861328"/>
  </r>
  <r>
    <s v="P-0637"/>
    <x v="5"/>
    <x v="6"/>
    <x v="1"/>
    <x v="11"/>
    <x v="3"/>
    <x v="3"/>
    <x v="0"/>
    <n v="72"/>
    <n v="3842"/>
    <n v="22.11474518"/>
    <n v="0.22114745180000001"/>
    <n v="84"/>
    <d v="1899-12-30T01:24:00"/>
    <n v="4"/>
    <n v="19028"/>
    <x v="0"/>
    <n v="15186"/>
    <n v="0.7980870296405298"/>
  </r>
  <r>
    <s v="P-0638"/>
    <x v="11"/>
    <x v="6"/>
    <x v="2"/>
    <x v="62"/>
    <x v="1"/>
    <x v="3"/>
    <x v="4"/>
    <n v="78"/>
    <n v="9578"/>
    <n v="9.5435911400000002"/>
    <n v="9.5435911400000004E-2"/>
    <n v="142"/>
    <d v="1899-12-30T02:22:00"/>
    <n v="1"/>
    <n v="36912"/>
    <x v="0"/>
    <n v="27334"/>
    <n v="0.74051798872995234"/>
  </r>
  <r>
    <s v="P-0639"/>
    <x v="2"/>
    <x v="3"/>
    <x v="1"/>
    <x v="82"/>
    <x v="2"/>
    <x v="0"/>
    <x v="3"/>
    <n v="92"/>
    <n v="3344"/>
    <n v="21.7408225"/>
    <n v="0.21740822500000001"/>
    <n v="36"/>
    <d v="1899-12-30T00:36:00"/>
    <n v="1"/>
    <n v="14990"/>
    <x v="0"/>
    <n v="11646"/>
    <n v="0.77691794529686453"/>
  </r>
  <r>
    <s v="P-0640"/>
    <x v="11"/>
    <x v="4"/>
    <x v="2"/>
    <x v="89"/>
    <x v="1"/>
    <x v="2"/>
    <x v="4"/>
    <n v="60"/>
    <n v="1598"/>
    <n v="10.58552177"/>
    <n v="0.1058552177"/>
    <n v="149"/>
    <d v="1899-12-30T02:29:00"/>
    <n v="1"/>
    <n v="47851"/>
    <x v="0"/>
    <n v="46253"/>
    <n v="0.96660466865896222"/>
  </r>
  <r>
    <s v="P-0641"/>
    <x v="1"/>
    <x v="5"/>
    <x v="1"/>
    <x v="39"/>
    <x v="0"/>
    <x v="3"/>
    <x v="3"/>
    <n v="67"/>
    <n v="7527"/>
    <n v="17.8576382"/>
    <n v="0.17857638200000001"/>
    <n v="154"/>
    <d v="1899-12-30T02:34:00"/>
    <n v="1"/>
    <n v="17626"/>
    <x v="0"/>
    <n v="10099"/>
    <n v="0.57296039940996257"/>
  </r>
  <r>
    <s v="P-0642"/>
    <x v="6"/>
    <x v="1"/>
    <x v="2"/>
    <x v="69"/>
    <x v="0"/>
    <x v="1"/>
    <x v="5"/>
    <n v="96"/>
    <n v="2323"/>
    <n v="18.88301147"/>
    <n v="0.1888301147"/>
    <n v="143"/>
    <d v="1899-12-30T02:23:00"/>
    <n v="1"/>
    <n v="21469"/>
    <x v="0"/>
    <n v="19146"/>
    <n v="0.89179747542968935"/>
  </r>
  <r>
    <s v="P-0643"/>
    <x v="8"/>
    <x v="2"/>
    <x v="0"/>
    <x v="70"/>
    <x v="2"/>
    <x v="1"/>
    <x v="1"/>
    <n v="61"/>
    <n v="3655"/>
    <n v="15.25309506"/>
    <n v="0.15253095059999999"/>
    <n v="106"/>
    <d v="1899-12-30T01:46:00"/>
    <n v="2"/>
    <n v="41722"/>
    <x v="0"/>
    <n v="38067"/>
    <n v="0.91239633766358275"/>
  </r>
  <r>
    <s v="P-0644"/>
    <x v="4"/>
    <x v="0"/>
    <x v="2"/>
    <x v="74"/>
    <x v="1"/>
    <x v="0"/>
    <x v="0"/>
    <n v="58"/>
    <n v="3593"/>
    <n v="11.10621353"/>
    <n v="0.1110621353"/>
    <n v="14"/>
    <d v="1899-12-30T00:14:00"/>
    <n v="3"/>
    <n v="41037"/>
    <x v="0"/>
    <n v="37444"/>
    <n v="0.91244486682749715"/>
  </r>
  <r>
    <s v="P-0645"/>
    <x v="13"/>
    <x v="6"/>
    <x v="0"/>
    <x v="7"/>
    <x v="3"/>
    <x v="3"/>
    <x v="5"/>
    <n v="59"/>
    <n v="6158"/>
    <n v="9.2528875270000004"/>
    <n v="9.2528875270000005E-2"/>
    <n v="66"/>
    <d v="1899-12-30T01:06:00"/>
    <n v="1"/>
    <n v="8130"/>
    <x v="0"/>
    <n v="1972"/>
    <n v="0.24255842558425583"/>
  </r>
  <r>
    <s v="P-0646"/>
    <x v="9"/>
    <x v="2"/>
    <x v="2"/>
    <x v="21"/>
    <x v="1"/>
    <x v="1"/>
    <x v="1"/>
    <n v="93"/>
    <n v="4278"/>
    <n v="5.6637870909999997"/>
    <n v="5.6637870909999999E-2"/>
    <n v="165"/>
    <d v="1899-12-30T02:45:00"/>
    <n v="1"/>
    <n v="7828"/>
    <x v="0"/>
    <n v="3550"/>
    <n v="0.45350025549310169"/>
  </r>
  <r>
    <s v="P-0647"/>
    <x v="9"/>
    <x v="3"/>
    <x v="0"/>
    <x v="6"/>
    <x v="2"/>
    <x v="1"/>
    <x v="3"/>
    <n v="66"/>
    <n v="3396"/>
    <n v="11.078928019999999"/>
    <n v="0.11078928019999999"/>
    <n v="87"/>
    <d v="1899-12-30T01:27:00"/>
    <n v="4"/>
    <n v="42612"/>
    <x v="1"/>
    <n v="39216"/>
    <n v="0.92030413967896363"/>
  </r>
  <r>
    <s v="P-0648"/>
    <x v="9"/>
    <x v="5"/>
    <x v="1"/>
    <x v="70"/>
    <x v="2"/>
    <x v="2"/>
    <x v="0"/>
    <n v="87"/>
    <n v="1488"/>
    <n v="18.063255810000001"/>
    <n v="0.18063255810000001"/>
    <n v="78"/>
    <d v="1899-12-30T01:18:00"/>
    <n v="2"/>
    <n v="47988"/>
    <x v="0"/>
    <n v="46500"/>
    <n v="0.96899224806201545"/>
  </r>
  <r>
    <s v="P-0649"/>
    <x v="10"/>
    <x v="1"/>
    <x v="2"/>
    <x v="72"/>
    <x v="1"/>
    <x v="3"/>
    <x v="0"/>
    <n v="56"/>
    <n v="4616"/>
    <n v="23.76609637"/>
    <n v="0.23766096370000001"/>
    <n v="127"/>
    <d v="1899-12-30T02:07:00"/>
    <n v="2"/>
    <n v="40099"/>
    <x v="0"/>
    <n v="35483"/>
    <n v="0.88488490984812584"/>
  </r>
  <r>
    <s v="P-0650"/>
    <x v="4"/>
    <x v="3"/>
    <x v="0"/>
    <x v="67"/>
    <x v="0"/>
    <x v="2"/>
    <x v="2"/>
    <n v="95"/>
    <n v="6946"/>
    <n v="22.424089649999999"/>
    <n v="0.22424089649999998"/>
    <n v="129"/>
    <d v="1899-12-30T02:09:00"/>
    <n v="3"/>
    <n v="47165"/>
    <x v="0"/>
    <n v="40219"/>
    <n v="0.85272977843740061"/>
  </r>
  <r>
    <s v="P-0651"/>
    <x v="2"/>
    <x v="4"/>
    <x v="0"/>
    <x v="1"/>
    <x v="1"/>
    <x v="2"/>
    <x v="3"/>
    <n v="62"/>
    <n v="4679"/>
    <n v="20.32129553"/>
    <n v="0.2032129553"/>
    <n v="68"/>
    <d v="1899-12-30T01:08:00"/>
    <n v="2"/>
    <n v="18883"/>
    <x v="1"/>
    <n v="14204"/>
    <n v="0.75221098342424408"/>
  </r>
  <r>
    <s v="P-0652"/>
    <x v="3"/>
    <x v="6"/>
    <x v="0"/>
    <x v="51"/>
    <x v="3"/>
    <x v="3"/>
    <x v="4"/>
    <n v="89"/>
    <n v="2182"/>
    <n v="20.768946870000001"/>
    <n v="0.20768946870000002"/>
    <n v="42"/>
    <d v="1899-12-30T00:42:00"/>
    <n v="4"/>
    <n v="44059"/>
    <x v="0"/>
    <n v="41877"/>
    <n v="0.95047549876302229"/>
  </r>
  <r>
    <s v="P-0653"/>
    <x v="1"/>
    <x v="1"/>
    <x v="2"/>
    <x v="75"/>
    <x v="2"/>
    <x v="2"/>
    <x v="4"/>
    <n v="91"/>
    <n v="6126"/>
    <n v="18.299698070000002"/>
    <n v="0.18299698070000001"/>
    <n v="71"/>
    <d v="1899-12-30T01:11:00"/>
    <n v="4"/>
    <n v="19542"/>
    <x v="0"/>
    <n v="13416"/>
    <n v="0.68652133865520415"/>
  </r>
  <r>
    <s v="P-0654"/>
    <x v="14"/>
    <x v="6"/>
    <x v="1"/>
    <x v="70"/>
    <x v="2"/>
    <x v="3"/>
    <x v="2"/>
    <n v="58"/>
    <n v="7924"/>
    <n v="10.205737149999999"/>
    <n v="0.10205737149999999"/>
    <n v="59"/>
    <d v="1899-12-30T00:59:00"/>
    <n v="3"/>
    <n v="43932"/>
    <x v="0"/>
    <n v="36008"/>
    <n v="0.81963033779477379"/>
  </r>
  <r>
    <s v="P-0655"/>
    <x v="0"/>
    <x v="2"/>
    <x v="1"/>
    <x v="4"/>
    <x v="2"/>
    <x v="3"/>
    <x v="4"/>
    <n v="99"/>
    <n v="1433"/>
    <n v="23.143900609999999"/>
    <n v="0.23143900609999998"/>
    <n v="121"/>
    <d v="1899-12-30T02:01:00"/>
    <n v="4"/>
    <n v="11450"/>
    <x v="0"/>
    <n v="10017"/>
    <n v="0.87484716157205245"/>
  </r>
  <r>
    <s v="P-0656"/>
    <x v="0"/>
    <x v="2"/>
    <x v="2"/>
    <x v="69"/>
    <x v="0"/>
    <x v="3"/>
    <x v="0"/>
    <n v="76"/>
    <n v="4098"/>
    <n v="18.41464624"/>
    <n v="0.18414646239999999"/>
    <n v="28"/>
    <d v="1899-12-30T00:28:00"/>
    <n v="1"/>
    <n v="21423"/>
    <x v="0"/>
    <n v="17325"/>
    <n v="0.80871026466881391"/>
  </r>
  <r>
    <s v="P-0657"/>
    <x v="12"/>
    <x v="4"/>
    <x v="2"/>
    <x v="19"/>
    <x v="1"/>
    <x v="2"/>
    <x v="1"/>
    <n v="51"/>
    <n v="2480"/>
    <n v="16.20881262"/>
    <n v="0.16208812619999999"/>
    <n v="132"/>
    <d v="1899-12-30T02:12:00"/>
    <n v="1"/>
    <n v="3035"/>
    <x v="0"/>
    <n v="555"/>
    <n v="0.18286655683690281"/>
  </r>
  <r>
    <s v="P-0658"/>
    <x v="4"/>
    <x v="0"/>
    <x v="2"/>
    <x v="82"/>
    <x v="2"/>
    <x v="3"/>
    <x v="2"/>
    <n v="54"/>
    <n v="3556"/>
    <n v="7.2197893840000003"/>
    <n v="7.2197893839999999E-2"/>
    <n v="56"/>
    <d v="1899-12-30T00:56:00"/>
    <n v="4"/>
    <n v="45231"/>
    <x v="0"/>
    <n v="41675"/>
    <n v="0.92138135349649575"/>
  </r>
  <r>
    <s v="P-0659"/>
    <x v="10"/>
    <x v="7"/>
    <x v="2"/>
    <x v="50"/>
    <x v="1"/>
    <x v="3"/>
    <x v="1"/>
    <n v="78"/>
    <n v="9484"/>
    <n v="13.94111088"/>
    <n v="0.13941110879999999"/>
    <n v="176"/>
    <d v="1899-12-30T02:56:00"/>
    <n v="3"/>
    <n v="41745"/>
    <x v="0"/>
    <n v="32261"/>
    <n v="0.77281111510360523"/>
  </r>
  <r>
    <s v="P-0660"/>
    <x v="14"/>
    <x v="7"/>
    <x v="2"/>
    <x v="75"/>
    <x v="2"/>
    <x v="1"/>
    <x v="1"/>
    <n v="86"/>
    <n v="1291"/>
    <n v="14.207165420000001"/>
    <n v="0.14207165420000001"/>
    <n v="42"/>
    <d v="1899-12-30T00:42:00"/>
    <n v="2"/>
    <n v="18241"/>
    <x v="0"/>
    <n v="16950"/>
    <n v="0.92922537141604078"/>
  </r>
  <r>
    <s v="P-0661"/>
    <x v="7"/>
    <x v="2"/>
    <x v="0"/>
    <x v="73"/>
    <x v="1"/>
    <x v="2"/>
    <x v="5"/>
    <n v="87"/>
    <n v="5890"/>
    <n v="22.291272190000001"/>
    <n v="0.2229127219"/>
    <n v="150"/>
    <d v="1899-12-30T02:30:00"/>
    <n v="3"/>
    <n v="24154"/>
    <x v="0"/>
    <n v="18264"/>
    <n v="0.75614805001242036"/>
  </r>
  <r>
    <s v="P-0662"/>
    <x v="1"/>
    <x v="2"/>
    <x v="0"/>
    <x v="3"/>
    <x v="0"/>
    <x v="2"/>
    <x v="5"/>
    <n v="68"/>
    <n v="7135"/>
    <n v="15.932964399999999"/>
    <n v="0.15932964399999999"/>
    <n v="93"/>
    <d v="1899-12-30T01:33:00"/>
    <n v="2"/>
    <n v="26625"/>
    <x v="0"/>
    <n v="19490"/>
    <n v="0.73201877934272297"/>
  </r>
  <r>
    <s v="P-0663"/>
    <x v="13"/>
    <x v="5"/>
    <x v="1"/>
    <x v="77"/>
    <x v="3"/>
    <x v="3"/>
    <x v="2"/>
    <n v="57"/>
    <n v="2755"/>
    <n v="12.60801098"/>
    <n v="0.12608010980000001"/>
    <n v="144"/>
    <d v="1899-12-30T02:24:00"/>
    <n v="4"/>
    <n v="45950"/>
    <x v="0"/>
    <n v="43195"/>
    <n v="0.94004352557127313"/>
  </r>
  <r>
    <s v="P-0664"/>
    <x v="12"/>
    <x v="4"/>
    <x v="2"/>
    <x v="36"/>
    <x v="2"/>
    <x v="1"/>
    <x v="4"/>
    <n v="97"/>
    <n v="4110"/>
    <n v="24.536006570000001"/>
    <n v="0.24536006570000002"/>
    <n v="88"/>
    <d v="1899-12-30T01:28:00"/>
    <n v="4"/>
    <n v="34066"/>
    <x v="0"/>
    <n v="29956"/>
    <n v="0.87935184641578112"/>
  </r>
  <r>
    <s v="P-0665"/>
    <x v="14"/>
    <x v="3"/>
    <x v="0"/>
    <x v="47"/>
    <x v="2"/>
    <x v="1"/>
    <x v="4"/>
    <n v="94"/>
    <n v="2107"/>
    <n v="7.2144118669999999"/>
    <n v="7.2144118669999993E-2"/>
    <n v="23"/>
    <d v="1899-12-30T00:23:00"/>
    <n v="1"/>
    <n v="34691"/>
    <x v="0"/>
    <n v="32584"/>
    <n v="0.93926378599636795"/>
  </r>
  <r>
    <s v="P-0666"/>
    <x v="1"/>
    <x v="7"/>
    <x v="0"/>
    <x v="26"/>
    <x v="0"/>
    <x v="0"/>
    <x v="1"/>
    <n v="50"/>
    <n v="5679"/>
    <n v="13.450968570000001"/>
    <n v="0.13450968569999999"/>
    <n v="156"/>
    <d v="1899-12-30T02:36:00"/>
    <n v="2"/>
    <n v="14331"/>
    <x v="0"/>
    <n v="8652"/>
    <n v="0.60372618798409039"/>
  </r>
  <r>
    <s v="P-0667"/>
    <x v="1"/>
    <x v="4"/>
    <x v="0"/>
    <x v="1"/>
    <x v="1"/>
    <x v="0"/>
    <x v="4"/>
    <n v="71"/>
    <n v="7073"/>
    <n v="5.8404935030000003"/>
    <n v="5.8404935030000001E-2"/>
    <n v="137"/>
    <d v="1899-12-30T02:17:00"/>
    <n v="3"/>
    <n v="21690"/>
    <x v="0"/>
    <n v="14617"/>
    <n v="0.67390502535730756"/>
  </r>
  <r>
    <s v="P-0668"/>
    <x v="5"/>
    <x v="3"/>
    <x v="1"/>
    <x v="8"/>
    <x v="0"/>
    <x v="1"/>
    <x v="1"/>
    <n v="66"/>
    <n v="1484"/>
    <n v="19.79808242"/>
    <n v="0.19798082419999999"/>
    <n v="63"/>
    <d v="1899-12-30T01:03:00"/>
    <n v="4"/>
    <n v="20183"/>
    <x v="0"/>
    <n v="18699"/>
    <n v="0.92647277411683104"/>
  </r>
  <r>
    <s v="P-0669"/>
    <x v="4"/>
    <x v="3"/>
    <x v="2"/>
    <x v="28"/>
    <x v="2"/>
    <x v="2"/>
    <x v="3"/>
    <n v="56"/>
    <n v="6276"/>
    <n v="23.361531039999999"/>
    <n v="0.2336153104"/>
    <n v="157"/>
    <d v="1899-12-30T02:37:00"/>
    <n v="3"/>
    <n v="40346"/>
    <x v="0"/>
    <n v="34070"/>
    <n v="0.84444554602686761"/>
  </r>
  <r>
    <s v="P-0670"/>
    <x v="7"/>
    <x v="3"/>
    <x v="1"/>
    <x v="37"/>
    <x v="2"/>
    <x v="2"/>
    <x v="1"/>
    <n v="74"/>
    <n v="4176"/>
    <n v="10.60074659"/>
    <n v="0.1060074659"/>
    <n v="38"/>
    <d v="1899-12-30T00:38:00"/>
    <n v="1"/>
    <n v="5875"/>
    <x v="0"/>
    <n v="1699"/>
    <n v="0.28919148936170214"/>
  </r>
  <r>
    <s v="P-0671"/>
    <x v="8"/>
    <x v="6"/>
    <x v="0"/>
    <x v="22"/>
    <x v="3"/>
    <x v="3"/>
    <x v="5"/>
    <n v="94"/>
    <n v="3880"/>
    <n v="22.166833539999999"/>
    <n v="0.2216683354"/>
    <n v="33"/>
    <d v="1899-12-30T00:33:00"/>
    <n v="2"/>
    <n v="13254"/>
    <x v="0"/>
    <n v="9374"/>
    <n v="0.70725818620793723"/>
  </r>
  <r>
    <s v="P-0672"/>
    <x v="2"/>
    <x v="7"/>
    <x v="0"/>
    <x v="3"/>
    <x v="0"/>
    <x v="0"/>
    <x v="2"/>
    <n v="53"/>
    <n v="9211"/>
    <n v="10.84436461"/>
    <n v="0.1084436461"/>
    <n v="91"/>
    <d v="1899-12-30T01:31:00"/>
    <n v="2"/>
    <n v="29621"/>
    <x v="0"/>
    <n v="20410"/>
    <n v="0.68903818237061543"/>
  </r>
  <r>
    <s v="P-0673"/>
    <x v="1"/>
    <x v="0"/>
    <x v="1"/>
    <x v="39"/>
    <x v="0"/>
    <x v="1"/>
    <x v="2"/>
    <n v="85"/>
    <n v="9282"/>
    <n v="23.21540323"/>
    <n v="0.23215403230000001"/>
    <n v="72"/>
    <d v="1899-12-30T01:12:00"/>
    <n v="4"/>
    <n v="11905"/>
    <x v="0"/>
    <n v="2623"/>
    <n v="0.22032759344813105"/>
  </r>
  <r>
    <s v="P-0674"/>
    <x v="13"/>
    <x v="5"/>
    <x v="0"/>
    <x v="35"/>
    <x v="2"/>
    <x v="3"/>
    <x v="1"/>
    <n v="55"/>
    <n v="1550"/>
    <n v="20.079238069999999"/>
    <n v="0.20079238069999999"/>
    <n v="114"/>
    <d v="1899-12-30T01:54:00"/>
    <n v="2"/>
    <n v="47121"/>
    <x v="0"/>
    <n v="45571"/>
    <n v="0.96710596124870019"/>
  </r>
  <r>
    <s v="P-0675"/>
    <x v="4"/>
    <x v="3"/>
    <x v="1"/>
    <x v="54"/>
    <x v="1"/>
    <x v="2"/>
    <x v="4"/>
    <n v="80"/>
    <n v="4133"/>
    <n v="21.098135540000001"/>
    <n v="0.21098135540000001"/>
    <n v="66"/>
    <d v="1899-12-30T01:06:00"/>
    <n v="4"/>
    <n v="16882"/>
    <x v="0"/>
    <n v="12749"/>
    <n v="0.75518303518540453"/>
  </r>
  <r>
    <s v="P-0676"/>
    <x v="0"/>
    <x v="7"/>
    <x v="0"/>
    <x v="51"/>
    <x v="3"/>
    <x v="3"/>
    <x v="1"/>
    <n v="68"/>
    <n v="6842"/>
    <n v="5.3601311120000004"/>
    <n v="5.3601311120000002E-2"/>
    <n v="145"/>
    <d v="1899-12-30T02:25:00"/>
    <n v="1"/>
    <n v="20041"/>
    <x v="0"/>
    <n v="13199"/>
    <n v="0.65859987026595479"/>
  </r>
  <r>
    <s v="P-0677"/>
    <x v="12"/>
    <x v="7"/>
    <x v="2"/>
    <x v="80"/>
    <x v="1"/>
    <x v="3"/>
    <x v="4"/>
    <n v="93"/>
    <n v="1459"/>
    <n v="24.256207140000001"/>
    <n v="0.2425620714"/>
    <n v="71"/>
    <d v="1899-12-30T01:11:00"/>
    <n v="2"/>
    <n v="30098"/>
    <x v="0"/>
    <n v="28639"/>
    <n v="0.95152501827363944"/>
  </r>
  <r>
    <s v="P-0678"/>
    <x v="4"/>
    <x v="2"/>
    <x v="0"/>
    <x v="65"/>
    <x v="2"/>
    <x v="1"/>
    <x v="1"/>
    <n v="88"/>
    <n v="6559"/>
    <n v="19.533419840000001"/>
    <n v="0.19533419839999999"/>
    <n v="166"/>
    <d v="1899-12-30T02:46:00"/>
    <n v="4"/>
    <n v="43431"/>
    <x v="0"/>
    <n v="36872"/>
    <n v="0.84897883999907897"/>
  </r>
  <r>
    <s v="P-0679"/>
    <x v="6"/>
    <x v="7"/>
    <x v="2"/>
    <x v="26"/>
    <x v="0"/>
    <x v="3"/>
    <x v="0"/>
    <n v="76"/>
    <n v="9384"/>
    <n v="11.09502191"/>
    <n v="0.1109502191"/>
    <n v="26"/>
    <d v="1899-12-30T00:26:00"/>
    <n v="3"/>
    <n v="34709"/>
    <x v="0"/>
    <n v="25325"/>
    <n v="0.72963784609179172"/>
  </r>
  <r>
    <s v="P-0680"/>
    <x v="14"/>
    <x v="4"/>
    <x v="1"/>
    <x v="62"/>
    <x v="1"/>
    <x v="1"/>
    <x v="5"/>
    <n v="59"/>
    <n v="6155"/>
    <n v="21.587893300000001"/>
    <n v="0.21587893300000002"/>
    <n v="75"/>
    <d v="1899-12-30T01:15:00"/>
    <n v="4"/>
    <n v="35675"/>
    <x v="0"/>
    <n v="29520"/>
    <n v="0.82747021723896286"/>
  </r>
  <r>
    <s v="P-0681"/>
    <x v="14"/>
    <x v="2"/>
    <x v="1"/>
    <x v="53"/>
    <x v="0"/>
    <x v="0"/>
    <x v="5"/>
    <n v="75"/>
    <n v="4973"/>
    <n v="10.630423970000001"/>
    <n v="0.10630423970000001"/>
    <n v="15"/>
    <d v="1899-12-30T00:15:00"/>
    <n v="2"/>
    <n v="5837"/>
    <x v="0"/>
    <n v="864"/>
    <n v="0.14802124378961795"/>
  </r>
  <r>
    <s v="P-0682"/>
    <x v="13"/>
    <x v="0"/>
    <x v="2"/>
    <x v="20"/>
    <x v="2"/>
    <x v="3"/>
    <x v="1"/>
    <n v="68"/>
    <n v="3446"/>
    <n v="22.45507679"/>
    <n v="0.2245507679"/>
    <n v="67"/>
    <d v="1899-12-30T01:07:00"/>
    <n v="1"/>
    <n v="47448"/>
    <x v="0"/>
    <n v="44002"/>
    <n v="0.92737312426235041"/>
  </r>
  <r>
    <s v="P-0683"/>
    <x v="7"/>
    <x v="1"/>
    <x v="2"/>
    <x v="66"/>
    <x v="1"/>
    <x v="2"/>
    <x v="3"/>
    <n v="88"/>
    <n v="8225"/>
    <n v="7.2516078080000002"/>
    <n v="7.2516078080000004E-2"/>
    <n v="78"/>
    <d v="1899-12-30T01:18:00"/>
    <n v="2"/>
    <n v="25489"/>
    <x v="0"/>
    <n v="17264"/>
    <n v="0.67731178155282667"/>
  </r>
  <r>
    <s v="P-0684"/>
    <x v="3"/>
    <x v="7"/>
    <x v="2"/>
    <x v="44"/>
    <x v="0"/>
    <x v="2"/>
    <x v="4"/>
    <n v="52"/>
    <n v="1026"/>
    <n v="19.07371955"/>
    <n v="0.19073719550000001"/>
    <n v="165"/>
    <d v="1899-12-30T02:45:00"/>
    <n v="2"/>
    <n v="18627"/>
    <x v="0"/>
    <n v="17601"/>
    <n v="0.94491866645192457"/>
  </r>
  <r>
    <s v="P-0685"/>
    <x v="3"/>
    <x v="3"/>
    <x v="1"/>
    <x v="39"/>
    <x v="0"/>
    <x v="3"/>
    <x v="1"/>
    <n v="94"/>
    <n v="3724"/>
    <n v="15.81396953"/>
    <n v="0.15813969529999999"/>
    <n v="71"/>
    <d v="1899-12-30T01:11:00"/>
    <n v="4"/>
    <n v="6696"/>
    <x v="0"/>
    <n v="2972"/>
    <n v="0.44384707287933095"/>
  </r>
  <r>
    <s v="P-0686"/>
    <x v="8"/>
    <x v="0"/>
    <x v="2"/>
    <x v="54"/>
    <x v="1"/>
    <x v="0"/>
    <x v="5"/>
    <n v="62"/>
    <n v="2375"/>
    <n v="6.9306894039999998"/>
    <n v="6.9306894039999997E-2"/>
    <n v="178"/>
    <d v="1899-12-30T02:58:00"/>
    <n v="3"/>
    <n v="49994"/>
    <x v="0"/>
    <n v="47619"/>
    <n v="0.95249429931591789"/>
  </r>
  <r>
    <s v="P-0687"/>
    <x v="1"/>
    <x v="0"/>
    <x v="2"/>
    <x v="23"/>
    <x v="1"/>
    <x v="2"/>
    <x v="3"/>
    <n v="99"/>
    <n v="2263"/>
    <n v="9.8378765650000002"/>
    <n v="9.8378765650000005E-2"/>
    <n v="91"/>
    <d v="1899-12-30T01:31:00"/>
    <n v="2"/>
    <n v="14543"/>
    <x v="0"/>
    <n v="12280"/>
    <n v="0.8443924912328955"/>
  </r>
  <r>
    <s v="P-0688"/>
    <x v="5"/>
    <x v="1"/>
    <x v="0"/>
    <x v="79"/>
    <x v="2"/>
    <x v="0"/>
    <x v="2"/>
    <n v="77"/>
    <n v="9212"/>
    <n v="5.2480807260000004"/>
    <n v="5.2480807260000005E-2"/>
    <n v="178"/>
    <d v="1899-12-30T02:58:00"/>
    <n v="3"/>
    <n v="13615"/>
    <x v="0"/>
    <n v="4403"/>
    <n v="0.32339331619537276"/>
  </r>
  <r>
    <s v="P-0689"/>
    <x v="4"/>
    <x v="6"/>
    <x v="0"/>
    <x v="22"/>
    <x v="3"/>
    <x v="3"/>
    <x v="2"/>
    <n v="69"/>
    <n v="6297"/>
    <n v="14.37535931"/>
    <n v="0.14375359309999999"/>
    <n v="80"/>
    <d v="1899-12-30T01:20:00"/>
    <n v="4"/>
    <n v="2466"/>
    <x v="0"/>
    <n v="-3831"/>
    <n v="-1.5535279805352797"/>
  </r>
  <r>
    <s v="P-0690"/>
    <x v="1"/>
    <x v="6"/>
    <x v="2"/>
    <x v="7"/>
    <x v="3"/>
    <x v="0"/>
    <x v="4"/>
    <n v="77"/>
    <n v="9708"/>
    <n v="11.02530522"/>
    <n v="0.11025305219999999"/>
    <n v="140"/>
    <d v="1899-12-30T02:20:00"/>
    <n v="3"/>
    <n v="31771"/>
    <x v="0"/>
    <n v="22063"/>
    <n v="0.69443832425797114"/>
  </r>
  <r>
    <s v="P-0691"/>
    <x v="1"/>
    <x v="0"/>
    <x v="1"/>
    <x v="87"/>
    <x v="1"/>
    <x v="1"/>
    <x v="0"/>
    <n v="57"/>
    <n v="7599"/>
    <n v="16.967149689999999"/>
    <n v="0.1696714969"/>
    <n v="19"/>
    <d v="1899-12-30T00:19:00"/>
    <n v="4"/>
    <n v="19350"/>
    <x v="0"/>
    <n v="11751"/>
    <n v="0.60728682170542636"/>
  </r>
  <r>
    <s v="P-0692"/>
    <x v="2"/>
    <x v="3"/>
    <x v="1"/>
    <x v="46"/>
    <x v="0"/>
    <x v="2"/>
    <x v="0"/>
    <n v="90"/>
    <n v="5609"/>
    <n v="10.94475615"/>
    <n v="0.1094475615"/>
    <n v="107"/>
    <d v="1899-12-30T01:47:00"/>
    <n v="1"/>
    <n v="1375"/>
    <x v="0"/>
    <n v="-4234"/>
    <n v="-3.0792727272727274"/>
  </r>
  <r>
    <s v="P-0693"/>
    <x v="12"/>
    <x v="4"/>
    <x v="0"/>
    <x v="64"/>
    <x v="3"/>
    <x v="0"/>
    <x v="4"/>
    <n v="88"/>
    <n v="7144"/>
    <n v="10.998382230000001"/>
    <n v="0.10998382230000001"/>
    <n v="98"/>
    <d v="1899-12-30T01:38:00"/>
    <n v="3"/>
    <n v="34030"/>
    <x v="0"/>
    <n v="26886"/>
    <n v="0.79006758742286221"/>
  </r>
  <r>
    <s v="P-0694"/>
    <x v="4"/>
    <x v="1"/>
    <x v="0"/>
    <x v="34"/>
    <x v="0"/>
    <x v="2"/>
    <x v="1"/>
    <n v="50"/>
    <n v="616"/>
    <n v="19.863863970000001"/>
    <n v="0.19863863970000001"/>
    <n v="44"/>
    <d v="1899-12-30T00:44:00"/>
    <n v="3"/>
    <n v="21746"/>
    <x v="0"/>
    <n v="21130"/>
    <n v="0.97167295134737419"/>
  </r>
  <r>
    <s v="P-0695"/>
    <x v="6"/>
    <x v="1"/>
    <x v="2"/>
    <x v="75"/>
    <x v="2"/>
    <x v="0"/>
    <x v="5"/>
    <n v="52"/>
    <n v="2933"/>
    <n v="5.9628567200000004"/>
    <n v="5.9628567200000003E-2"/>
    <n v="11"/>
    <d v="1899-12-30T00:11:00"/>
    <n v="1"/>
    <n v="23886"/>
    <x v="0"/>
    <n v="20953"/>
    <n v="0.87720840659800725"/>
  </r>
  <r>
    <s v="P-0696"/>
    <x v="12"/>
    <x v="4"/>
    <x v="2"/>
    <x v="50"/>
    <x v="1"/>
    <x v="2"/>
    <x v="2"/>
    <n v="62"/>
    <n v="5963"/>
    <n v="23.057899899999999"/>
    <n v="0.23057899899999998"/>
    <n v="133"/>
    <d v="1899-12-30T02:13:00"/>
    <n v="3"/>
    <n v="45348"/>
    <x v="0"/>
    <n v="39385"/>
    <n v="0.86850577754255975"/>
  </r>
  <r>
    <s v="P-0697"/>
    <x v="1"/>
    <x v="5"/>
    <x v="1"/>
    <x v="80"/>
    <x v="1"/>
    <x v="2"/>
    <x v="4"/>
    <n v="77"/>
    <n v="1083"/>
    <n v="22.04527749"/>
    <n v="0.22045277490000001"/>
    <n v="33"/>
    <d v="1899-12-30T00:33:00"/>
    <n v="1"/>
    <n v="43904"/>
    <x v="0"/>
    <n v="42821"/>
    <n v="0.97533254373177847"/>
  </r>
  <r>
    <s v="P-0698"/>
    <x v="8"/>
    <x v="6"/>
    <x v="0"/>
    <x v="13"/>
    <x v="1"/>
    <x v="3"/>
    <x v="2"/>
    <n v="98"/>
    <n v="9086"/>
    <n v="18.356093659999999"/>
    <n v="0.1835609366"/>
    <n v="83"/>
    <d v="1899-12-30T01:23:00"/>
    <n v="2"/>
    <n v="33651"/>
    <x v="0"/>
    <n v="24565"/>
    <n v="0.72999316513625156"/>
  </r>
  <r>
    <s v="P-0699"/>
    <x v="6"/>
    <x v="1"/>
    <x v="0"/>
    <x v="16"/>
    <x v="1"/>
    <x v="0"/>
    <x v="1"/>
    <n v="74"/>
    <n v="4288"/>
    <n v="16.864431400000001"/>
    <n v="0.16864431400000002"/>
    <n v="175"/>
    <d v="1899-12-30T02:55:00"/>
    <n v="4"/>
    <n v="8833"/>
    <x v="0"/>
    <n v="4545"/>
    <n v="0.5145477187818408"/>
  </r>
  <r>
    <s v="P-0700"/>
    <x v="5"/>
    <x v="4"/>
    <x v="2"/>
    <x v="83"/>
    <x v="3"/>
    <x v="3"/>
    <x v="2"/>
    <n v="82"/>
    <n v="4667"/>
    <n v="22.846049959999998"/>
    <n v="0.22846049959999998"/>
    <n v="31"/>
    <d v="1899-12-30T00:31:00"/>
    <n v="1"/>
    <n v="2893"/>
    <x v="0"/>
    <n v="-1774"/>
    <n v="-0.61320428620808853"/>
  </r>
  <r>
    <s v="P-0701"/>
    <x v="10"/>
    <x v="6"/>
    <x v="2"/>
    <x v="5"/>
    <x v="1"/>
    <x v="2"/>
    <x v="4"/>
    <n v="87"/>
    <n v="8965"/>
    <n v="8.7066035910000004"/>
    <n v="8.7066035910000006E-2"/>
    <n v="163"/>
    <d v="1899-12-30T02:43:00"/>
    <n v="3"/>
    <n v="31573"/>
    <x v="0"/>
    <n v="22608"/>
    <n v="0.71605485699806792"/>
  </r>
  <r>
    <s v="P-0702"/>
    <x v="1"/>
    <x v="0"/>
    <x v="2"/>
    <x v="8"/>
    <x v="0"/>
    <x v="0"/>
    <x v="2"/>
    <n v="55"/>
    <n v="1889"/>
    <n v="6.5793832439999997"/>
    <n v="6.5793832439999991E-2"/>
    <n v="48"/>
    <d v="1899-12-30T00:48:00"/>
    <n v="1"/>
    <n v="32371"/>
    <x v="0"/>
    <n v="30482"/>
    <n v="0.94164529980538136"/>
  </r>
  <r>
    <s v="P-0703"/>
    <x v="9"/>
    <x v="2"/>
    <x v="2"/>
    <x v="62"/>
    <x v="1"/>
    <x v="0"/>
    <x v="4"/>
    <n v="93"/>
    <n v="8857"/>
    <n v="9.7902033979999992"/>
    <n v="9.7902033979999997E-2"/>
    <n v="166"/>
    <d v="1899-12-30T02:46:00"/>
    <n v="3"/>
    <n v="41874"/>
    <x v="0"/>
    <n v="33017"/>
    <n v="0.78848450112241486"/>
  </r>
  <r>
    <s v="P-0704"/>
    <x v="6"/>
    <x v="0"/>
    <x v="0"/>
    <x v="5"/>
    <x v="1"/>
    <x v="1"/>
    <x v="2"/>
    <n v="94"/>
    <n v="6654"/>
    <n v="20.891565570000001"/>
    <n v="0.20891565570000001"/>
    <n v="29"/>
    <d v="1899-12-30T00:29:00"/>
    <n v="2"/>
    <n v="12826"/>
    <x v="0"/>
    <n v="6172"/>
    <n v="0.48121004210198037"/>
  </r>
  <r>
    <s v="P-0705"/>
    <x v="7"/>
    <x v="2"/>
    <x v="2"/>
    <x v="36"/>
    <x v="2"/>
    <x v="2"/>
    <x v="3"/>
    <n v="81"/>
    <n v="5920"/>
    <n v="5.6934053349999996"/>
    <n v="5.6934053349999993E-2"/>
    <n v="50"/>
    <d v="1899-12-30T00:50:00"/>
    <n v="1"/>
    <n v="35420"/>
    <x v="0"/>
    <n v="29500"/>
    <n v="0.83286278938452851"/>
  </r>
  <r>
    <s v="P-0706"/>
    <x v="1"/>
    <x v="1"/>
    <x v="0"/>
    <x v="16"/>
    <x v="1"/>
    <x v="1"/>
    <x v="5"/>
    <n v="94"/>
    <n v="9420"/>
    <n v="16.656136700000001"/>
    <n v="0.16656136700000002"/>
    <n v="157"/>
    <d v="1899-12-30T02:37:00"/>
    <n v="2"/>
    <n v="22924"/>
    <x v="0"/>
    <n v="13504"/>
    <n v="0.58907694992147963"/>
  </r>
  <r>
    <s v="P-0707"/>
    <x v="5"/>
    <x v="3"/>
    <x v="2"/>
    <x v="25"/>
    <x v="1"/>
    <x v="1"/>
    <x v="0"/>
    <n v="96"/>
    <n v="2543"/>
    <n v="24.908750319999999"/>
    <n v="0.2490875032"/>
    <n v="117"/>
    <d v="1899-12-30T01:57:00"/>
    <n v="4"/>
    <n v="34367"/>
    <x v="0"/>
    <n v="31824"/>
    <n v="0.92600459743358454"/>
  </r>
  <r>
    <s v="P-0708"/>
    <x v="5"/>
    <x v="4"/>
    <x v="0"/>
    <x v="11"/>
    <x v="3"/>
    <x v="0"/>
    <x v="0"/>
    <n v="70"/>
    <n v="4697"/>
    <n v="22.113921879999999"/>
    <n v="0.22113921879999998"/>
    <n v="156"/>
    <d v="1899-12-30T02:36:00"/>
    <n v="3"/>
    <n v="22199"/>
    <x v="0"/>
    <n v="17502"/>
    <n v="0.78841389251768101"/>
  </r>
  <r>
    <s v="P-0709"/>
    <x v="5"/>
    <x v="3"/>
    <x v="1"/>
    <x v="34"/>
    <x v="0"/>
    <x v="1"/>
    <x v="3"/>
    <n v="65"/>
    <n v="3996"/>
    <n v="15.42891378"/>
    <n v="0.1542891378"/>
    <n v="93"/>
    <d v="1899-12-30T01:33:00"/>
    <n v="3"/>
    <n v="26868"/>
    <x v="0"/>
    <n v="22872"/>
    <n v="0.85127288968289416"/>
  </r>
  <r>
    <s v="P-0710"/>
    <x v="6"/>
    <x v="4"/>
    <x v="0"/>
    <x v="87"/>
    <x v="1"/>
    <x v="2"/>
    <x v="0"/>
    <n v="70"/>
    <n v="1278"/>
    <n v="6.2728181860000003"/>
    <n v="6.272818186000001E-2"/>
    <n v="120"/>
    <d v="1899-12-30T02:00:00"/>
    <n v="2"/>
    <n v="9792"/>
    <x v="0"/>
    <n v="8514"/>
    <n v="0.86948529411764708"/>
  </r>
  <r>
    <s v="P-0711"/>
    <x v="12"/>
    <x v="7"/>
    <x v="2"/>
    <x v="89"/>
    <x v="1"/>
    <x v="3"/>
    <x v="0"/>
    <n v="60"/>
    <n v="713"/>
    <n v="21.627470290000002"/>
    <n v="0.2162747029"/>
    <n v="75"/>
    <d v="1899-12-30T01:15:00"/>
    <n v="4"/>
    <n v="21597"/>
    <x v="0"/>
    <n v="20884"/>
    <n v="0.96698615548455802"/>
  </r>
  <r>
    <s v="P-0712"/>
    <x v="8"/>
    <x v="1"/>
    <x v="0"/>
    <x v="33"/>
    <x v="3"/>
    <x v="1"/>
    <x v="5"/>
    <n v="86"/>
    <n v="4262"/>
    <n v="16.979570160000002"/>
    <n v="0.16979570160000002"/>
    <n v="167"/>
    <d v="1899-12-30T02:47:00"/>
    <n v="1"/>
    <n v="37405"/>
    <x v="0"/>
    <n v="33143"/>
    <n v="0.88605801363454084"/>
  </r>
  <r>
    <s v="P-0713"/>
    <x v="10"/>
    <x v="4"/>
    <x v="0"/>
    <x v="87"/>
    <x v="1"/>
    <x v="1"/>
    <x v="1"/>
    <n v="85"/>
    <n v="7231"/>
    <n v="7.2986599410000004"/>
    <n v="7.2986599410000005E-2"/>
    <n v="62"/>
    <d v="1899-12-30T01:02:00"/>
    <n v="1"/>
    <n v="33696"/>
    <x v="0"/>
    <n v="26465"/>
    <n v="0.7854047958214625"/>
  </r>
  <r>
    <s v="P-0714"/>
    <x v="0"/>
    <x v="5"/>
    <x v="0"/>
    <x v="85"/>
    <x v="1"/>
    <x v="0"/>
    <x v="4"/>
    <n v="84"/>
    <n v="3617"/>
    <n v="6.8771456960000004"/>
    <n v="6.8771456960000005E-2"/>
    <n v="43"/>
    <d v="1899-12-30T00:43:00"/>
    <n v="3"/>
    <n v="44123"/>
    <x v="0"/>
    <n v="40506"/>
    <n v="0.91802461301362104"/>
  </r>
  <r>
    <s v="P-0715"/>
    <x v="11"/>
    <x v="5"/>
    <x v="1"/>
    <x v="3"/>
    <x v="0"/>
    <x v="0"/>
    <x v="5"/>
    <n v="68"/>
    <n v="6291"/>
    <n v="23.192536390000001"/>
    <n v="0.23192536390000001"/>
    <n v="159"/>
    <d v="1899-12-30T02:39:00"/>
    <n v="2"/>
    <n v="16989"/>
    <x v="0"/>
    <n v="10698"/>
    <n v="0.62970157160515627"/>
  </r>
  <r>
    <s v="P-0716"/>
    <x v="14"/>
    <x v="6"/>
    <x v="1"/>
    <x v="71"/>
    <x v="2"/>
    <x v="0"/>
    <x v="3"/>
    <n v="69"/>
    <n v="9283"/>
    <n v="18.384005259999999"/>
    <n v="0.1838400526"/>
    <n v="76"/>
    <d v="1899-12-30T01:16:00"/>
    <n v="2"/>
    <n v="29931"/>
    <x v="0"/>
    <n v="20648"/>
    <n v="0.68985332932411214"/>
  </r>
  <r>
    <s v="P-0717"/>
    <x v="4"/>
    <x v="1"/>
    <x v="1"/>
    <x v="77"/>
    <x v="3"/>
    <x v="3"/>
    <x v="2"/>
    <n v="67"/>
    <n v="3220"/>
    <n v="21.58573599"/>
    <n v="0.21585735989999999"/>
    <n v="143"/>
    <d v="1899-12-30T02:23:00"/>
    <n v="1"/>
    <n v="10290"/>
    <x v="0"/>
    <n v="7070"/>
    <n v="0.68707482993197277"/>
  </r>
  <r>
    <s v="P-0718"/>
    <x v="7"/>
    <x v="5"/>
    <x v="2"/>
    <x v="43"/>
    <x v="1"/>
    <x v="0"/>
    <x v="3"/>
    <n v="96"/>
    <n v="9405"/>
    <n v="22.579578009999999"/>
    <n v="0.22579578009999998"/>
    <n v="36"/>
    <d v="1899-12-30T00:36:00"/>
    <n v="4"/>
    <n v="39367"/>
    <x v="0"/>
    <n v="29962"/>
    <n v="0.76109431757563439"/>
  </r>
  <r>
    <s v="P-0719"/>
    <x v="12"/>
    <x v="6"/>
    <x v="1"/>
    <x v="64"/>
    <x v="3"/>
    <x v="2"/>
    <x v="2"/>
    <n v="90"/>
    <n v="9627"/>
    <n v="16.43544704"/>
    <n v="0.16435447040000001"/>
    <n v="19"/>
    <d v="1899-12-30T00:19:00"/>
    <n v="4"/>
    <n v="15342"/>
    <x v="0"/>
    <n v="5715"/>
    <n v="0.37250684395776301"/>
  </r>
  <r>
    <s v="P-0720"/>
    <x v="10"/>
    <x v="7"/>
    <x v="1"/>
    <x v="32"/>
    <x v="1"/>
    <x v="2"/>
    <x v="2"/>
    <n v="98"/>
    <n v="6547"/>
    <n v="15.34892704"/>
    <n v="0.15348927039999999"/>
    <n v="82"/>
    <d v="1899-12-30T01:22:00"/>
    <n v="1"/>
    <n v="25941"/>
    <x v="0"/>
    <n v="19394"/>
    <n v="0.74761959831926295"/>
  </r>
  <r>
    <s v="P-0721"/>
    <x v="13"/>
    <x v="1"/>
    <x v="2"/>
    <x v="77"/>
    <x v="3"/>
    <x v="0"/>
    <x v="0"/>
    <n v="63"/>
    <n v="8532"/>
    <n v="13.60854821"/>
    <n v="0.13608548210000002"/>
    <n v="105"/>
    <d v="1899-12-30T01:45:00"/>
    <n v="1"/>
    <n v="14945"/>
    <x v="0"/>
    <n v="6413"/>
    <n v="0.42910672465707594"/>
  </r>
  <r>
    <s v="P-0722"/>
    <x v="3"/>
    <x v="1"/>
    <x v="0"/>
    <x v="76"/>
    <x v="2"/>
    <x v="0"/>
    <x v="0"/>
    <n v="64"/>
    <n v="501"/>
    <n v="11.338931759999999"/>
    <n v="0.1133893176"/>
    <n v="57"/>
    <d v="1899-12-30T00:57:00"/>
    <n v="2"/>
    <n v="11762"/>
    <x v="0"/>
    <n v="11261"/>
    <n v="0.95740520319673528"/>
  </r>
  <r>
    <s v="P-0723"/>
    <x v="11"/>
    <x v="5"/>
    <x v="2"/>
    <x v="34"/>
    <x v="0"/>
    <x v="3"/>
    <x v="5"/>
    <n v="80"/>
    <n v="6868"/>
    <n v="13.691919220000001"/>
    <n v="0.13691919220000001"/>
    <n v="79"/>
    <d v="1899-12-30T01:19:00"/>
    <n v="4"/>
    <n v="31133"/>
    <x v="0"/>
    <n v="24265"/>
    <n v="0.7793980663604535"/>
  </r>
  <r>
    <s v="P-0724"/>
    <x v="0"/>
    <x v="0"/>
    <x v="0"/>
    <x v="79"/>
    <x v="2"/>
    <x v="3"/>
    <x v="3"/>
    <n v="50"/>
    <n v="2449"/>
    <n v="20.477593110000001"/>
    <n v="0.2047759311"/>
    <n v="109"/>
    <d v="1899-12-30T01:49:00"/>
    <n v="1"/>
    <n v="48080"/>
    <x v="1"/>
    <n v="45631"/>
    <n v="0.9490640599001664"/>
  </r>
  <r>
    <s v="P-0725"/>
    <x v="1"/>
    <x v="2"/>
    <x v="2"/>
    <x v="48"/>
    <x v="2"/>
    <x v="2"/>
    <x v="3"/>
    <n v="52"/>
    <n v="7232"/>
    <n v="17.03846862"/>
    <n v="0.1703846862"/>
    <n v="68"/>
    <d v="1899-12-30T01:08:00"/>
    <n v="1"/>
    <n v="41150"/>
    <x v="0"/>
    <n v="33918"/>
    <n v="0.82425273390036446"/>
  </r>
  <r>
    <s v="P-0726"/>
    <x v="0"/>
    <x v="7"/>
    <x v="2"/>
    <x v="62"/>
    <x v="1"/>
    <x v="3"/>
    <x v="4"/>
    <n v="65"/>
    <n v="8333"/>
    <n v="22.850465799999998"/>
    <n v="0.22850465799999997"/>
    <n v="11"/>
    <d v="1899-12-30T00:11:00"/>
    <n v="3"/>
    <n v="28052"/>
    <x v="0"/>
    <n v="19719"/>
    <n v="0.70294453158420078"/>
  </r>
  <r>
    <s v="P-0727"/>
    <x v="0"/>
    <x v="3"/>
    <x v="0"/>
    <x v="13"/>
    <x v="1"/>
    <x v="0"/>
    <x v="5"/>
    <n v="72"/>
    <n v="1417"/>
    <n v="13.86760029"/>
    <n v="0.13867600290000001"/>
    <n v="166"/>
    <d v="1899-12-30T02:46:00"/>
    <n v="1"/>
    <n v="42750"/>
    <x v="0"/>
    <n v="41333"/>
    <n v="0.96685380116959063"/>
  </r>
  <r>
    <s v="P-0728"/>
    <x v="14"/>
    <x v="7"/>
    <x v="0"/>
    <x v="7"/>
    <x v="3"/>
    <x v="3"/>
    <x v="4"/>
    <n v="60"/>
    <n v="3674"/>
    <n v="17.141791569999999"/>
    <n v="0.17141791569999998"/>
    <n v="74"/>
    <d v="1899-12-30T01:14:00"/>
    <n v="1"/>
    <n v="20953"/>
    <x v="0"/>
    <n v="17279"/>
    <n v="0.82465518064239007"/>
  </r>
  <r>
    <s v="P-0729"/>
    <x v="3"/>
    <x v="3"/>
    <x v="2"/>
    <x v="32"/>
    <x v="1"/>
    <x v="0"/>
    <x v="2"/>
    <n v="61"/>
    <n v="7514"/>
    <n v="17.626151060000002"/>
    <n v="0.1762615106"/>
    <n v="92"/>
    <d v="1899-12-30T01:32:00"/>
    <n v="4"/>
    <n v="41475"/>
    <x v="0"/>
    <n v="33961"/>
    <n v="0.81883062085593727"/>
  </r>
  <r>
    <s v="P-0730"/>
    <x v="8"/>
    <x v="6"/>
    <x v="1"/>
    <x v="76"/>
    <x v="2"/>
    <x v="2"/>
    <x v="5"/>
    <n v="59"/>
    <n v="589"/>
    <n v="16.833943250000001"/>
    <n v="0.1683394325"/>
    <n v="163"/>
    <d v="1899-12-30T02:43:00"/>
    <n v="2"/>
    <n v="18130"/>
    <x v="0"/>
    <n v="17541"/>
    <n v="0.96751241036955327"/>
  </r>
  <r>
    <s v="P-0731"/>
    <x v="14"/>
    <x v="4"/>
    <x v="2"/>
    <x v="77"/>
    <x v="3"/>
    <x v="1"/>
    <x v="1"/>
    <n v="81"/>
    <n v="2209"/>
    <n v="19.05267546"/>
    <n v="0.19052675459999999"/>
    <n v="19"/>
    <d v="1899-12-30T00:19:00"/>
    <n v="4"/>
    <n v="32086"/>
    <x v="0"/>
    <n v="29877"/>
    <n v="0.93115377423175216"/>
  </r>
  <r>
    <s v="P-0732"/>
    <x v="1"/>
    <x v="3"/>
    <x v="2"/>
    <x v="53"/>
    <x v="0"/>
    <x v="3"/>
    <x v="3"/>
    <n v="65"/>
    <n v="3541"/>
    <n v="9.7486693669999998"/>
    <n v="9.7486693669999999E-2"/>
    <n v="62"/>
    <d v="1899-12-30T01:02:00"/>
    <n v="2"/>
    <n v="5633"/>
    <x v="0"/>
    <n v="2092"/>
    <n v="0.37138292206639445"/>
  </r>
  <r>
    <s v="P-0733"/>
    <x v="12"/>
    <x v="6"/>
    <x v="2"/>
    <x v="67"/>
    <x v="0"/>
    <x v="2"/>
    <x v="0"/>
    <n v="57"/>
    <n v="605"/>
    <n v="15.247275549999999"/>
    <n v="0.1524727555"/>
    <n v="88"/>
    <d v="1899-12-30T01:28:00"/>
    <n v="3"/>
    <n v="18304"/>
    <x v="0"/>
    <n v="17699"/>
    <n v="0.96694711538461542"/>
  </r>
  <r>
    <s v="P-0734"/>
    <x v="9"/>
    <x v="4"/>
    <x v="1"/>
    <x v="87"/>
    <x v="1"/>
    <x v="2"/>
    <x v="3"/>
    <n v="87"/>
    <n v="9578"/>
    <n v="7.0844960559999999"/>
    <n v="7.0844960560000003E-2"/>
    <n v="68"/>
    <d v="1899-12-30T01:08:00"/>
    <n v="1"/>
    <n v="43037"/>
    <x v="0"/>
    <n v="33459"/>
    <n v="0.77744731277737755"/>
  </r>
  <r>
    <s v="P-0735"/>
    <x v="2"/>
    <x v="7"/>
    <x v="1"/>
    <x v="42"/>
    <x v="1"/>
    <x v="3"/>
    <x v="1"/>
    <n v="61"/>
    <n v="9119"/>
    <n v="12.69022655"/>
    <n v="0.1269022655"/>
    <n v="159"/>
    <d v="1899-12-30T02:39:00"/>
    <n v="3"/>
    <n v="33284"/>
    <x v="0"/>
    <n v="24165"/>
    <n v="0.72602451628410047"/>
  </r>
  <r>
    <s v="P-0736"/>
    <x v="7"/>
    <x v="5"/>
    <x v="1"/>
    <x v="67"/>
    <x v="0"/>
    <x v="1"/>
    <x v="5"/>
    <n v="73"/>
    <n v="2395"/>
    <n v="14.753341369999999"/>
    <n v="0.1475334137"/>
    <n v="57"/>
    <d v="1899-12-30T00:57:00"/>
    <n v="2"/>
    <n v="47546"/>
    <x v="0"/>
    <n v="45151"/>
    <n v="0.94962772893618808"/>
  </r>
  <r>
    <s v="P-0737"/>
    <x v="10"/>
    <x v="0"/>
    <x v="0"/>
    <x v="40"/>
    <x v="3"/>
    <x v="0"/>
    <x v="1"/>
    <n v="77"/>
    <n v="6590"/>
    <n v="18.04448519"/>
    <n v="0.18044485190000001"/>
    <n v="158"/>
    <d v="1899-12-30T02:38:00"/>
    <n v="4"/>
    <n v="8008"/>
    <x v="0"/>
    <n v="1418"/>
    <n v="0.17707292707292707"/>
  </r>
  <r>
    <s v="P-0738"/>
    <x v="2"/>
    <x v="3"/>
    <x v="2"/>
    <x v="60"/>
    <x v="2"/>
    <x v="2"/>
    <x v="3"/>
    <n v="57"/>
    <n v="9008"/>
    <n v="24.010621050000001"/>
    <n v="0.2401062105"/>
    <n v="132"/>
    <d v="1899-12-30T02:12:00"/>
    <n v="4"/>
    <n v="49291"/>
    <x v="0"/>
    <n v="40283"/>
    <n v="0.81724858493436936"/>
  </r>
  <r>
    <s v="P-0739"/>
    <x v="3"/>
    <x v="2"/>
    <x v="0"/>
    <x v="60"/>
    <x v="2"/>
    <x v="2"/>
    <x v="4"/>
    <n v="77"/>
    <n v="6582"/>
    <n v="17.013021330000001"/>
    <n v="0.1701302133"/>
    <n v="31"/>
    <d v="1899-12-30T00:31:00"/>
    <n v="3"/>
    <n v="28405"/>
    <x v="0"/>
    <n v="21823"/>
    <n v="0.76828023235345888"/>
  </r>
  <r>
    <s v="P-0740"/>
    <x v="11"/>
    <x v="0"/>
    <x v="1"/>
    <x v="49"/>
    <x v="2"/>
    <x v="1"/>
    <x v="5"/>
    <n v="85"/>
    <n v="1134"/>
    <n v="19.87187832"/>
    <n v="0.1987187832"/>
    <n v="109"/>
    <d v="1899-12-30T01:49:00"/>
    <n v="2"/>
    <n v="37386"/>
    <x v="0"/>
    <n v="36252"/>
    <n v="0.96966779008184878"/>
  </r>
  <r>
    <s v="P-0741"/>
    <x v="6"/>
    <x v="6"/>
    <x v="1"/>
    <x v="38"/>
    <x v="1"/>
    <x v="0"/>
    <x v="4"/>
    <n v="75"/>
    <n v="2425"/>
    <n v="15.125321189999999"/>
    <n v="0.15125321189999999"/>
    <n v="107"/>
    <d v="1899-12-30T01:47:00"/>
    <n v="3"/>
    <n v="26373"/>
    <x v="0"/>
    <n v="23948"/>
    <n v="0.90804989951844695"/>
  </r>
  <r>
    <s v="P-0742"/>
    <x v="13"/>
    <x v="6"/>
    <x v="2"/>
    <x v="47"/>
    <x v="2"/>
    <x v="2"/>
    <x v="1"/>
    <n v="57"/>
    <n v="2556"/>
    <n v="17.682080630000002"/>
    <n v="0.17682080630000002"/>
    <n v="167"/>
    <d v="1899-12-30T02:47:00"/>
    <n v="3"/>
    <n v="21827"/>
    <x v="0"/>
    <n v="19271"/>
    <n v="0.88289732899619733"/>
  </r>
  <r>
    <s v="P-0743"/>
    <x v="12"/>
    <x v="5"/>
    <x v="0"/>
    <x v="42"/>
    <x v="1"/>
    <x v="1"/>
    <x v="0"/>
    <n v="99"/>
    <n v="7417"/>
    <n v="6.4186443229999997"/>
    <n v="6.4186443230000001E-2"/>
    <n v="34"/>
    <d v="1899-12-30T00:34:00"/>
    <n v="1"/>
    <n v="34040"/>
    <x v="0"/>
    <n v="26623"/>
    <n v="0.78210928319623974"/>
  </r>
  <r>
    <s v="P-0744"/>
    <x v="14"/>
    <x v="2"/>
    <x v="1"/>
    <x v="48"/>
    <x v="2"/>
    <x v="3"/>
    <x v="5"/>
    <n v="77"/>
    <n v="3644"/>
    <n v="10.087831619999999"/>
    <n v="0.1008783162"/>
    <n v="37"/>
    <d v="1899-12-30T00:37:00"/>
    <n v="3"/>
    <n v="14007"/>
    <x v="0"/>
    <n v="10363"/>
    <n v="0.73984436353251948"/>
  </r>
  <r>
    <s v="P-0745"/>
    <x v="13"/>
    <x v="1"/>
    <x v="0"/>
    <x v="23"/>
    <x v="1"/>
    <x v="1"/>
    <x v="2"/>
    <n v="77"/>
    <n v="1052"/>
    <n v="12.237061860000001"/>
    <n v="0.12237061860000001"/>
    <n v="122"/>
    <d v="1899-12-30T02:02:00"/>
    <n v="1"/>
    <n v="19157"/>
    <x v="0"/>
    <n v="18105"/>
    <n v="0.94508534739259797"/>
  </r>
  <r>
    <s v="P-0746"/>
    <x v="4"/>
    <x v="6"/>
    <x v="1"/>
    <x v="6"/>
    <x v="2"/>
    <x v="1"/>
    <x v="3"/>
    <n v="86"/>
    <n v="9407"/>
    <n v="14.449867100000001"/>
    <n v="0.144498671"/>
    <n v="54"/>
    <d v="1899-12-30T00:54:00"/>
    <n v="1"/>
    <n v="33157"/>
    <x v="0"/>
    <n v="23750"/>
    <n v="0.71628916970775403"/>
  </r>
  <r>
    <s v="P-0747"/>
    <x v="5"/>
    <x v="7"/>
    <x v="2"/>
    <x v="20"/>
    <x v="2"/>
    <x v="2"/>
    <x v="4"/>
    <n v="90"/>
    <n v="5883"/>
    <n v="5.91297491"/>
    <n v="5.9129749099999997E-2"/>
    <n v="77"/>
    <d v="1899-12-30T01:17:00"/>
    <n v="4"/>
    <n v="36315"/>
    <x v="0"/>
    <n v="30432"/>
    <n v="0.83800082610491533"/>
  </r>
  <r>
    <s v="P-0748"/>
    <x v="14"/>
    <x v="2"/>
    <x v="0"/>
    <x v="89"/>
    <x v="1"/>
    <x v="0"/>
    <x v="1"/>
    <n v="85"/>
    <n v="4411"/>
    <n v="7.8004819510000001"/>
    <n v="7.8004819510000004E-2"/>
    <n v="16"/>
    <d v="1899-12-30T00:16:00"/>
    <n v="1"/>
    <n v="36932"/>
    <x v="0"/>
    <n v="32521"/>
    <n v="0.88056428029892775"/>
  </r>
  <r>
    <s v="P-0749"/>
    <x v="4"/>
    <x v="1"/>
    <x v="2"/>
    <x v="61"/>
    <x v="2"/>
    <x v="3"/>
    <x v="5"/>
    <n v="76"/>
    <n v="3889"/>
    <n v="10.53628616"/>
    <n v="0.1053628616"/>
    <n v="58"/>
    <d v="1899-12-30T00:58:00"/>
    <n v="1"/>
    <n v="22164"/>
    <x v="0"/>
    <n v="18275"/>
    <n v="0.82453528243999274"/>
  </r>
  <r>
    <s v="P-0750"/>
    <x v="3"/>
    <x v="5"/>
    <x v="0"/>
    <x v="65"/>
    <x v="2"/>
    <x v="1"/>
    <x v="0"/>
    <n v="66"/>
    <n v="9799"/>
    <n v="24.43065382"/>
    <n v="0.24430653820000001"/>
    <n v="146"/>
    <d v="1899-12-30T02:26:00"/>
    <n v="4"/>
    <n v="15414"/>
    <x v="0"/>
    <n v="5615"/>
    <n v="0.36427922667704682"/>
  </r>
  <r>
    <s v="P-0751"/>
    <x v="0"/>
    <x v="5"/>
    <x v="2"/>
    <x v="39"/>
    <x v="0"/>
    <x v="3"/>
    <x v="5"/>
    <n v="58"/>
    <n v="8942"/>
    <n v="11.62694014"/>
    <n v="0.1162694014"/>
    <n v="173"/>
    <d v="1899-12-30T02:53:00"/>
    <n v="3"/>
    <n v="15327"/>
    <x v="0"/>
    <n v="6385"/>
    <n v="0.4165851112415998"/>
  </r>
  <r>
    <s v="P-0752"/>
    <x v="12"/>
    <x v="4"/>
    <x v="1"/>
    <x v="1"/>
    <x v="1"/>
    <x v="0"/>
    <x v="0"/>
    <n v="82"/>
    <n v="2930"/>
    <n v="14.64082116"/>
    <n v="0.1464082116"/>
    <n v="92"/>
    <d v="1899-12-30T01:32:00"/>
    <n v="2"/>
    <n v="49344"/>
    <x v="0"/>
    <n v="46414"/>
    <n v="0.94062094682230868"/>
  </r>
  <r>
    <s v="P-0753"/>
    <x v="14"/>
    <x v="6"/>
    <x v="1"/>
    <x v="23"/>
    <x v="1"/>
    <x v="3"/>
    <x v="1"/>
    <n v="69"/>
    <n v="958"/>
    <n v="8.9219542549999993"/>
    <n v="8.9219542549999989E-2"/>
    <n v="138"/>
    <d v="1899-12-30T02:18:00"/>
    <n v="2"/>
    <n v="1946"/>
    <x v="0"/>
    <n v="988"/>
    <n v="0.50770811921891057"/>
  </r>
  <r>
    <s v="P-0754"/>
    <x v="11"/>
    <x v="0"/>
    <x v="0"/>
    <x v="63"/>
    <x v="2"/>
    <x v="3"/>
    <x v="4"/>
    <n v="62"/>
    <n v="707"/>
    <n v="17.215601419999999"/>
    <n v="0.17215601419999998"/>
    <n v="147"/>
    <d v="1899-12-30T02:27:00"/>
    <n v="2"/>
    <n v="15693"/>
    <x v="0"/>
    <n v="14986"/>
    <n v="0.95494806601669535"/>
  </r>
  <r>
    <s v="P-0755"/>
    <x v="11"/>
    <x v="7"/>
    <x v="2"/>
    <x v="32"/>
    <x v="1"/>
    <x v="2"/>
    <x v="5"/>
    <n v="77"/>
    <n v="1399"/>
    <n v="10.613664310000001"/>
    <n v="0.10613664310000001"/>
    <n v="173"/>
    <d v="1899-12-30T02:53:00"/>
    <n v="3"/>
    <n v="28241"/>
    <x v="0"/>
    <n v="26842"/>
    <n v="0.95046209411848026"/>
  </r>
  <r>
    <s v="P-0756"/>
    <x v="3"/>
    <x v="1"/>
    <x v="1"/>
    <x v="61"/>
    <x v="2"/>
    <x v="0"/>
    <x v="2"/>
    <n v="97"/>
    <n v="521"/>
    <n v="9.1398515689999993"/>
    <n v="9.1398515689999987E-2"/>
    <n v="82"/>
    <d v="1899-12-30T01:22:00"/>
    <n v="1"/>
    <n v="31254"/>
    <x v="0"/>
    <n v="30733"/>
    <n v="0.98333013374288092"/>
  </r>
  <r>
    <s v="P-0757"/>
    <x v="8"/>
    <x v="6"/>
    <x v="2"/>
    <x v="12"/>
    <x v="3"/>
    <x v="1"/>
    <x v="5"/>
    <n v="78"/>
    <n v="9101"/>
    <n v="15.33145257"/>
    <n v="0.15331452570000001"/>
    <n v="55"/>
    <d v="1899-12-30T00:55:00"/>
    <n v="2"/>
    <n v="16540"/>
    <x v="0"/>
    <n v="7439"/>
    <n v="0.44975816203143892"/>
  </r>
  <r>
    <s v="P-0758"/>
    <x v="3"/>
    <x v="2"/>
    <x v="2"/>
    <x v="2"/>
    <x v="2"/>
    <x v="2"/>
    <x v="4"/>
    <n v="62"/>
    <n v="1394"/>
    <n v="5.110115983"/>
    <n v="5.1101159829999999E-2"/>
    <n v="115"/>
    <d v="1899-12-30T01:55:00"/>
    <n v="3"/>
    <n v="7719"/>
    <x v="0"/>
    <n v="6325"/>
    <n v="0.81940665889363906"/>
  </r>
  <r>
    <s v="P-0759"/>
    <x v="6"/>
    <x v="0"/>
    <x v="1"/>
    <x v="47"/>
    <x v="2"/>
    <x v="2"/>
    <x v="5"/>
    <n v="95"/>
    <n v="1014"/>
    <n v="5.1532806530000004"/>
    <n v="5.1532806530000003E-2"/>
    <n v="169"/>
    <d v="1899-12-30T02:49:00"/>
    <n v="1"/>
    <n v="42203"/>
    <x v="0"/>
    <n v="41189"/>
    <n v="0.97597327204227191"/>
  </r>
  <r>
    <s v="P-0760"/>
    <x v="11"/>
    <x v="6"/>
    <x v="2"/>
    <x v="73"/>
    <x v="1"/>
    <x v="1"/>
    <x v="5"/>
    <n v="84"/>
    <n v="7794"/>
    <n v="9.3813761820000003"/>
    <n v="9.3813761820000008E-2"/>
    <n v="41"/>
    <d v="1899-12-30T00:41:00"/>
    <n v="4"/>
    <n v="26081"/>
    <x v="0"/>
    <n v="18287"/>
    <n v="0.70116176526973661"/>
  </r>
  <r>
    <s v="P-0761"/>
    <x v="6"/>
    <x v="6"/>
    <x v="1"/>
    <x v="50"/>
    <x v="1"/>
    <x v="0"/>
    <x v="3"/>
    <n v="55"/>
    <n v="5404"/>
    <n v="5.7344272500000004"/>
    <n v="5.7344272500000001E-2"/>
    <n v="15"/>
    <d v="1899-12-30T00:15:00"/>
    <n v="2"/>
    <n v="12350"/>
    <x v="0"/>
    <n v="6946"/>
    <n v="0.56242914979757086"/>
  </r>
  <r>
    <s v="P-0762"/>
    <x v="10"/>
    <x v="6"/>
    <x v="1"/>
    <x v="76"/>
    <x v="2"/>
    <x v="3"/>
    <x v="5"/>
    <n v="67"/>
    <n v="8367"/>
    <n v="7.1605150829999999"/>
    <n v="7.1605150830000006E-2"/>
    <n v="175"/>
    <d v="1899-12-30T02:55:00"/>
    <n v="1"/>
    <n v="37358"/>
    <x v="0"/>
    <n v="28991"/>
    <n v="0.77603190748969431"/>
  </r>
  <r>
    <s v="P-0763"/>
    <x v="7"/>
    <x v="4"/>
    <x v="2"/>
    <x v="10"/>
    <x v="0"/>
    <x v="0"/>
    <x v="3"/>
    <n v="54"/>
    <n v="4609"/>
    <n v="11.777212990000001"/>
    <n v="0.11777212990000001"/>
    <n v="154"/>
    <d v="1899-12-30T02:34:00"/>
    <n v="2"/>
    <n v="33021"/>
    <x v="0"/>
    <n v="28412"/>
    <n v="0.86042215559795276"/>
  </r>
  <r>
    <s v="P-0764"/>
    <x v="0"/>
    <x v="4"/>
    <x v="1"/>
    <x v="56"/>
    <x v="0"/>
    <x v="0"/>
    <x v="5"/>
    <n v="96"/>
    <n v="7679"/>
    <n v="21.051713589999999"/>
    <n v="0.21051713589999999"/>
    <n v="83"/>
    <d v="1899-12-30T01:23:00"/>
    <n v="2"/>
    <n v="43832"/>
    <x v="0"/>
    <n v="36153"/>
    <n v="0.82480835918963313"/>
  </r>
  <r>
    <s v="P-0765"/>
    <x v="10"/>
    <x v="3"/>
    <x v="0"/>
    <x v="25"/>
    <x v="1"/>
    <x v="3"/>
    <x v="4"/>
    <n v="74"/>
    <n v="2060"/>
    <n v="16.44097287"/>
    <n v="0.16440972870000001"/>
    <n v="123"/>
    <d v="1899-12-30T02:03:00"/>
    <n v="2"/>
    <n v="29369"/>
    <x v="0"/>
    <n v="27309"/>
    <n v="0.92985801355170417"/>
  </r>
  <r>
    <s v="P-0766"/>
    <x v="7"/>
    <x v="7"/>
    <x v="1"/>
    <x v="71"/>
    <x v="2"/>
    <x v="3"/>
    <x v="1"/>
    <n v="51"/>
    <n v="1766"/>
    <n v="15.25335452"/>
    <n v="0.15253354520000001"/>
    <n v="36"/>
    <d v="1899-12-30T00:36:00"/>
    <n v="1"/>
    <n v="32728"/>
    <x v="0"/>
    <n v="30962"/>
    <n v="0.94604008799804451"/>
  </r>
  <r>
    <s v="P-0767"/>
    <x v="0"/>
    <x v="0"/>
    <x v="1"/>
    <x v="84"/>
    <x v="0"/>
    <x v="3"/>
    <x v="5"/>
    <n v="59"/>
    <n v="4138"/>
    <n v="10.869776460000001"/>
    <n v="0.10869776460000001"/>
    <n v="63"/>
    <d v="1899-12-30T01:03:00"/>
    <n v="3"/>
    <n v="18576"/>
    <x v="0"/>
    <n v="14438"/>
    <n v="0.77723944875107664"/>
  </r>
  <r>
    <s v="P-0768"/>
    <x v="10"/>
    <x v="7"/>
    <x v="2"/>
    <x v="8"/>
    <x v="0"/>
    <x v="0"/>
    <x v="2"/>
    <n v="79"/>
    <n v="9441"/>
    <n v="23.63507439"/>
    <n v="0.23635074389999999"/>
    <n v="172"/>
    <d v="1899-12-30T02:52:00"/>
    <n v="1"/>
    <n v="30001"/>
    <x v="0"/>
    <n v="20560"/>
    <n v="0.68531048965034502"/>
  </r>
  <r>
    <s v="P-0769"/>
    <x v="11"/>
    <x v="7"/>
    <x v="1"/>
    <x v="38"/>
    <x v="1"/>
    <x v="1"/>
    <x v="4"/>
    <n v="99"/>
    <n v="3927"/>
    <n v="12.940300819999999"/>
    <n v="0.1294030082"/>
    <n v="94"/>
    <d v="1899-12-30T01:34:00"/>
    <n v="2"/>
    <n v="18848"/>
    <x v="0"/>
    <n v="14921"/>
    <n v="0.79164898132427841"/>
  </r>
  <r>
    <s v="P-0770"/>
    <x v="11"/>
    <x v="6"/>
    <x v="2"/>
    <x v="59"/>
    <x v="0"/>
    <x v="0"/>
    <x v="1"/>
    <n v="94"/>
    <n v="5280"/>
    <n v="6.7418553360000004"/>
    <n v="6.7418553360000008E-2"/>
    <n v="136"/>
    <d v="1899-12-30T02:16:00"/>
    <n v="1"/>
    <n v="1390"/>
    <x v="0"/>
    <n v="-3890"/>
    <n v="-2.7985611510791366"/>
  </r>
  <r>
    <s v="P-0771"/>
    <x v="11"/>
    <x v="5"/>
    <x v="0"/>
    <x v="16"/>
    <x v="1"/>
    <x v="1"/>
    <x v="3"/>
    <n v="54"/>
    <n v="2427"/>
    <n v="17.341330320000001"/>
    <n v="0.17341330320000001"/>
    <n v="162"/>
    <d v="1899-12-30T02:42:00"/>
    <n v="4"/>
    <n v="22999"/>
    <x v="1"/>
    <n v="20572"/>
    <n v="0.89447367276838119"/>
  </r>
  <r>
    <s v="P-0772"/>
    <x v="14"/>
    <x v="7"/>
    <x v="1"/>
    <x v="47"/>
    <x v="2"/>
    <x v="0"/>
    <x v="2"/>
    <n v="82"/>
    <n v="2856"/>
    <n v="7.2767678699999996"/>
    <n v="7.2767678699999991E-2"/>
    <n v="165"/>
    <d v="1899-12-30T02:45:00"/>
    <n v="3"/>
    <n v="46436"/>
    <x v="0"/>
    <n v="43580"/>
    <n v="0.93849599448703591"/>
  </r>
  <r>
    <s v="P-0773"/>
    <x v="2"/>
    <x v="1"/>
    <x v="0"/>
    <x v="73"/>
    <x v="1"/>
    <x v="1"/>
    <x v="2"/>
    <n v="50"/>
    <n v="5290"/>
    <n v="11.904462860000001"/>
    <n v="0.11904462860000001"/>
    <n v="120"/>
    <d v="1899-12-30T02:00:00"/>
    <n v="1"/>
    <n v="12569"/>
    <x v="0"/>
    <n v="7279"/>
    <n v="0.57912323971676349"/>
  </r>
  <r>
    <s v="P-0774"/>
    <x v="7"/>
    <x v="4"/>
    <x v="1"/>
    <x v="74"/>
    <x v="1"/>
    <x v="3"/>
    <x v="4"/>
    <n v="67"/>
    <n v="806"/>
    <n v="15.148238770000001"/>
    <n v="0.1514823877"/>
    <n v="24"/>
    <d v="1899-12-30T00:24:00"/>
    <n v="4"/>
    <n v="14029"/>
    <x v="0"/>
    <n v="13223"/>
    <n v="0.94254758001283057"/>
  </r>
  <r>
    <s v="P-0775"/>
    <x v="12"/>
    <x v="2"/>
    <x v="0"/>
    <x v="41"/>
    <x v="2"/>
    <x v="0"/>
    <x v="0"/>
    <n v="81"/>
    <n v="8479"/>
    <n v="22.48445049"/>
    <n v="0.22484450489999999"/>
    <n v="141"/>
    <d v="1899-12-30T02:21:00"/>
    <n v="3"/>
    <n v="23490"/>
    <x v="0"/>
    <n v="15011"/>
    <n v="0.63903788846317577"/>
  </r>
  <r>
    <s v="P-0776"/>
    <x v="4"/>
    <x v="7"/>
    <x v="1"/>
    <x v="89"/>
    <x v="1"/>
    <x v="0"/>
    <x v="1"/>
    <n v="96"/>
    <n v="4165"/>
    <n v="14.87093161"/>
    <n v="0.14870931609999999"/>
    <n v="102"/>
    <d v="1899-12-30T01:42:00"/>
    <n v="4"/>
    <n v="46875"/>
    <x v="0"/>
    <n v="42710"/>
    <n v="0.91114666666666666"/>
  </r>
  <r>
    <s v="P-0777"/>
    <x v="0"/>
    <x v="0"/>
    <x v="2"/>
    <x v="18"/>
    <x v="3"/>
    <x v="2"/>
    <x v="1"/>
    <n v="98"/>
    <n v="7557"/>
    <n v="19.045175319999998"/>
    <n v="0.19045175319999999"/>
    <n v="132"/>
    <d v="1899-12-30T02:12:00"/>
    <n v="3"/>
    <n v="36328"/>
    <x v="0"/>
    <n v="28771"/>
    <n v="0.79197863906628496"/>
  </r>
  <r>
    <s v="P-0778"/>
    <x v="14"/>
    <x v="1"/>
    <x v="0"/>
    <x v="85"/>
    <x v="1"/>
    <x v="1"/>
    <x v="0"/>
    <n v="60"/>
    <n v="1161"/>
    <n v="24.856336779999999"/>
    <n v="0.24856336779999999"/>
    <n v="82"/>
    <d v="1899-12-30T01:22:00"/>
    <n v="1"/>
    <n v="6867"/>
    <x v="0"/>
    <n v="5706"/>
    <n v="0.83093053735255573"/>
  </r>
  <r>
    <s v="P-0779"/>
    <x v="11"/>
    <x v="2"/>
    <x v="2"/>
    <x v="85"/>
    <x v="1"/>
    <x v="0"/>
    <x v="1"/>
    <n v="70"/>
    <n v="5144"/>
    <n v="7.6297823979999997"/>
    <n v="7.6297823979999999E-2"/>
    <n v="164"/>
    <d v="1899-12-30T02:44:00"/>
    <n v="4"/>
    <n v="16284"/>
    <x v="0"/>
    <n v="11140"/>
    <n v="0.68410709899287647"/>
  </r>
  <r>
    <s v="P-0780"/>
    <x v="6"/>
    <x v="6"/>
    <x v="2"/>
    <x v="12"/>
    <x v="3"/>
    <x v="0"/>
    <x v="1"/>
    <n v="75"/>
    <n v="9003"/>
    <n v="10.49463051"/>
    <n v="0.1049463051"/>
    <n v="163"/>
    <d v="1899-12-30T02:43:00"/>
    <n v="2"/>
    <n v="34979"/>
    <x v="0"/>
    <n v="25976"/>
    <n v="0.74261699877069098"/>
  </r>
  <r>
    <s v="P-0781"/>
    <x v="13"/>
    <x v="6"/>
    <x v="0"/>
    <x v="66"/>
    <x v="1"/>
    <x v="3"/>
    <x v="0"/>
    <n v="74"/>
    <n v="3420"/>
    <n v="12.89152151"/>
    <n v="0.12891521510000001"/>
    <n v="156"/>
    <d v="1899-12-30T02:36:00"/>
    <n v="4"/>
    <n v="10121"/>
    <x v="0"/>
    <n v="6701"/>
    <n v="0.6620887264104337"/>
  </r>
  <r>
    <s v="P-0782"/>
    <x v="11"/>
    <x v="7"/>
    <x v="1"/>
    <x v="79"/>
    <x v="2"/>
    <x v="1"/>
    <x v="4"/>
    <n v="71"/>
    <n v="9774"/>
    <n v="13.436563570000001"/>
    <n v="0.13436563570000001"/>
    <n v="101"/>
    <d v="1899-12-30T01:41:00"/>
    <n v="3"/>
    <n v="2539"/>
    <x v="0"/>
    <n v="-7235"/>
    <n v="-2.8495470657739266"/>
  </r>
  <r>
    <s v="P-0783"/>
    <x v="1"/>
    <x v="6"/>
    <x v="1"/>
    <x v="71"/>
    <x v="2"/>
    <x v="1"/>
    <x v="5"/>
    <n v="76"/>
    <n v="9446"/>
    <n v="13.22042151"/>
    <n v="0.13220421509999999"/>
    <n v="26"/>
    <d v="1899-12-30T00:26:00"/>
    <n v="1"/>
    <n v="26488"/>
    <x v="0"/>
    <n v="17042"/>
    <n v="0.6433856840833585"/>
  </r>
  <r>
    <s v="P-0784"/>
    <x v="0"/>
    <x v="0"/>
    <x v="1"/>
    <x v="35"/>
    <x v="2"/>
    <x v="0"/>
    <x v="1"/>
    <n v="98"/>
    <n v="6736"/>
    <n v="23.15222005"/>
    <n v="0.2315222005"/>
    <n v="52"/>
    <d v="1899-12-30T00:52:00"/>
    <n v="3"/>
    <n v="18027"/>
    <x v="0"/>
    <n v="11291"/>
    <n v="0.62633827037221945"/>
  </r>
  <r>
    <s v="P-0785"/>
    <x v="4"/>
    <x v="4"/>
    <x v="2"/>
    <x v="66"/>
    <x v="1"/>
    <x v="1"/>
    <x v="2"/>
    <n v="62"/>
    <n v="6578"/>
    <n v="19.280652889999999"/>
    <n v="0.1928065289"/>
    <n v="130"/>
    <d v="1899-12-30T02:10:00"/>
    <n v="4"/>
    <n v="9693"/>
    <x v="0"/>
    <n v="3115"/>
    <n v="0.32136593417930465"/>
  </r>
  <r>
    <s v="P-0786"/>
    <x v="8"/>
    <x v="0"/>
    <x v="2"/>
    <x v="45"/>
    <x v="3"/>
    <x v="1"/>
    <x v="4"/>
    <n v="82"/>
    <n v="852"/>
    <n v="17.15810428"/>
    <n v="0.1715810428"/>
    <n v="50"/>
    <d v="1899-12-30T00:50:00"/>
    <n v="4"/>
    <n v="9921"/>
    <x v="0"/>
    <n v="9069"/>
    <n v="0.91412156032657998"/>
  </r>
  <r>
    <s v="P-0787"/>
    <x v="2"/>
    <x v="4"/>
    <x v="0"/>
    <x v="78"/>
    <x v="3"/>
    <x v="1"/>
    <x v="4"/>
    <n v="83"/>
    <n v="9594"/>
    <n v="11.18745436"/>
    <n v="0.1118745436"/>
    <n v="179"/>
    <d v="1899-12-30T02:59:00"/>
    <n v="2"/>
    <n v="11310"/>
    <x v="0"/>
    <n v="1716"/>
    <n v="0.15172413793103448"/>
  </r>
  <r>
    <s v="P-0788"/>
    <x v="8"/>
    <x v="7"/>
    <x v="2"/>
    <x v="58"/>
    <x v="0"/>
    <x v="1"/>
    <x v="0"/>
    <n v="90"/>
    <n v="7505"/>
    <n v="21.475807679999999"/>
    <n v="0.2147580768"/>
    <n v="177"/>
    <d v="1899-12-30T02:57:00"/>
    <n v="1"/>
    <n v="46512"/>
    <x v="0"/>
    <n v="39007"/>
    <n v="0.83864379084967322"/>
  </r>
  <r>
    <s v="P-0789"/>
    <x v="3"/>
    <x v="2"/>
    <x v="1"/>
    <x v="67"/>
    <x v="0"/>
    <x v="1"/>
    <x v="4"/>
    <n v="84"/>
    <n v="658"/>
    <n v="24.10121023"/>
    <n v="0.2410121023"/>
    <n v="48"/>
    <d v="1899-12-30T00:48:00"/>
    <n v="1"/>
    <n v="31908"/>
    <x v="0"/>
    <n v="31250"/>
    <n v="0.97937821236053657"/>
  </r>
  <r>
    <s v="P-0790"/>
    <x v="14"/>
    <x v="3"/>
    <x v="0"/>
    <x v="89"/>
    <x v="1"/>
    <x v="2"/>
    <x v="0"/>
    <n v="50"/>
    <n v="1456"/>
    <n v="21.42396565"/>
    <n v="0.21423965649999999"/>
    <n v="122"/>
    <d v="1899-12-30T02:02:00"/>
    <n v="4"/>
    <n v="5386"/>
    <x v="0"/>
    <n v="3930"/>
    <n v="0.72966951355365761"/>
  </r>
  <r>
    <s v="P-0791"/>
    <x v="4"/>
    <x v="6"/>
    <x v="1"/>
    <x v="48"/>
    <x v="2"/>
    <x v="2"/>
    <x v="4"/>
    <n v="70"/>
    <n v="2571"/>
    <n v="5.0313021039999999"/>
    <n v="5.0313021039999996E-2"/>
    <n v="160"/>
    <d v="1899-12-30T02:40:00"/>
    <n v="1"/>
    <n v="33263"/>
    <x v="0"/>
    <n v="30692"/>
    <n v="0.92270691158344109"/>
  </r>
  <r>
    <s v="P-0792"/>
    <x v="0"/>
    <x v="2"/>
    <x v="0"/>
    <x v="68"/>
    <x v="3"/>
    <x v="0"/>
    <x v="5"/>
    <n v="97"/>
    <n v="9095"/>
    <n v="17.728027399999998"/>
    <n v="0.17728027399999999"/>
    <n v="120"/>
    <d v="1899-12-30T02:00:00"/>
    <n v="2"/>
    <n v="29412"/>
    <x v="0"/>
    <n v="20317"/>
    <n v="0.69077247382020945"/>
  </r>
  <r>
    <s v="P-0793"/>
    <x v="14"/>
    <x v="3"/>
    <x v="1"/>
    <x v="27"/>
    <x v="2"/>
    <x v="1"/>
    <x v="2"/>
    <n v="55"/>
    <n v="3953"/>
    <n v="6.0227076290000001"/>
    <n v="6.0227076290000001E-2"/>
    <n v="56"/>
    <d v="1899-12-30T00:56:00"/>
    <n v="3"/>
    <n v="18303"/>
    <x v="0"/>
    <n v="14350"/>
    <n v="0.78402447686171661"/>
  </r>
  <r>
    <s v="P-0794"/>
    <x v="1"/>
    <x v="5"/>
    <x v="2"/>
    <x v="65"/>
    <x v="2"/>
    <x v="3"/>
    <x v="3"/>
    <n v="77"/>
    <n v="7175"/>
    <n v="10.15214441"/>
    <n v="0.1015214441"/>
    <n v="72"/>
    <d v="1899-12-30T01:12:00"/>
    <n v="1"/>
    <n v="13242"/>
    <x v="0"/>
    <n v="6067"/>
    <n v="0.45816341942304789"/>
  </r>
  <r>
    <s v="P-0795"/>
    <x v="10"/>
    <x v="3"/>
    <x v="2"/>
    <x v="23"/>
    <x v="1"/>
    <x v="0"/>
    <x v="4"/>
    <n v="66"/>
    <n v="1455"/>
    <n v="6.1904940069999999"/>
    <n v="6.1904940069999997E-2"/>
    <n v="119"/>
    <d v="1899-12-30T01:59:00"/>
    <n v="4"/>
    <n v="48025"/>
    <x v="0"/>
    <n v="46570"/>
    <n v="0.96970327954190527"/>
  </r>
  <r>
    <s v="P-0796"/>
    <x v="12"/>
    <x v="2"/>
    <x v="1"/>
    <x v="15"/>
    <x v="1"/>
    <x v="0"/>
    <x v="4"/>
    <n v="54"/>
    <n v="6795"/>
    <n v="17.075909060000001"/>
    <n v="0.1707590906"/>
    <n v="78"/>
    <d v="1899-12-30T01:18:00"/>
    <n v="3"/>
    <n v="9947"/>
    <x v="0"/>
    <n v="3152"/>
    <n v="0.31687946114406351"/>
  </r>
  <r>
    <s v="P-0797"/>
    <x v="5"/>
    <x v="2"/>
    <x v="0"/>
    <x v="45"/>
    <x v="3"/>
    <x v="1"/>
    <x v="4"/>
    <n v="80"/>
    <n v="2212"/>
    <n v="18.731798269999999"/>
    <n v="0.1873179827"/>
    <n v="52"/>
    <d v="1899-12-30T00:52:00"/>
    <n v="3"/>
    <n v="47714"/>
    <x v="0"/>
    <n v="45502"/>
    <n v="0.95364044096072431"/>
  </r>
  <r>
    <s v="P-0798"/>
    <x v="14"/>
    <x v="0"/>
    <x v="2"/>
    <x v="23"/>
    <x v="1"/>
    <x v="1"/>
    <x v="0"/>
    <n v="54"/>
    <n v="5203"/>
    <n v="7.2897527609999999"/>
    <n v="7.2897527609999999E-2"/>
    <n v="43"/>
    <d v="1899-12-30T00:43:00"/>
    <n v="2"/>
    <n v="6930"/>
    <x v="0"/>
    <n v="1727"/>
    <n v="0.24920634920634921"/>
  </r>
  <r>
    <s v="P-0799"/>
    <x v="7"/>
    <x v="3"/>
    <x v="0"/>
    <x v="88"/>
    <x v="3"/>
    <x v="2"/>
    <x v="2"/>
    <n v="87"/>
    <n v="7063"/>
    <n v="12.676777660000001"/>
    <n v="0.12676777660000002"/>
    <n v="49"/>
    <d v="1899-12-30T00:49:00"/>
    <n v="4"/>
    <n v="39170"/>
    <x v="0"/>
    <n v="32107"/>
    <n v="0.81968343119734488"/>
  </r>
  <r>
    <s v="P-0800"/>
    <x v="4"/>
    <x v="5"/>
    <x v="1"/>
    <x v="24"/>
    <x v="2"/>
    <x v="0"/>
    <x v="1"/>
    <n v="52"/>
    <n v="9965"/>
    <n v="14.12473018"/>
    <n v="0.1412473018"/>
    <n v="70"/>
    <d v="1899-12-30T01:10:00"/>
    <n v="1"/>
    <n v="49785"/>
    <x v="0"/>
    <n v="39820"/>
    <n v="0.79983930902882394"/>
  </r>
  <r>
    <s v="P-0801"/>
    <x v="6"/>
    <x v="2"/>
    <x v="1"/>
    <x v="83"/>
    <x v="3"/>
    <x v="0"/>
    <x v="0"/>
    <n v="72"/>
    <n v="6131"/>
    <n v="12.381060440000001"/>
    <n v="0.12381060440000001"/>
    <n v="71"/>
    <d v="1899-12-30T01:11:00"/>
    <n v="4"/>
    <n v="1507"/>
    <x v="0"/>
    <n v="-4624"/>
    <n v="-3.0683477106834771"/>
  </r>
  <r>
    <s v="P-0802"/>
    <x v="11"/>
    <x v="1"/>
    <x v="1"/>
    <x v="62"/>
    <x v="1"/>
    <x v="1"/>
    <x v="5"/>
    <n v="86"/>
    <n v="1894"/>
    <n v="7.4205000099999996"/>
    <n v="7.4205000100000001E-2"/>
    <n v="67"/>
    <d v="1899-12-30T01:07:00"/>
    <n v="3"/>
    <n v="2436"/>
    <x v="0"/>
    <n v="542"/>
    <n v="0.22249589490968802"/>
  </r>
  <r>
    <s v="P-0803"/>
    <x v="13"/>
    <x v="0"/>
    <x v="0"/>
    <x v="75"/>
    <x v="2"/>
    <x v="0"/>
    <x v="0"/>
    <n v="86"/>
    <n v="9961"/>
    <n v="13.3789558"/>
    <n v="0.133789558"/>
    <n v="170"/>
    <d v="1899-12-30T02:50:00"/>
    <n v="4"/>
    <n v="28151"/>
    <x v="0"/>
    <n v="18190"/>
    <n v="0.64615821818052643"/>
  </r>
  <r>
    <s v="P-0804"/>
    <x v="9"/>
    <x v="6"/>
    <x v="2"/>
    <x v="27"/>
    <x v="2"/>
    <x v="3"/>
    <x v="1"/>
    <n v="59"/>
    <n v="5232"/>
    <n v="20.023560960000001"/>
    <n v="0.2002356096"/>
    <n v="84"/>
    <d v="1899-12-30T01:24:00"/>
    <n v="1"/>
    <n v="12618"/>
    <x v="0"/>
    <n v="7386"/>
    <n v="0.58535425582501188"/>
  </r>
  <r>
    <s v="P-0805"/>
    <x v="12"/>
    <x v="2"/>
    <x v="1"/>
    <x v="24"/>
    <x v="2"/>
    <x v="1"/>
    <x v="5"/>
    <n v="59"/>
    <n v="4214"/>
    <n v="6.4201532910000001"/>
    <n v="6.4201532909999998E-2"/>
    <n v="25"/>
    <d v="1899-12-30T00:25:00"/>
    <n v="1"/>
    <n v="9750"/>
    <x v="0"/>
    <n v="5536"/>
    <n v="0.56779487179487176"/>
  </r>
  <r>
    <s v="P-0806"/>
    <x v="13"/>
    <x v="1"/>
    <x v="0"/>
    <x v="85"/>
    <x v="1"/>
    <x v="0"/>
    <x v="1"/>
    <n v="68"/>
    <n v="1029"/>
    <n v="6.6036002820000004"/>
    <n v="6.6036002820000009E-2"/>
    <n v="91"/>
    <d v="1899-12-30T01:31:00"/>
    <n v="2"/>
    <n v="17122"/>
    <x v="0"/>
    <n v="16093"/>
    <n v="0.93990188062142277"/>
  </r>
  <r>
    <s v="P-0807"/>
    <x v="7"/>
    <x v="6"/>
    <x v="2"/>
    <x v="19"/>
    <x v="1"/>
    <x v="2"/>
    <x v="1"/>
    <n v="66"/>
    <n v="3458"/>
    <n v="12.095425840000001"/>
    <n v="0.12095425840000001"/>
    <n v="103"/>
    <d v="1899-12-30T01:43:00"/>
    <n v="1"/>
    <n v="8354"/>
    <x v="0"/>
    <n v="4896"/>
    <n v="0.58606655494373949"/>
  </r>
  <r>
    <s v="P-0808"/>
    <x v="1"/>
    <x v="5"/>
    <x v="2"/>
    <x v="4"/>
    <x v="2"/>
    <x v="2"/>
    <x v="2"/>
    <n v="70"/>
    <n v="8404"/>
    <n v="23.83451423"/>
    <n v="0.23834514230000001"/>
    <n v="57"/>
    <d v="1899-12-30T00:57:00"/>
    <n v="1"/>
    <n v="45062"/>
    <x v="0"/>
    <n v="36658"/>
    <n v="0.81350139807376498"/>
  </r>
  <r>
    <s v="P-0809"/>
    <x v="10"/>
    <x v="4"/>
    <x v="0"/>
    <x v="54"/>
    <x v="1"/>
    <x v="3"/>
    <x v="3"/>
    <n v="63"/>
    <n v="4091"/>
    <n v="18.37145293"/>
    <n v="0.18371452930000001"/>
    <n v="147"/>
    <d v="1899-12-30T02:27:00"/>
    <n v="4"/>
    <n v="31979"/>
    <x v="1"/>
    <n v="27888"/>
    <n v="0.87207229744519843"/>
  </r>
  <r>
    <s v="P-0810"/>
    <x v="8"/>
    <x v="4"/>
    <x v="1"/>
    <x v="16"/>
    <x v="1"/>
    <x v="3"/>
    <x v="5"/>
    <n v="58"/>
    <n v="7395"/>
    <n v="18.573399129999999"/>
    <n v="0.18573399129999998"/>
    <n v="91"/>
    <d v="1899-12-30T01:31:00"/>
    <n v="4"/>
    <n v="21900"/>
    <x v="0"/>
    <n v="14505"/>
    <n v="0.6623287671232877"/>
  </r>
  <r>
    <s v="P-0811"/>
    <x v="10"/>
    <x v="7"/>
    <x v="2"/>
    <x v="69"/>
    <x v="0"/>
    <x v="1"/>
    <x v="3"/>
    <n v="95"/>
    <n v="9631"/>
    <n v="12.23839982"/>
    <n v="0.1223839982"/>
    <n v="47"/>
    <d v="1899-12-30T00:47:00"/>
    <n v="3"/>
    <n v="14840"/>
    <x v="0"/>
    <n v="5209"/>
    <n v="0.35101078167115901"/>
  </r>
  <r>
    <s v="P-0812"/>
    <x v="4"/>
    <x v="0"/>
    <x v="0"/>
    <x v="89"/>
    <x v="1"/>
    <x v="3"/>
    <x v="2"/>
    <n v="50"/>
    <n v="1025"/>
    <n v="16.873215819999999"/>
    <n v="0.16873215819999998"/>
    <n v="136"/>
    <d v="1899-12-30T02:16:00"/>
    <n v="2"/>
    <n v="38167"/>
    <x v="0"/>
    <n v="37142"/>
    <n v="0.97314433935074807"/>
  </r>
  <r>
    <s v="P-0813"/>
    <x v="1"/>
    <x v="0"/>
    <x v="0"/>
    <x v="70"/>
    <x v="2"/>
    <x v="0"/>
    <x v="3"/>
    <n v="94"/>
    <n v="6977"/>
    <n v="5.2026236810000004"/>
    <n v="5.2026236810000001E-2"/>
    <n v="28"/>
    <d v="1899-12-30T00:28:00"/>
    <n v="4"/>
    <n v="6037"/>
    <x v="1"/>
    <n v="-940"/>
    <n v="-0.15570647672685109"/>
  </r>
  <r>
    <s v="P-0814"/>
    <x v="2"/>
    <x v="4"/>
    <x v="2"/>
    <x v="56"/>
    <x v="0"/>
    <x v="1"/>
    <x v="1"/>
    <n v="62"/>
    <n v="501"/>
    <n v="17.72192093"/>
    <n v="0.17721920929999999"/>
    <n v="173"/>
    <d v="1899-12-30T02:53:00"/>
    <n v="1"/>
    <n v="29633"/>
    <x v="0"/>
    <n v="29132"/>
    <n v="0.98309317315155398"/>
  </r>
  <r>
    <s v="P-0815"/>
    <x v="0"/>
    <x v="7"/>
    <x v="0"/>
    <x v="64"/>
    <x v="3"/>
    <x v="2"/>
    <x v="3"/>
    <n v="53"/>
    <n v="874"/>
    <n v="23.265738949999999"/>
    <n v="0.23265738950000001"/>
    <n v="72"/>
    <d v="1899-12-30T01:12:00"/>
    <n v="3"/>
    <n v="25495"/>
    <x v="1"/>
    <n v="24621"/>
    <n v="0.96571876838595805"/>
  </r>
  <r>
    <s v="P-0816"/>
    <x v="6"/>
    <x v="1"/>
    <x v="1"/>
    <x v="52"/>
    <x v="2"/>
    <x v="0"/>
    <x v="0"/>
    <n v="50"/>
    <n v="5148"/>
    <n v="17.251469369999999"/>
    <n v="0.1725146937"/>
    <n v="86"/>
    <d v="1899-12-30T01:26:00"/>
    <n v="4"/>
    <n v="16848"/>
    <x v="0"/>
    <n v="11700"/>
    <n v="0.69444444444444442"/>
  </r>
  <r>
    <s v="P-0817"/>
    <x v="12"/>
    <x v="6"/>
    <x v="0"/>
    <x v="27"/>
    <x v="2"/>
    <x v="0"/>
    <x v="3"/>
    <n v="98"/>
    <n v="2865"/>
    <n v="22.47397187"/>
    <n v="0.22473971870000001"/>
    <n v="140"/>
    <d v="1899-12-30T02:20:00"/>
    <n v="2"/>
    <n v="37483"/>
    <x v="1"/>
    <n v="34618"/>
    <n v="0.92356534962516346"/>
  </r>
  <r>
    <s v="P-0818"/>
    <x v="5"/>
    <x v="5"/>
    <x v="0"/>
    <x v="17"/>
    <x v="2"/>
    <x v="3"/>
    <x v="3"/>
    <n v="89"/>
    <n v="2025"/>
    <n v="19.479461109999999"/>
    <n v="0.19479461109999999"/>
    <n v="111"/>
    <d v="1899-12-30T01:51:00"/>
    <n v="2"/>
    <n v="48645"/>
    <x v="1"/>
    <n v="46620"/>
    <n v="0.95837187789084177"/>
  </r>
  <r>
    <s v="P-0819"/>
    <x v="14"/>
    <x v="6"/>
    <x v="0"/>
    <x v="32"/>
    <x v="1"/>
    <x v="0"/>
    <x v="1"/>
    <n v="81"/>
    <n v="2146"/>
    <n v="7.4111683279999996"/>
    <n v="7.4111683279999993E-2"/>
    <n v="74"/>
    <d v="1899-12-30T01:14:00"/>
    <n v="3"/>
    <n v="8837"/>
    <x v="0"/>
    <n v="6691"/>
    <n v="0.75715740635962425"/>
  </r>
  <r>
    <s v="P-0820"/>
    <x v="5"/>
    <x v="5"/>
    <x v="0"/>
    <x v="71"/>
    <x v="2"/>
    <x v="1"/>
    <x v="4"/>
    <n v="83"/>
    <n v="513"/>
    <n v="23.049066150000002"/>
    <n v="0.23049066150000003"/>
    <n v="129"/>
    <d v="1899-12-30T02:09:00"/>
    <n v="3"/>
    <n v="35069"/>
    <x v="0"/>
    <n v="34556"/>
    <n v="0.98537169579970918"/>
  </r>
  <r>
    <s v="P-0821"/>
    <x v="7"/>
    <x v="3"/>
    <x v="2"/>
    <x v="45"/>
    <x v="3"/>
    <x v="3"/>
    <x v="0"/>
    <n v="77"/>
    <n v="5099"/>
    <n v="6.3288768869999998"/>
    <n v="6.3288768869999998E-2"/>
    <n v="100"/>
    <d v="1899-12-30T01:40:00"/>
    <n v="3"/>
    <n v="8370"/>
    <x v="0"/>
    <n v="3271"/>
    <n v="0.39080047789725209"/>
  </r>
  <r>
    <s v="P-0822"/>
    <x v="9"/>
    <x v="2"/>
    <x v="1"/>
    <x v="88"/>
    <x v="3"/>
    <x v="0"/>
    <x v="1"/>
    <n v="80"/>
    <n v="2778"/>
    <n v="15.67934945"/>
    <n v="0.15679349449999999"/>
    <n v="17"/>
    <d v="1899-12-30T00:17:00"/>
    <n v="3"/>
    <n v="7411"/>
    <x v="0"/>
    <n v="4633"/>
    <n v="0.62515180137633253"/>
  </r>
  <r>
    <s v="P-0823"/>
    <x v="0"/>
    <x v="5"/>
    <x v="0"/>
    <x v="36"/>
    <x v="2"/>
    <x v="2"/>
    <x v="4"/>
    <n v="57"/>
    <n v="3655"/>
    <n v="7.8427424759999997"/>
    <n v="7.8427424760000003E-2"/>
    <n v="82"/>
    <d v="1899-12-30T01:22:00"/>
    <n v="3"/>
    <n v="40133"/>
    <x v="0"/>
    <n v="36478"/>
    <n v="0.90892781501507491"/>
  </r>
  <r>
    <s v="P-0824"/>
    <x v="14"/>
    <x v="5"/>
    <x v="0"/>
    <x v="55"/>
    <x v="0"/>
    <x v="3"/>
    <x v="2"/>
    <n v="88"/>
    <n v="8821"/>
    <n v="5.2341322149999998"/>
    <n v="5.2341322150000001E-2"/>
    <n v="143"/>
    <d v="1899-12-30T02:23:00"/>
    <n v="1"/>
    <n v="31499"/>
    <x v="0"/>
    <n v="22678"/>
    <n v="0.71995936378932668"/>
  </r>
  <r>
    <s v="P-0825"/>
    <x v="13"/>
    <x v="0"/>
    <x v="0"/>
    <x v="88"/>
    <x v="3"/>
    <x v="2"/>
    <x v="0"/>
    <n v="75"/>
    <n v="4314"/>
    <n v="13.440685200000001"/>
    <n v="0.13440685200000002"/>
    <n v="116"/>
    <d v="1899-12-30T01:56:00"/>
    <n v="1"/>
    <n v="31225"/>
    <x v="0"/>
    <n v="26911"/>
    <n v="0.86184147317854287"/>
  </r>
  <r>
    <s v="P-0826"/>
    <x v="4"/>
    <x v="3"/>
    <x v="0"/>
    <x v="86"/>
    <x v="1"/>
    <x v="1"/>
    <x v="5"/>
    <n v="83"/>
    <n v="3716"/>
    <n v="10.90081415"/>
    <n v="0.1090081415"/>
    <n v="98"/>
    <d v="1899-12-30T01:38:00"/>
    <n v="4"/>
    <n v="49217"/>
    <x v="0"/>
    <n v="45501"/>
    <n v="0.92449763293171061"/>
  </r>
  <r>
    <s v="P-0827"/>
    <x v="12"/>
    <x v="0"/>
    <x v="2"/>
    <x v="14"/>
    <x v="3"/>
    <x v="2"/>
    <x v="0"/>
    <n v="52"/>
    <n v="8719"/>
    <n v="14.720009879999999"/>
    <n v="0.14720009879999998"/>
    <n v="48"/>
    <d v="1899-12-30T00:48:00"/>
    <n v="2"/>
    <n v="1692"/>
    <x v="0"/>
    <n v="-7027"/>
    <n v="-4.1530732860520096"/>
  </r>
  <r>
    <s v="P-0828"/>
    <x v="4"/>
    <x v="0"/>
    <x v="2"/>
    <x v="87"/>
    <x v="1"/>
    <x v="0"/>
    <x v="5"/>
    <n v="99"/>
    <n v="2613"/>
    <n v="16.543997730000001"/>
    <n v="0.16543997730000001"/>
    <n v="122"/>
    <d v="1899-12-30T02:02:00"/>
    <n v="1"/>
    <n v="29926"/>
    <x v="0"/>
    <n v="27313"/>
    <n v="0.91268462206776713"/>
  </r>
  <r>
    <s v="P-0829"/>
    <x v="12"/>
    <x v="0"/>
    <x v="1"/>
    <x v="89"/>
    <x v="1"/>
    <x v="2"/>
    <x v="2"/>
    <n v="61"/>
    <n v="9944"/>
    <n v="5.8747814460000001"/>
    <n v="5.8747814459999999E-2"/>
    <n v="37"/>
    <d v="1899-12-30T00:37:00"/>
    <n v="1"/>
    <n v="35246"/>
    <x v="0"/>
    <n v="25302"/>
    <n v="0.71786869431992284"/>
  </r>
  <r>
    <s v="P-0830"/>
    <x v="6"/>
    <x v="6"/>
    <x v="2"/>
    <x v="3"/>
    <x v="0"/>
    <x v="3"/>
    <x v="2"/>
    <n v="50"/>
    <n v="4856"/>
    <n v="7.4600659020000002"/>
    <n v="7.4600659020000001E-2"/>
    <n v="106"/>
    <d v="1899-12-30T01:46:00"/>
    <n v="1"/>
    <n v="40164"/>
    <x v="0"/>
    <n v="35308"/>
    <n v="0.8790957075988447"/>
  </r>
  <r>
    <s v="P-0831"/>
    <x v="3"/>
    <x v="7"/>
    <x v="0"/>
    <x v="14"/>
    <x v="3"/>
    <x v="1"/>
    <x v="0"/>
    <n v="93"/>
    <n v="6043"/>
    <n v="16.17284793"/>
    <n v="0.16172847930000001"/>
    <n v="46"/>
    <d v="1899-12-30T00:46:00"/>
    <n v="4"/>
    <n v="9448"/>
    <x v="0"/>
    <n v="3405"/>
    <n v="0.36039373412362402"/>
  </r>
  <r>
    <s v="P-0832"/>
    <x v="11"/>
    <x v="3"/>
    <x v="2"/>
    <x v="28"/>
    <x v="2"/>
    <x v="3"/>
    <x v="4"/>
    <n v="54"/>
    <n v="5055"/>
    <n v="11.863347060000001"/>
    <n v="0.11863347060000001"/>
    <n v="146"/>
    <d v="1899-12-30T02:26:00"/>
    <n v="3"/>
    <n v="44390"/>
    <x v="0"/>
    <n v="39335"/>
    <n v="0.88612300067582794"/>
  </r>
  <r>
    <s v="P-0833"/>
    <x v="12"/>
    <x v="6"/>
    <x v="0"/>
    <x v="39"/>
    <x v="0"/>
    <x v="0"/>
    <x v="5"/>
    <n v="79"/>
    <n v="7562"/>
    <n v="19.583469749999999"/>
    <n v="0.19583469749999999"/>
    <n v="91"/>
    <d v="1899-12-30T01:31:00"/>
    <n v="4"/>
    <n v="11073"/>
    <x v="0"/>
    <n v="3511"/>
    <n v="0.31707757608597492"/>
  </r>
  <r>
    <s v="P-0834"/>
    <x v="10"/>
    <x v="3"/>
    <x v="1"/>
    <x v="14"/>
    <x v="3"/>
    <x v="2"/>
    <x v="3"/>
    <n v="79"/>
    <n v="3874"/>
    <n v="18.045832969999999"/>
    <n v="0.1804583297"/>
    <n v="65"/>
    <d v="1899-12-30T01:05:00"/>
    <n v="2"/>
    <n v="36414"/>
    <x v="0"/>
    <n v="32540"/>
    <n v="0.89361234689954416"/>
  </r>
  <r>
    <s v="P-0835"/>
    <x v="1"/>
    <x v="6"/>
    <x v="1"/>
    <x v="10"/>
    <x v="0"/>
    <x v="0"/>
    <x v="0"/>
    <n v="66"/>
    <n v="6930"/>
    <n v="21.91208726"/>
    <n v="0.21912087259999999"/>
    <n v="94"/>
    <d v="1899-12-30T01:34:00"/>
    <n v="2"/>
    <n v="6209"/>
    <x v="0"/>
    <n v="-721"/>
    <n v="-0.1161217587373168"/>
  </r>
  <r>
    <s v="P-0836"/>
    <x v="10"/>
    <x v="2"/>
    <x v="2"/>
    <x v="86"/>
    <x v="1"/>
    <x v="2"/>
    <x v="5"/>
    <n v="97"/>
    <n v="3966"/>
    <n v="18.84985653"/>
    <n v="0.1884985653"/>
    <n v="11"/>
    <d v="1899-12-30T00:11:00"/>
    <n v="2"/>
    <n v="7533"/>
    <x v="0"/>
    <n v="3567"/>
    <n v="0.47351652727996812"/>
  </r>
  <r>
    <s v="P-0837"/>
    <x v="6"/>
    <x v="7"/>
    <x v="1"/>
    <x v="6"/>
    <x v="2"/>
    <x v="1"/>
    <x v="1"/>
    <n v="96"/>
    <n v="3581"/>
    <n v="13.598621550000001"/>
    <n v="0.13598621550000001"/>
    <n v="67"/>
    <d v="1899-12-30T01:07:00"/>
    <n v="2"/>
    <n v="22061"/>
    <x v="0"/>
    <n v="18480"/>
    <n v="0.83767734916821546"/>
  </r>
  <r>
    <s v="P-0838"/>
    <x v="3"/>
    <x v="4"/>
    <x v="1"/>
    <x v="27"/>
    <x v="2"/>
    <x v="1"/>
    <x v="0"/>
    <n v="72"/>
    <n v="1129"/>
    <n v="18.459332450000002"/>
    <n v="0.18459332450000002"/>
    <n v="116"/>
    <d v="1899-12-30T01:56:00"/>
    <n v="1"/>
    <n v="8211"/>
    <x v="0"/>
    <n v="7082"/>
    <n v="0.86250152234806965"/>
  </r>
  <r>
    <s v="P-0839"/>
    <x v="5"/>
    <x v="0"/>
    <x v="2"/>
    <x v="34"/>
    <x v="0"/>
    <x v="0"/>
    <x v="0"/>
    <n v="64"/>
    <n v="769"/>
    <n v="10.50762349"/>
    <n v="0.10507623490000001"/>
    <n v="132"/>
    <d v="1899-12-30T02:12:00"/>
    <n v="1"/>
    <n v="10927"/>
    <x v="0"/>
    <n v="10158"/>
    <n v="0.92962386748421344"/>
  </r>
  <r>
    <s v="P-0840"/>
    <x v="8"/>
    <x v="6"/>
    <x v="1"/>
    <x v="14"/>
    <x v="3"/>
    <x v="1"/>
    <x v="4"/>
    <n v="86"/>
    <n v="6224"/>
    <n v="11.12626998"/>
    <n v="0.1112626998"/>
    <n v="177"/>
    <d v="1899-12-30T02:57:00"/>
    <n v="4"/>
    <n v="12927"/>
    <x v="0"/>
    <n v="6703"/>
    <n v="0.51852711379283667"/>
  </r>
  <r>
    <s v="P-0841"/>
    <x v="11"/>
    <x v="3"/>
    <x v="1"/>
    <x v="77"/>
    <x v="3"/>
    <x v="2"/>
    <x v="2"/>
    <n v="70"/>
    <n v="6397"/>
    <n v="20.7797032"/>
    <n v="0.20779703199999999"/>
    <n v="173"/>
    <d v="1899-12-30T02:53:00"/>
    <n v="3"/>
    <n v="25594"/>
    <x v="0"/>
    <n v="19197"/>
    <n v="0.75005860748612951"/>
  </r>
  <r>
    <s v="P-0842"/>
    <x v="6"/>
    <x v="0"/>
    <x v="0"/>
    <x v="11"/>
    <x v="3"/>
    <x v="2"/>
    <x v="2"/>
    <n v="63"/>
    <n v="3932"/>
    <n v="13.928390329999999"/>
    <n v="0.13928390329999998"/>
    <n v="123"/>
    <d v="1899-12-30T02:03:00"/>
    <n v="2"/>
    <n v="10316"/>
    <x v="0"/>
    <n v="6384"/>
    <n v="0.61884451337727797"/>
  </r>
  <r>
    <s v="P-0843"/>
    <x v="1"/>
    <x v="2"/>
    <x v="2"/>
    <x v="42"/>
    <x v="1"/>
    <x v="3"/>
    <x v="4"/>
    <n v="51"/>
    <n v="9972"/>
    <n v="20.967606809999999"/>
    <n v="0.2096760681"/>
    <n v="116"/>
    <d v="1899-12-30T01:56:00"/>
    <n v="4"/>
    <n v="13177"/>
    <x v="0"/>
    <n v="3205"/>
    <n v="0.24322683463610836"/>
  </r>
  <r>
    <s v="P-0844"/>
    <x v="8"/>
    <x v="5"/>
    <x v="1"/>
    <x v="22"/>
    <x v="3"/>
    <x v="2"/>
    <x v="4"/>
    <n v="60"/>
    <n v="6776"/>
    <n v="21.448447470000001"/>
    <n v="0.21448447470000001"/>
    <n v="46"/>
    <d v="1899-12-30T00:46:00"/>
    <n v="1"/>
    <n v="11846"/>
    <x v="0"/>
    <n v="5070"/>
    <n v="0.42799257133209523"/>
  </r>
  <r>
    <s v="P-0845"/>
    <x v="12"/>
    <x v="2"/>
    <x v="1"/>
    <x v="26"/>
    <x v="0"/>
    <x v="3"/>
    <x v="2"/>
    <n v="88"/>
    <n v="6395"/>
    <n v="22.151246749999999"/>
    <n v="0.22151246749999998"/>
    <n v="88"/>
    <d v="1899-12-30T01:28:00"/>
    <n v="1"/>
    <n v="8933"/>
    <x v="0"/>
    <n v="2538"/>
    <n v="0.28411507892085525"/>
  </r>
  <r>
    <s v="P-0846"/>
    <x v="3"/>
    <x v="6"/>
    <x v="0"/>
    <x v="5"/>
    <x v="1"/>
    <x v="1"/>
    <x v="5"/>
    <n v="87"/>
    <n v="7615"/>
    <n v="23.332704719999999"/>
    <n v="0.2333270472"/>
    <n v="101"/>
    <d v="1899-12-30T01:41:00"/>
    <n v="3"/>
    <n v="39244"/>
    <x v="0"/>
    <n v="31629"/>
    <n v="0.80595759861380079"/>
  </r>
  <r>
    <s v="P-0847"/>
    <x v="4"/>
    <x v="0"/>
    <x v="2"/>
    <x v="48"/>
    <x v="2"/>
    <x v="3"/>
    <x v="3"/>
    <n v="83"/>
    <n v="7156"/>
    <n v="13.619704410000001"/>
    <n v="0.1361970441"/>
    <n v="27"/>
    <d v="1899-12-30T00:27:00"/>
    <n v="3"/>
    <n v="47621"/>
    <x v="0"/>
    <n v="40465"/>
    <n v="0.84973016106339638"/>
  </r>
  <r>
    <s v="P-0848"/>
    <x v="1"/>
    <x v="6"/>
    <x v="0"/>
    <x v="70"/>
    <x v="2"/>
    <x v="0"/>
    <x v="2"/>
    <n v="87"/>
    <n v="1075"/>
    <n v="11.37733637"/>
    <n v="0.1137733637"/>
    <n v="107"/>
    <d v="1899-12-30T01:47:00"/>
    <n v="3"/>
    <n v="41696"/>
    <x v="0"/>
    <n v="40621"/>
    <n v="0.9742181504221028"/>
  </r>
  <r>
    <s v="P-0849"/>
    <x v="0"/>
    <x v="1"/>
    <x v="0"/>
    <x v="60"/>
    <x v="2"/>
    <x v="2"/>
    <x v="0"/>
    <n v="99"/>
    <n v="7529"/>
    <n v="16.643974929999999"/>
    <n v="0.1664397493"/>
    <n v="72"/>
    <d v="1899-12-30T01:12:00"/>
    <n v="4"/>
    <n v="3080"/>
    <x v="0"/>
    <n v="-4449"/>
    <n v="-1.4444805194805195"/>
  </r>
  <r>
    <s v="P-0850"/>
    <x v="4"/>
    <x v="5"/>
    <x v="2"/>
    <x v="67"/>
    <x v="0"/>
    <x v="0"/>
    <x v="5"/>
    <n v="83"/>
    <n v="6599"/>
    <n v="12.42344847"/>
    <n v="0.12423448470000001"/>
    <n v="159"/>
    <d v="1899-12-30T02:39:00"/>
    <n v="1"/>
    <n v="7089"/>
    <x v="0"/>
    <n v="490"/>
    <n v="6.9121173649315845E-2"/>
  </r>
  <r>
    <s v="P-0851"/>
    <x v="12"/>
    <x v="3"/>
    <x v="1"/>
    <x v="51"/>
    <x v="3"/>
    <x v="3"/>
    <x v="0"/>
    <n v="67"/>
    <n v="9999"/>
    <n v="17.02148334"/>
    <n v="0.17021483339999999"/>
    <n v="148"/>
    <d v="1899-12-30T02:28:00"/>
    <n v="1"/>
    <n v="27123"/>
    <x v="0"/>
    <n v="17124"/>
    <n v="0.63134609003428821"/>
  </r>
  <r>
    <s v="P-0852"/>
    <x v="7"/>
    <x v="7"/>
    <x v="1"/>
    <x v="35"/>
    <x v="2"/>
    <x v="1"/>
    <x v="2"/>
    <n v="79"/>
    <n v="3692"/>
    <n v="19.111717250000002"/>
    <n v="0.19111717250000002"/>
    <n v="13"/>
    <d v="1899-12-30T00:13:00"/>
    <n v="3"/>
    <n v="8797"/>
    <x v="0"/>
    <n v="5105"/>
    <n v="0.58031146981925652"/>
  </r>
  <r>
    <s v="P-0853"/>
    <x v="9"/>
    <x v="6"/>
    <x v="2"/>
    <x v="24"/>
    <x v="2"/>
    <x v="3"/>
    <x v="3"/>
    <n v="64"/>
    <n v="3678"/>
    <n v="18.768100369999999"/>
    <n v="0.18768100369999999"/>
    <n v="144"/>
    <d v="1899-12-30T02:24:00"/>
    <n v="2"/>
    <n v="9346"/>
    <x v="0"/>
    <n v="5668"/>
    <n v="0.60646265782152797"/>
  </r>
  <r>
    <s v="P-0854"/>
    <x v="2"/>
    <x v="5"/>
    <x v="0"/>
    <x v="40"/>
    <x v="3"/>
    <x v="0"/>
    <x v="4"/>
    <n v="76"/>
    <n v="6552"/>
    <n v="12.49105774"/>
    <n v="0.1249105774"/>
    <n v="70"/>
    <d v="1899-12-30T01:10:00"/>
    <n v="3"/>
    <n v="20878"/>
    <x v="0"/>
    <n v="14326"/>
    <n v="0.68617683686176834"/>
  </r>
  <r>
    <s v="P-0855"/>
    <x v="9"/>
    <x v="7"/>
    <x v="2"/>
    <x v="26"/>
    <x v="0"/>
    <x v="3"/>
    <x v="5"/>
    <n v="83"/>
    <n v="3234"/>
    <n v="8.3372040340000009"/>
    <n v="8.3372040340000009E-2"/>
    <n v="116"/>
    <d v="1899-12-30T01:56:00"/>
    <n v="4"/>
    <n v="34672"/>
    <x v="0"/>
    <n v="31438"/>
    <n v="0.90672588832487311"/>
  </r>
  <r>
    <s v="P-0856"/>
    <x v="14"/>
    <x v="5"/>
    <x v="1"/>
    <x v="72"/>
    <x v="1"/>
    <x v="0"/>
    <x v="2"/>
    <n v="87"/>
    <n v="6616"/>
    <n v="13.610586769999999"/>
    <n v="0.13610586769999999"/>
    <n v="63"/>
    <d v="1899-12-30T01:03:00"/>
    <n v="3"/>
    <n v="18653"/>
    <x v="0"/>
    <n v="12037"/>
    <n v="0.64531174609982311"/>
  </r>
  <r>
    <s v="P-0857"/>
    <x v="8"/>
    <x v="7"/>
    <x v="1"/>
    <x v="54"/>
    <x v="1"/>
    <x v="2"/>
    <x v="2"/>
    <n v="82"/>
    <n v="4068"/>
    <n v="7.851882882"/>
    <n v="7.8518828819999997E-2"/>
    <n v="97"/>
    <d v="1899-12-30T01:37:00"/>
    <n v="3"/>
    <n v="43742"/>
    <x v="0"/>
    <n v="39674"/>
    <n v="0.90700013716793926"/>
  </r>
  <r>
    <s v="P-0858"/>
    <x v="11"/>
    <x v="1"/>
    <x v="2"/>
    <x v="16"/>
    <x v="1"/>
    <x v="0"/>
    <x v="3"/>
    <n v="73"/>
    <n v="2703"/>
    <n v="22.801940699999999"/>
    <n v="0.22801940700000001"/>
    <n v="77"/>
    <d v="1899-12-30T01:17:00"/>
    <n v="4"/>
    <n v="27140"/>
    <x v="0"/>
    <n v="24437"/>
    <n v="0.90040530582166545"/>
  </r>
  <r>
    <s v="P-0859"/>
    <x v="8"/>
    <x v="4"/>
    <x v="0"/>
    <x v="16"/>
    <x v="1"/>
    <x v="0"/>
    <x v="1"/>
    <n v="64"/>
    <n v="1890"/>
    <n v="11.917549210000001"/>
    <n v="0.1191754921"/>
    <n v="138"/>
    <d v="1899-12-30T02:18:00"/>
    <n v="3"/>
    <n v="2184"/>
    <x v="0"/>
    <n v="294"/>
    <n v="0.13461538461538461"/>
  </r>
  <r>
    <s v="P-0860"/>
    <x v="8"/>
    <x v="3"/>
    <x v="1"/>
    <x v="34"/>
    <x v="0"/>
    <x v="0"/>
    <x v="1"/>
    <n v="79"/>
    <n v="2242"/>
    <n v="8.0891949440000008"/>
    <n v="8.0891949440000013E-2"/>
    <n v="64"/>
    <d v="1899-12-30T01:04:00"/>
    <n v="1"/>
    <n v="35493"/>
    <x v="0"/>
    <n v="33251"/>
    <n v="0.93683261488180769"/>
  </r>
  <r>
    <s v="P-0861"/>
    <x v="7"/>
    <x v="7"/>
    <x v="0"/>
    <x v="50"/>
    <x v="1"/>
    <x v="0"/>
    <x v="0"/>
    <n v="91"/>
    <n v="2425"/>
    <n v="5.5089551979999998"/>
    <n v="5.5089551979999998E-2"/>
    <n v="12"/>
    <d v="1899-12-30T00:12:00"/>
    <n v="2"/>
    <n v="45148"/>
    <x v="0"/>
    <n v="42723"/>
    <n v="0.94628776468503584"/>
  </r>
  <r>
    <s v="P-0862"/>
    <x v="5"/>
    <x v="4"/>
    <x v="2"/>
    <x v="49"/>
    <x v="2"/>
    <x v="3"/>
    <x v="2"/>
    <n v="66"/>
    <n v="1119"/>
    <n v="17.916447730000002"/>
    <n v="0.17916447730000001"/>
    <n v="175"/>
    <d v="1899-12-30T02:55:00"/>
    <n v="3"/>
    <n v="25846"/>
    <x v="0"/>
    <n v="24727"/>
    <n v="0.95670509943511572"/>
  </r>
  <r>
    <s v="P-0863"/>
    <x v="4"/>
    <x v="7"/>
    <x v="2"/>
    <x v="12"/>
    <x v="3"/>
    <x v="2"/>
    <x v="5"/>
    <n v="54"/>
    <n v="1774"/>
    <n v="17.738046350000001"/>
    <n v="0.1773804635"/>
    <n v="130"/>
    <d v="1899-12-30T02:10:00"/>
    <n v="4"/>
    <n v="46825"/>
    <x v="0"/>
    <n v="45051"/>
    <n v="0.9621142552055526"/>
  </r>
  <r>
    <s v="P-0864"/>
    <x v="7"/>
    <x v="3"/>
    <x v="1"/>
    <x v="82"/>
    <x v="2"/>
    <x v="1"/>
    <x v="5"/>
    <n v="78"/>
    <n v="1456"/>
    <n v="11.81208333"/>
    <n v="0.11812083330000001"/>
    <n v="138"/>
    <d v="1899-12-30T02:18:00"/>
    <n v="2"/>
    <n v="23195"/>
    <x v="0"/>
    <n v="21739"/>
    <n v="0.93722785082992022"/>
  </r>
  <r>
    <s v="P-0865"/>
    <x v="5"/>
    <x v="6"/>
    <x v="1"/>
    <x v="73"/>
    <x v="1"/>
    <x v="3"/>
    <x v="0"/>
    <n v="53"/>
    <n v="2439"/>
    <n v="6.4342377769999999"/>
    <n v="6.434237777E-2"/>
    <n v="111"/>
    <d v="1899-12-30T01:51:00"/>
    <n v="4"/>
    <n v="6606"/>
    <x v="0"/>
    <n v="4167"/>
    <n v="0.63079019073569487"/>
  </r>
  <r>
    <s v="P-0866"/>
    <x v="4"/>
    <x v="5"/>
    <x v="2"/>
    <x v="2"/>
    <x v="2"/>
    <x v="3"/>
    <x v="2"/>
    <n v="59"/>
    <n v="4453"/>
    <n v="13.1925779"/>
    <n v="0.13192577899999999"/>
    <n v="47"/>
    <d v="1899-12-30T00:47:00"/>
    <n v="2"/>
    <n v="4956"/>
    <x v="0"/>
    <n v="503"/>
    <n v="0.10149313962873285"/>
  </r>
  <r>
    <s v="P-0867"/>
    <x v="13"/>
    <x v="4"/>
    <x v="0"/>
    <x v="35"/>
    <x v="2"/>
    <x v="3"/>
    <x v="0"/>
    <n v="66"/>
    <n v="1468"/>
    <n v="11.2243499"/>
    <n v="0.112243499"/>
    <n v="94"/>
    <d v="1899-12-30T01:34:00"/>
    <n v="2"/>
    <n v="17555"/>
    <x v="0"/>
    <n v="16087"/>
    <n v="0.9163771005411564"/>
  </r>
  <r>
    <s v="P-0868"/>
    <x v="4"/>
    <x v="0"/>
    <x v="0"/>
    <x v="89"/>
    <x v="1"/>
    <x v="0"/>
    <x v="3"/>
    <n v="59"/>
    <n v="9735"/>
    <n v="18.54241279"/>
    <n v="0.18542412790000001"/>
    <n v="166"/>
    <d v="1899-12-30T02:46:00"/>
    <n v="3"/>
    <n v="25849"/>
    <x v="1"/>
    <n v="16114"/>
    <n v="0.62338968625478741"/>
  </r>
  <r>
    <s v="P-0869"/>
    <x v="4"/>
    <x v="3"/>
    <x v="2"/>
    <x v="2"/>
    <x v="2"/>
    <x v="1"/>
    <x v="3"/>
    <n v="66"/>
    <n v="781"/>
    <n v="17.115584989999999"/>
    <n v="0.17115584989999999"/>
    <n v="142"/>
    <d v="1899-12-30T02:22:00"/>
    <n v="1"/>
    <n v="19690"/>
    <x v="0"/>
    <n v="18909"/>
    <n v="0.96033519553072622"/>
  </r>
  <r>
    <s v="P-0870"/>
    <x v="11"/>
    <x v="6"/>
    <x v="0"/>
    <x v="11"/>
    <x v="3"/>
    <x v="3"/>
    <x v="4"/>
    <n v="69"/>
    <n v="6762"/>
    <n v="12.29187456"/>
    <n v="0.1229187456"/>
    <n v="101"/>
    <d v="1899-12-30T01:41:00"/>
    <n v="3"/>
    <n v="49849"/>
    <x v="0"/>
    <n v="43087"/>
    <n v="0.86435033802082284"/>
  </r>
  <r>
    <s v="P-0871"/>
    <x v="4"/>
    <x v="3"/>
    <x v="1"/>
    <x v="25"/>
    <x v="1"/>
    <x v="3"/>
    <x v="0"/>
    <n v="73"/>
    <n v="1558"/>
    <n v="9.3578510850000001"/>
    <n v="9.3578510850000005E-2"/>
    <n v="30"/>
    <d v="1899-12-30T00:30:00"/>
    <n v="4"/>
    <n v="27347"/>
    <x v="0"/>
    <n v="25789"/>
    <n v="0.94302848575712139"/>
  </r>
  <r>
    <s v="P-0872"/>
    <x v="11"/>
    <x v="6"/>
    <x v="2"/>
    <x v="3"/>
    <x v="0"/>
    <x v="1"/>
    <x v="4"/>
    <n v="54"/>
    <n v="4793"/>
    <n v="24.76071932"/>
    <n v="0.24760719319999999"/>
    <n v="118"/>
    <d v="1899-12-30T01:58:00"/>
    <n v="4"/>
    <n v="34189"/>
    <x v="0"/>
    <n v="29396"/>
    <n v="0.85980871040393114"/>
  </r>
  <r>
    <s v="P-0873"/>
    <x v="11"/>
    <x v="1"/>
    <x v="0"/>
    <x v="22"/>
    <x v="3"/>
    <x v="2"/>
    <x v="5"/>
    <n v="83"/>
    <n v="5678"/>
    <n v="14.08003242"/>
    <n v="0.14080032419999999"/>
    <n v="56"/>
    <d v="1899-12-30T00:56:00"/>
    <n v="2"/>
    <n v="39308"/>
    <x v="0"/>
    <n v="33630"/>
    <n v="0.85555103286862721"/>
  </r>
  <r>
    <s v="P-0874"/>
    <x v="14"/>
    <x v="1"/>
    <x v="1"/>
    <x v="82"/>
    <x v="2"/>
    <x v="1"/>
    <x v="1"/>
    <n v="55"/>
    <n v="7480"/>
    <n v="18.76548472"/>
    <n v="0.1876548472"/>
    <n v="93"/>
    <d v="1899-12-30T01:33:00"/>
    <n v="2"/>
    <n v="26785"/>
    <x v="0"/>
    <n v="19305"/>
    <n v="0.72073921971252564"/>
  </r>
  <r>
    <s v="P-0875"/>
    <x v="9"/>
    <x v="4"/>
    <x v="1"/>
    <x v="39"/>
    <x v="0"/>
    <x v="1"/>
    <x v="1"/>
    <n v="51"/>
    <n v="9700"/>
    <n v="7.811059352"/>
    <n v="7.8110593519999993E-2"/>
    <n v="92"/>
    <d v="1899-12-30T01:32:00"/>
    <n v="1"/>
    <n v="33698"/>
    <x v="0"/>
    <n v="23998"/>
    <n v="0.71214908896670426"/>
  </r>
  <r>
    <s v="P-0876"/>
    <x v="13"/>
    <x v="5"/>
    <x v="2"/>
    <x v="84"/>
    <x v="0"/>
    <x v="0"/>
    <x v="4"/>
    <n v="62"/>
    <n v="1729"/>
    <n v="14.71179399"/>
    <n v="0.14711793989999999"/>
    <n v="44"/>
    <d v="1899-12-30T00:44:00"/>
    <n v="3"/>
    <n v="16966"/>
    <x v="0"/>
    <n v="15237"/>
    <n v="0.89809029824354591"/>
  </r>
  <r>
    <s v="P-0877"/>
    <x v="0"/>
    <x v="1"/>
    <x v="1"/>
    <x v="18"/>
    <x v="3"/>
    <x v="3"/>
    <x v="0"/>
    <n v="92"/>
    <n v="9727"/>
    <n v="5.5507343970000003"/>
    <n v="5.5507343970000005E-2"/>
    <n v="78"/>
    <d v="1899-12-30T01:18:00"/>
    <n v="4"/>
    <n v="32097"/>
    <x v="0"/>
    <n v="22370"/>
    <n v="0.69694987070442715"/>
  </r>
  <r>
    <s v="P-0878"/>
    <x v="4"/>
    <x v="7"/>
    <x v="0"/>
    <x v="8"/>
    <x v="0"/>
    <x v="0"/>
    <x v="0"/>
    <n v="92"/>
    <n v="5085"/>
    <n v="15.10910236"/>
    <n v="0.15109102359999999"/>
    <n v="138"/>
    <d v="1899-12-30T02:18:00"/>
    <n v="2"/>
    <n v="16882"/>
    <x v="0"/>
    <n v="11797"/>
    <n v="0.69879161236820286"/>
  </r>
  <r>
    <s v="P-0879"/>
    <x v="4"/>
    <x v="4"/>
    <x v="2"/>
    <x v="63"/>
    <x v="2"/>
    <x v="2"/>
    <x v="1"/>
    <n v="97"/>
    <n v="8967"/>
    <n v="24.280348140000001"/>
    <n v="0.24280348140000002"/>
    <n v="149"/>
    <d v="1899-12-30T02:29:00"/>
    <n v="1"/>
    <n v="5675"/>
    <x v="0"/>
    <n v="-3292"/>
    <n v="-0.58008810572687219"/>
  </r>
  <r>
    <s v="P-0880"/>
    <x v="3"/>
    <x v="7"/>
    <x v="1"/>
    <x v="54"/>
    <x v="1"/>
    <x v="3"/>
    <x v="1"/>
    <n v="60"/>
    <n v="3240"/>
    <n v="12.68413426"/>
    <n v="0.12684134260000002"/>
    <n v="36"/>
    <d v="1899-12-30T00:36:00"/>
    <n v="4"/>
    <n v="42850"/>
    <x v="0"/>
    <n v="39610"/>
    <n v="0.92438739789964997"/>
  </r>
  <r>
    <s v="P-0881"/>
    <x v="13"/>
    <x v="3"/>
    <x v="0"/>
    <x v="67"/>
    <x v="0"/>
    <x v="2"/>
    <x v="4"/>
    <n v="96"/>
    <n v="2789"/>
    <n v="5.7799202510000001"/>
    <n v="5.7799202510000001E-2"/>
    <n v="65"/>
    <d v="1899-12-30T01:05:00"/>
    <n v="2"/>
    <n v="14009"/>
    <x v="0"/>
    <n v="11220"/>
    <n v="0.8009136983367835"/>
  </r>
  <r>
    <s v="P-0882"/>
    <x v="14"/>
    <x v="6"/>
    <x v="1"/>
    <x v="12"/>
    <x v="3"/>
    <x v="2"/>
    <x v="4"/>
    <n v="72"/>
    <n v="1739"/>
    <n v="5.619115818"/>
    <n v="5.6191158179999999E-2"/>
    <n v="32"/>
    <d v="1899-12-30T00:32:00"/>
    <n v="4"/>
    <n v="28843"/>
    <x v="0"/>
    <n v="27104"/>
    <n v="0.93970807474950591"/>
  </r>
  <r>
    <s v="P-0883"/>
    <x v="7"/>
    <x v="6"/>
    <x v="1"/>
    <x v="75"/>
    <x v="2"/>
    <x v="3"/>
    <x v="5"/>
    <n v="65"/>
    <n v="5870"/>
    <n v="12.7597352"/>
    <n v="0.127597352"/>
    <n v="162"/>
    <d v="1899-12-30T02:42:00"/>
    <n v="1"/>
    <n v="30793"/>
    <x v="0"/>
    <n v="24923"/>
    <n v="0.8093722599292047"/>
  </r>
  <r>
    <s v="P-0884"/>
    <x v="5"/>
    <x v="2"/>
    <x v="2"/>
    <x v="28"/>
    <x v="2"/>
    <x v="0"/>
    <x v="2"/>
    <n v="80"/>
    <n v="625"/>
    <n v="8.2004987289999995"/>
    <n v="8.2004987289999998E-2"/>
    <n v="30"/>
    <d v="1899-12-30T00:30:00"/>
    <n v="1"/>
    <n v="40516"/>
    <x v="0"/>
    <n v="39891"/>
    <n v="0.98457399545858426"/>
  </r>
  <r>
    <s v="P-0885"/>
    <x v="2"/>
    <x v="5"/>
    <x v="1"/>
    <x v="80"/>
    <x v="1"/>
    <x v="3"/>
    <x v="2"/>
    <n v="60"/>
    <n v="7973"/>
    <n v="5.4670419270000004"/>
    <n v="5.4670419270000006E-2"/>
    <n v="70"/>
    <d v="1899-12-30T01:10:00"/>
    <n v="4"/>
    <n v="39871"/>
    <x v="0"/>
    <n v="31898"/>
    <n v="0.8000300970630283"/>
  </r>
  <r>
    <s v="P-0886"/>
    <x v="0"/>
    <x v="5"/>
    <x v="1"/>
    <x v="84"/>
    <x v="0"/>
    <x v="1"/>
    <x v="1"/>
    <n v="65"/>
    <n v="9900"/>
    <n v="20.12427228"/>
    <n v="0.2012427228"/>
    <n v="72"/>
    <d v="1899-12-30T01:12:00"/>
    <n v="3"/>
    <n v="18857"/>
    <x v="0"/>
    <n v="8957"/>
    <n v="0.47499602269714164"/>
  </r>
  <r>
    <s v="P-0887"/>
    <x v="0"/>
    <x v="5"/>
    <x v="0"/>
    <x v="15"/>
    <x v="1"/>
    <x v="3"/>
    <x v="0"/>
    <n v="57"/>
    <n v="5842"/>
    <n v="14.170460179999999"/>
    <n v="0.1417046018"/>
    <n v="131"/>
    <d v="1899-12-30T02:11:00"/>
    <n v="4"/>
    <n v="20627"/>
    <x v="0"/>
    <n v="14785"/>
    <n v="0.71677897900809617"/>
  </r>
  <r>
    <s v="P-0888"/>
    <x v="8"/>
    <x v="2"/>
    <x v="1"/>
    <x v="62"/>
    <x v="1"/>
    <x v="1"/>
    <x v="5"/>
    <n v="53"/>
    <n v="7851"/>
    <n v="10.78489544"/>
    <n v="0.1078489544"/>
    <n v="61"/>
    <d v="1899-12-30T01:01:00"/>
    <n v="2"/>
    <n v="19565"/>
    <x v="0"/>
    <n v="11714"/>
    <n v="0.59872220802453358"/>
  </r>
  <r>
    <s v="P-0889"/>
    <x v="13"/>
    <x v="5"/>
    <x v="1"/>
    <x v="76"/>
    <x v="2"/>
    <x v="1"/>
    <x v="4"/>
    <n v="89"/>
    <n v="7138"/>
    <n v="23.001663659999998"/>
    <n v="0.23001663659999999"/>
    <n v="97"/>
    <d v="1899-12-30T01:37:00"/>
    <n v="3"/>
    <n v="27025"/>
    <x v="0"/>
    <n v="19887"/>
    <n v="0.73587419056429237"/>
  </r>
  <r>
    <s v="P-0890"/>
    <x v="10"/>
    <x v="1"/>
    <x v="0"/>
    <x v="42"/>
    <x v="1"/>
    <x v="1"/>
    <x v="4"/>
    <n v="53"/>
    <n v="7070"/>
    <n v="7.3227792039999997"/>
    <n v="7.3227792040000003E-2"/>
    <n v="162"/>
    <d v="1899-12-30T02:42:00"/>
    <n v="2"/>
    <n v="28832"/>
    <x v="0"/>
    <n v="21762"/>
    <n v="0.75478634850166482"/>
  </r>
  <r>
    <s v="P-0891"/>
    <x v="4"/>
    <x v="4"/>
    <x v="1"/>
    <x v="9"/>
    <x v="2"/>
    <x v="3"/>
    <x v="2"/>
    <n v="74"/>
    <n v="3749"/>
    <n v="24.11837658"/>
    <n v="0.24118376580000001"/>
    <n v="64"/>
    <d v="1899-12-30T01:04:00"/>
    <n v="4"/>
    <n v="45116"/>
    <x v="0"/>
    <n v="41367"/>
    <n v="0.91690309424594374"/>
  </r>
  <r>
    <s v="P-0892"/>
    <x v="10"/>
    <x v="0"/>
    <x v="2"/>
    <x v="62"/>
    <x v="1"/>
    <x v="0"/>
    <x v="5"/>
    <n v="52"/>
    <n v="9610"/>
    <n v="11.279334349999999"/>
    <n v="0.11279334349999999"/>
    <n v="55"/>
    <d v="1899-12-30T00:55:00"/>
    <n v="3"/>
    <n v="10782"/>
    <x v="0"/>
    <n v="1172"/>
    <n v="0.10869968465961788"/>
  </r>
  <r>
    <s v="P-0893"/>
    <x v="6"/>
    <x v="7"/>
    <x v="1"/>
    <x v="46"/>
    <x v="0"/>
    <x v="3"/>
    <x v="2"/>
    <n v="81"/>
    <n v="8095"/>
    <n v="22.768073449999999"/>
    <n v="0.22768073449999998"/>
    <n v="41"/>
    <d v="1899-12-30T00:41:00"/>
    <n v="2"/>
    <n v="39650"/>
    <x v="0"/>
    <n v="31555"/>
    <n v="0.79583858764186632"/>
  </r>
  <r>
    <s v="P-0894"/>
    <x v="10"/>
    <x v="7"/>
    <x v="1"/>
    <x v="83"/>
    <x v="3"/>
    <x v="2"/>
    <x v="3"/>
    <n v="52"/>
    <n v="6794"/>
    <n v="17.058857530000001"/>
    <n v="0.17058857530000002"/>
    <n v="64"/>
    <d v="1899-12-30T01:04:00"/>
    <n v="4"/>
    <n v="23366"/>
    <x v="0"/>
    <n v="16572"/>
    <n v="0.70923564153042884"/>
  </r>
  <r>
    <s v="P-0895"/>
    <x v="6"/>
    <x v="5"/>
    <x v="1"/>
    <x v="18"/>
    <x v="3"/>
    <x v="0"/>
    <x v="1"/>
    <n v="76"/>
    <n v="7027"/>
    <n v="21.534147189999999"/>
    <n v="0.2153414719"/>
    <n v="105"/>
    <d v="1899-12-30T01:45:00"/>
    <n v="4"/>
    <n v="29557"/>
    <x v="0"/>
    <n v="22530"/>
    <n v="0.76225597997090366"/>
  </r>
  <r>
    <s v="P-0896"/>
    <x v="7"/>
    <x v="0"/>
    <x v="1"/>
    <x v="27"/>
    <x v="2"/>
    <x v="0"/>
    <x v="5"/>
    <n v="78"/>
    <n v="6257"/>
    <n v="24.68026326"/>
    <n v="0.24680263260000002"/>
    <n v="142"/>
    <d v="1899-12-30T02:22:00"/>
    <n v="3"/>
    <n v="6798"/>
    <x v="0"/>
    <n v="541"/>
    <n v="7.9582230067666959E-2"/>
  </r>
  <r>
    <s v="P-0897"/>
    <x v="0"/>
    <x v="2"/>
    <x v="1"/>
    <x v="6"/>
    <x v="2"/>
    <x v="3"/>
    <x v="2"/>
    <n v="81"/>
    <n v="2469"/>
    <n v="10.768108760000001"/>
    <n v="0.1076810876"/>
    <n v="45"/>
    <d v="1899-12-30T00:45:00"/>
    <n v="4"/>
    <n v="10627"/>
    <x v="0"/>
    <n v="8158"/>
    <n v="0.76766726263291618"/>
  </r>
  <r>
    <s v="P-0898"/>
    <x v="6"/>
    <x v="4"/>
    <x v="0"/>
    <x v="16"/>
    <x v="1"/>
    <x v="3"/>
    <x v="0"/>
    <n v="99"/>
    <n v="1391"/>
    <n v="24.22270971"/>
    <n v="0.24222709710000001"/>
    <n v="119"/>
    <d v="1899-12-30T01:59:00"/>
    <n v="1"/>
    <n v="42183"/>
    <x v="0"/>
    <n v="40792"/>
    <n v="0.96702463077543088"/>
  </r>
  <r>
    <s v="P-0899"/>
    <x v="1"/>
    <x v="2"/>
    <x v="2"/>
    <x v="75"/>
    <x v="2"/>
    <x v="1"/>
    <x v="5"/>
    <n v="68"/>
    <n v="4970"/>
    <n v="12.789637900000001"/>
    <n v="0.127896379"/>
    <n v="115"/>
    <d v="1899-12-30T01:55:00"/>
    <n v="2"/>
    <n v="13466"/>
    <x v="0"/>
    <n v="8496"/>
    <n v="0.63092232288727168"/>
  </r>
  <r>
    <s v="P-0900"/>
    <x v="2"/>
    <x v="0"/>
    <x v="0"/>
    <x v="9"/>
    <x v="2"/>
    <x v="2"/>
    <x v="3"/>
    <n v="70"/>
    <n v="7675"/>
    <n v="12.710238090000001"/>
    <n v="0.12710238090000001"/>
    <n v="67"/>
    <d v="1899-12-30T01:07:00"/>
    <n v="2"/>
    <n v="43614"/>
    <x v="1"/>
    <n v="35939"/>
    <n v="0.82402439583619935"/>
  </r>
  <r>
    <s v="P-0901"/>
    <x v="4"/>
    <x v="4"/>
    <x v="2"/>
    <x v="12"/>
    <x v="3"/>
    <x v="2"/>
    <x v="1"/>
    <n v="54"/>
    <n v="8820"/>
    <n v="11.80774209"/>
    <n v="0.11807742089999999"/>
    <n v="48"/>
    <d v="1899-12-30T00:48:00"/>
    <n v="4"/>
    <n v="13720"/>
    <x v="0"/>
    <n v="4900"/>
    <n v="0.35714285714285715"/>
  </r>
  <r>
    <s v="P-0902"/>
    <x v="3"/>
    <x v="3"/>
    <x v="2"/>
    <x v="33"/>
    <x v="3"/>
    <x v="1"/>
    <x v="4"/>
    <n v="67"/>
    <n v="9706"/>
    <n v="15.828152149999999"/>
    <n v="0.15828152149999999"/>
    <n v="89"/>
    <d v="1899-12-30T01:29:00"/>
    <n v="4"/>
    <n v="42913"/>
    <x v="0"/>
    <n v="33207"/>
    <n v="0.77382145270663905"/>
  </r>
  <r>
    <s v="P-0903"/>
    <x v="0"/>
    <x v="6"/>
    <x v="0"/>
    <x v="9"/>
    <x v="2"/>
    <x v="0"/>
    <x v="4"/>
    <n v="77"/>
    <n v="7312"/>
    <n v="8.0829008640000009"/>
    <n v="8.0829008640000005E-2"/>
    <n v="106"/>
    <d v="1899-12-30T01:46:00"/>
    <n v="1"/>
    <n v="38292"/>
    <x v="0"/>
    <n v="30980"/>
    <n v="0.80904627598453982"/>
  </r>
  <r>
    <s v="P-0904"/>
    <x v="14"/>
    <x v="4"/>
    <x v="0"/>
    <x v="83"/>
    <x v="3"/>
    <x v="0"/>
    <x v="4"/>
    <n v="91"/>
    <n v="8019"/>
    <n v="16.074229710000001"/>
    <n v="0.16074229710000001"/>
    <n v="122"/>
    <d v="1899-12-30T02:02:00"/>
    <n v="3"/>
    <n v="7559"/>
    <x v="0"/>
    <n v="-460"/>
    <n v="-6.0854610398200823E-2"/>
  </r>
  <r>
    <s v="P-0905"/>
    <x v="13"/>
    <x v="6"/>
    <x v="2"/>
    <x v="31"/>
    <x v="3"/>
    <x v="3"/>
    <x v="4"/>
    <n v="71"/>
    <n v="5112"/>
    <n v="15.83409625"/>
    <n v="0.15834096249999999"/>
    <n v="70"/>
    <d v="1899-12-30T01:10:00"/>
    <n v="4"/>
    <n v="41388"/>
    <x v="0"/>
    <n v="36276"/>
    <n v="0.87648593795302987"/>
  </r>
  <r>
    <s v="P-0906"/>
    <x v="4"/>
    <x v="5"/>
    <x v="1"/>
    <x v="61"/>
    <x v="2"/>
    <x v="2"/>
    <x v="5"/>
    <n v="70"/>
    <n v="1698"/>
    <n v="20.23803625"/>
    <n v="0.20238036249999999"/>
    <n v="146"/>
    <d v="1899-12-30T02:26:00"/>
    <n v="4"/>
    <n v="20158"/>
    <x v="0"/>
    <n v="18460"/>
    <n v="0.91576545292191691"/>
  </r>
  <r>
    <s v="P-0907"/>
    <x v="14"/>
    <x v="7"/>
    <x v="0"/>
    <x v="8"/>
    <x v="0"/>
    <x v="0"/>
    <x v="3"/>
    <n v="55"/>
    <n v="5738"/>
    <n v="21.672999239999999"/>
    <n v="0.21672999239999999"/>
    <n v="15"/>
    <d v="1899-12-30T00:15:00"/>
    <n v="4"/>
    <n v="31916"/>
    <x v="1"/>
    <n v="26178"/>
    <n v="0.82021556586038347"/>
  </r>
  <r>
    <s v="P-0908"/>
    <x v="9"/>
    <x v="2"/>
    <x v="2"/>
    <x v="60"/>
    <x v="2"/>
    <x v="3"/>
    <x v="3"/>
    <n v="50"/>
    <n v="6589"/>
    <n v="13.80882701"/>
    <n v="0.13808827009999999"/>
    <n v="118"/>
    <d v="1899-12-30T01:58:00"/>
    <n v="4"/>
    <n v="23057"/>
    <x v="0"/>
    <n v="16468"/>
    <n v="0.71422995185843774"/>
  </r>
  <r>
    <s v="P-0909"/>
    <x v="14"/>
    <x v="5"/>
    <x v="1"/>
    <x v="56"/>
    <x v="0"/>
    <x v="1"/>
    <x v="4"/>
    <n v="54"/>
    <n v="6757"/>
    <n v="11.04666499"/>
    <n v="0.11046664990000001"/>
    <n v="44"/>
    <d v="1899-12-30T00:44:00"/>
    <n v="2"/>
    <n v="36892"/>
    <x v="0"/>
    <n v="30135"/>
    <n v="0.81684376016480542"/>
  </r>
  <r>
    <s v="P-0910"/>
    <x v="7"/>
    <x v="0"/>
    <x v="1"/>
    <x v="29"/>
    <x v="0"/>
    <x v="3"/>
    <x v="0"/>
    <n v="90"/>
    <n v="8205"/>
    <n v="10.186697949999999"/>
    <n v="0.1018669795"/>
    <n v="48"/>
    <d v="1899-12-30T00:48:00"/>
    <n v="4"/>
    <n v="42439"/>
    <x v="0"/>
    <n v="34234"/>
    <n v="0.80666368199062188"/>
  </r>
  <r>
    <s v="P-0911"/>
    <x v="6"/>
    <x v="6"/>
    <x v="0"/>
    <x v="54"/>
    <x v="1"/>
    <x v="1"/>
    <x v="4"/>
    <n v="61"/>
    <n v="4219"/>
    <n v="8.8924767340000006"/>
    <n v="8.8924767340000002E-2"/>
    <n v="159"/>
    <d v="1899-12-30T02:39:00"/>
    <n v="2"/>
    <n v="12706"/>
    <x v="0"/>
    <n v="8487"/>
    <n v="0.66795214859121677"/>
  </r>
  <r>
    <s v="P-0912"/>
    <x v="0"/>
    <x v="1"/>
    <x v="0"/>
    <x v="3"/>
    <x v="0"/>
    <x v="2"/>
    <x v="5"/>
    <n v="75"/>
    <n v="802"/>
    <n v="6.1529516439999998"/>
    <n v="6.1529516440000001E-2"/>
    <n v="178"/>
    <d v="1899-12-30T02:58:00"/>
    <n v="4"/>
    <n v="13070"/>
    <x v="0"/>
    <n v="12268"/>
    <n v="0.93863810252486612"/>
  </r>
  <r>
    <s v="P-0913"/>
    <x v="7"/>
    <x v="3"/>
    <x v="2"/>
    <x v="52"/>
    <x v="2"/>
    <x v="2"/>
    <x v="3"/>
    <n v="95"/>
    <n v="1486"/>
    <n v="11.848959580000001"/>
    <n v="0.11848959580000001"/>
    <n v="127"/>
    <d v="1899-12-30T02:07:00"/>
    <n v="3"/>
    <n v="41902"/>
    <x v="0"/>
    <n v="40416"/>
    <n v="0.96453629898334203"/>
  </r>
  <r>
    <s v="P-0914"/>
    <x v="4"/>
    <x v="3"/>
    <x v="0"/>
    <x v="76"/>
    <x v="2"/>
    <x v="0"/>
    <x v="1"/>
    <n v="83"/>
    <n v="4940"/>
    <n v="10.404953839999999"/>
    <n v="0.10404953839999999"/>
    <n v="14"/>
    <d v="1899-12-30T00:14:00"/>
    <n v="1"/>
    <n v="1924"/>
    <x v="0"/>
    <n v="-3016"/>
    <n v="-1.5675675675675675"/>
  </r>
  <r>
    <s v="P-0915"/>
    <x v="1"/>
    <x v="4"/>
    <x v="1"/>
    <x v="39"/>
    <x v="0"/>
    <x v="3"/>
    <x v="4"/>
    <n v="98"/>
    <n v="5409"/>
    <n v="24.32834772"/>
    <n v="0.24328347719999999"/>
    <n v="179"/>
    <d v="1899-12-30T02:59:00"/>
    <n v="3"/>
    <n v="27478"/>
    <x v="0"/>
    <n v="22069"/>
    <n v="0.80315161219885001"/>
  </r>
  <r>
    <s v="P-0916"/>
    <x v="4"/>
    <x v="6"/>
    <x v="0"/>
    <x v="45"/>
    <x v="3"/>
    <x v="2"/>
    <x v="2"/>
    <n v="63"/>
    <n v="3572"/>
    <n v="16.154176530000001"/>
    <n v="0.1615417653"/>
    <n v="96"/>
    <d v="1899-12-30T01:36:00"/>
    <n v="4"/>
    <n v="6506"/>
    <x v="0"/>
    <n v="2934"/>
    <n v="0.45096833691976634"/>
  </r>
  <r>
    <s v="P-0917"/>
    <x v="8"/>
    <x v="1"/>
    <x v="0"/>
    <x v="63"/>
    <x v="2"/>
    <x v="0"/>
    <x v="4"/>
    <n v="75"/>
    <n v="3624"/>
    <n v="11.94554078"/>
    <n v="0.1194554078"/>
    <n v="85"/>
    <d v="1899-12-30T01:25:00"/>
    <n v="4"/>
    <n v="47418"/>
    <x v="0"/>
    <n v="43794"/>
    <n v="0.92357332658484115"/>
  </r>
  <r>
    <s v="P-0918"/>
    <x v="7"/>
    <x v="5"/>
    <x v="1"/>
    <x v="76"/>
    <x v="2"/>
    <x v="3"/>
    <x v="0"/>
    <n v="94"/>
    <n v="8625"/>
    <n v="16.609352019999999"/>
    <n v="0.16609352019999998"/>
    <n v="167"/>
    <d v="1899-12-30T02:47:00"/>
    <n v="4"/>
    <n v="36163"/>
    <x v="0"/>
    <n v="27538"/>
    <n v="0.7614965572546526"/>
  </r>
  <r>
    <s v="P-0919"/>
    <x v="6"/>
    <x v="4"/>
    <x v="1"/>
    <x v="59"/>
    <x v="0"/>
    <x v="3"/>
    <x v="0"/>
    <n v="76"/>
    <n v="3791"/>
    <n v="7.7839340269999999"/>
    <n v="7.7839340270000001E-2"/>
    <n v="66"/>
    <d v="1899-12-30T01:06:00"/>
    <n v="3"/>
    <n v="25604"/>
    <x v="0"/>
    <n v="21813"/>
    <n v="0.85193719731291984"/>
  </r>
  <r>
    <s v="P-0920"/>
    <x v="10"/>
    <x v="2"/>
    <x v="0"/>
    <x v="40"/>
    <x v="3"/>
    <x v="0"/>
    <x v="3"/>
    <n v="58"/>
    <n v="4533"/>
    <n v="13.88087498"/>
    <n v="0.13880874979999999"/>
    <n v="136"/>
    <d v="1899-12-30T02:16:00"/>
    <n v="4"/>
    <n v="16310"/>
    <x v="1"/>
    <n v="11777"/>
    <n v="0.7220723482526058"/>
  </r>
  <r>
    <s v="P-0921"/>
    <x v="13"/>
    <x v="3"/>
    <x v="2"/>
    <x v="59"/>
    <x v="0"/>
    <x v="3"/>
    <x v="5"/>
    <n v="75"/>
    <n v="5605"/>
    <n v="17.524686429999999"/>
    <n v="0.1752468643"/>
    <n v="38"/>
    <d v="1899-12-30T00:38:00"/>
    <n v="3"/>
    <n v="9226"/>
    <x v="0"/>
    <n v="3621"/>
    <n v="0.39247778018642965"/>
  </r>
  <r>
    <s v="P-0922"/>
    <x v="5"/>
    <x v="3"/>
    <x v="2"/>
    <x v="76"/>
    <x v="2"/>
    <x v="2"/>
    <x v="4"/>
    <n v="96"/>
    <n v="1203"/>
    <n v="14.777956639999999"/>
    <n v="0.14777956640000001"/>
    <n v="174"/>
    <d v="1899-12-30T02:54:00"/>
    <n v="2"/>
    <n v="12781"/>
    <x v="0"/>
    <n v="11578"/>
    <n v="0.90587590955324304"/>
  </r>
  <r>
    <s v="P-0923"/>
    <x v="3"/>
    <x v="2"/>
    <x v="2"/>
    <x v="13"/>
    <x v="1"/>
    <x v="0"/>
    <x v="2"/>
    <n v="71"/>
    <n v="8633"/>
    <n v="13.03557601"/>
    <n v="0.1303557601"/>
    <n v="96"/>
    <d v="1899-12-30T01:36:00"/>
    <n v="1"/>
    <n v="6515"/>
    <x v="0"/>
    <n v="-2118"/>
    <n v="-0.32509593246354568"/>
  </r>
  <r>
    <s v="P-0924"/>
    <x v="2"/>
    <x v="1"/>
    <x v="2"/>
    <x v="45"/>
    <x v="3"/>
    <x v="2"/>
    <x v="1"/>
    <n v="96"/>
    <n v="1074"/>
    <n v="24.876967780000001"/>
    <n v="0.24876967780000001"/>
    <n v="150"/>
    <d v="1899-12-30T02:30:00"/>
    <n v="1"/>
    <n v="37133"/>
    <x v="0"/>
    <n v="36059"/>
    <n v="0.97107693964936848"/>
  </r>
  <r>
    <s v="P-0925"/>
    <x v="6"/>
    <x v="4"/>
    <x v="1"/>
    <x v="76"/>
    <x v="2"/>
    <x v="0"/>
    <x v="2"/>
    <n v="79"/>
    <n v="6204"/>
    <n v="22.606295240000001"/>
    <n v="0.22606295240000002"/>
    <n v="169"/>
    <d v="1899-12-30T02:49:00"/>
    <n v="3"/>
    <n v="17972"/>
    <x v="0"/>
    <n v="11768"/>
    <n v="0.65479634987758739"/>
  </r>
  <r>
    <s v="P-0926"/>
    <x v="0"/>
    <x v="1"/>
    <x v="1"/>
    <x v="77"/>
    <x v="3"/>
    <x v="1"/>
    <x v="2"/>
    <n v="92"/>
    <n v="8348"/>
    <n v="17.468119160000001"/>
    <n v="0.17468119160000001"/>
    <n v="55"/>
    <d v="1899-12-30T00:55:00"/>
    <n v="2"/>
    <n v="33092"/>
    <x v="0"/>
    <n v="24744"/>
    <n v="0.74773359120029015"/>
  </r>
  <r>
    <s v="P-0927"/>
    <x v="5"/>
    <x v="2"/>
    <x v="1"/>
    <x v="71"/>
    <x v="2"/>
    <x v="2"/>
    <x v="2"/>
    <n v="97"/>
    <n v="5708"/>
    <n v="16.387547219999998"/>
    <n v="0.16387547219999998"/>
    <n v="125"/>
    <d v="1899-12-30T02:05:00"/>
    <n v="3"/>
    <n v="12410"/>
    <x v="0"/>
    <n v="6702"/>
    <n v="0.54004834810636582"/>
  </r>
  <r>
    <s v="P-0928"/>
    <x v="6"/>
    <x v="2"/>
    <x v="1"/>
    <x v="87"/>
    <x v="1"/>
    <x v="1"/>
    <x v="1"/>
    <n v="66"/>
    <n v="7424"/>
    <n v="17.413209599999998"/>
    <n v="0.17413209599999999"/>
    <n v="121"/>
    <d v="1899-12-30T02:01:00"/>
    <n v="2"/>
    <n v="20522"/>
    <x v="0"/>
    <n v="13098"/>
    <n v="0.63824188675567683"/>
  </r>
  <r>
    <s v="P-0929"/>
    <x v="10"/>
    <x v="7"/>
    <x v="2"/>
    <x v="41"/>
    <x v="2"/>
    <x v="0"/>
    <x v="4"/>
    <n v="75"/>
    <n v="4328"/>
    <n v="9.0262421560000003"/>
    <n v="9.026242156E-2"/>
    <n v="160"/>
    <d v="1899-12-30T02:40:00"/>
    <n v="4"/>
    <n v="10095"/>
    <x v="0"/>
    <n v="5767"/>
    <n v="0.571272907379891"/>
  </r>
  <r>
    <s v="P-0930"/>
    <x v="14"/>
    <x v="5"/>
    <x v="2"/>
    <x v="72"/>
    <x v="1"/>
    <x v="3"/>
    <x v="3"/>
    <n v="85"/>
    <n v="3730"/>
    <n v="12.902754870000001"/>
    <n v="0.12902754869999999"/>
    <n v="54"/>
    <d v="1899-12-30T00:54:00"/>
    <n v="2"/>
    <n v="24047"/>
    <x v="0"/>
    <n v="20317"/>
    <n v="0.84488709610346402"/>
  </r>
  <r>
    <s v="P-0931"/>
    <x v="11"/>
    <x v="0"/>
    <x v="0"/>
    <x v="22"/>
    <x v="3"/>
    <x v="1"/>
    <x v="2"/>
    <n v="50"/>
    <n v="988"/>
    <n v="5.7891906579999999"/>
    <n v="5.7891906579999999E-2"/>
    <n v="154"/>
    <d v="1899-12-30T02:34:00"/>
    <n v="2"/>
    <n v="21470"/>
    <x v="0"/>
    <n v="20482"/>
    <n v="0.95398230088495573"/>
  </r>
  <r>
    <s v="P-0932"/>
    <x v="3"/>
    <x v="5"/>
    <x v="1"/>
    <x v="29"/>
    <x v="0"/>
    <x v="0"/>
    <x v="2"/>
    <n v="57"/>
    <n v="7614"/>
    <n v="14.51092075"/>
    <n v="0.1451092075"/>
    <n v="113"/>
    <d v="1899-12-30T01:53:00"/>
    <n v="2"/>
    <n v="44129"/>
    <x v="0"/>
    <n v="36515"/>
    <n v="0.82746040019035105"/>
  </r>
  <r>
    <s v="P-0933"/>
    <x v="5"/>
    <x v="2"/>
    <x v="0"/>
    <x v="24"/>
    <x v="2"/>
    <x v="1"/>
    <x v="3"/>
    <n v="98"/>
    <n v="3673"/>
    <n v="15.860491680000001"/>
    <n v="0.1586049168"/>
    <n v="94"/>
    <d v="1899-12-30T01:34:00"/>
    <n v="1"/>
    <n v="9531"/>
    <x v="1"/>
    <n v="5858"/>
    <n v="0.61462595740216142"/>
  </r>
  <r>
    <s v="P-0934"/>
    <x v="7"/>
    <x v="4"/>
    <x v="2"/>
    <x v="7"/>
    <x v="3"/>
    <x v="2"/>
    <x v="0"/>
    <n v="84"/>
    <n v="2167"/>
    <n v="9.554994722"/>
    <n v="9.5549947220000001E-2"/>
    <n v="143"/>
    <d v="1899-12-30T02:23:00"/>
    <n v="2"/>
    <n v="38038"/>
    <x v="0"/>
    <n v="35871"/>
    <n v="0.94303065355696936"/>
  </r>
  <r>
    <s v="P-0935"/>
    <x v="9"/>
    <x v="5"/>
    <x v="0"/>
    <x v="15"/>
    <x v="1"/>
    <x v="0"/>
    <x v="5"/>
    <n v="64"/>
    <n v="4614"/>
    <n v="24.28057694"/>
    <n v="0.24280576939999998"/>
    <n v="117"/>
    <d v="1899-12-30T01:57:00"/>
    <n v="4"/>
    <n v="23403"/>
    <x v="0"/>
    <n v="18789"/>
    <n v="0.80284578900141013"/>
  </r>
  <r>
    <s v="P-0936"/>
    <x v="1"/>
    <x v="4"/>
    <x v="0"/>
    <x v="4"/>
    <x v="2"/>
    <x v="0"/>
    <x v="4"/>
    <n v="96"/>
    <n v="4053"/>
    <n v="23.189092219999999"/>
    <n v="0.23189092219999999"/>
    <n v="27"/>
    <d v="1899-12-30T00:27:00"/>
    <n v="4"/>
    <n v="43674"/>
    <x v="0"/>
    <n v="39621"/>
    <n v="0.90719879104272561"/>
  </r>
  <r>
    <s v="P-0937"/>
    <x v="5"/>
    <x v="5"/>
    <x v="0"/>
    <x v="45"/>
    <x v="3"/>
    <x v="3"/>
    <x v="4"/>
    <n v="71"/>
    <n v="8261"/>
    <n v="19.442864709999998"/>
    <n v="0.19442864709999999"/>
    <n v="103"/>
    <d v="1899-12-30T01:43:00"/>
    <n v="4"/>
    <n v="30122"/>
    <x v="0"/>
    <n v="21861"/>
    <n v="0.72574862226943759"/>
  </r>
  <r>
    <s v="P-0938"/>
    <x v="1"/>
    <x v="0"/>
    <x v="1"/>
    <x v="58"/>
    <x v="0"/>
    <x v="0"/>
    <x v="0"/>
    <n v="63"/>
    <n v="1500"/>
    <n v="15.667732579999999"/>
    <n v="0.15667732579999999"/>
    <n v="159"/>
    <d v="1899-12-30T02:39:00"/>
    <n v="2"/>
    <n v="17940"/>
    <x v="0"/>
    <n v="16440"/>
    <n v="0.91638795986622068"/>
  </r>
  <r>
    <s v="P-0939"/>
    <x v="11"/>
    <x v="3"/>
    <x v="1"/>
    <x v="71"/>
    <x v="2"/>
    <x v="2"/>
    <x v="4"/>
    <n v="75"/>
    <n v="9542"/>
    <n v="22.399383190000002"/>
    <n v="0.22399383190000002"/>
    <n v="42"/>
    <d v="1899-12-30T00:42:00"/>
    <n v="3"/>
    <n v="30831"/>
    <x v="0"/>
    <n v="21289"/>
    <n v="0.69050630858551454"/>
  </r>
  <r>
    <s v="P-0940"/>
    <x v="14"/>
    <x v="6"/>
    <x v="2"/>
    <x v="76"/>
    <x v="2"/>
    <x v="0"/>
    <x v="5"/>
    <n v="77"/>
    <n v="1888"/>
    <n v="7.6130468760000003"/>
    <n v="7.613046876E-2"/>
    <n v="167"/>
    <d v="1899-12-30T02:47:00"/>
    <n v="3"/>
    <n v="12279"/>
    <x v="0"/>
    <n v="10391"/>
    <n v="0.84624155061487094"/>
  </r>
  <r>
    <s v="P-0941"/>
    <x v="12"/>
    <x v="2"/>
    <x v="0"/>
    <x v="23"/>
    <x v="1"/>
    <x v="0"/>
    <x v="1"/>
    <n v="72"/>
    <n v="5950"/>
    <n v="20.810195889999999"/>
    <n v="0.20810195889999999"/>
    <n v="135"/>
    <d v="1899-12-30T02:15:00"/>
    <n v="4"/>
    <n v="39220"/>
    <x v="0"/>
    <n v="33270"/>
    <n v="0.84829168791432941"/>
  </r>
  <r>
    <s v="P-0942"/>
    <x v="3"/>
    <x v="2"/>
    <x v="1"/>
    <x v="14"/>
    <x v="3"/>
    <x v="2"/>
    <x v="1"/>
    <n v="63"/>
    <n v="4212"/>
    <n v="7.496416279"/>
    <n v="7.4964162789999997E-2"/>
    <n v="169"/>
    <d v="1899-12-30T02:49:00"/>
    <n v="1"/>
    <n v="7477"/>
    <x v="0"/>
    <n v="3265"/>
    <n v="0.43667246221746692"/>
  </r>
  <r>
    <s v="P-0943"/>
    <x v="4"/>
    <x v="0"/>
    <x v="2"/>
    <x v="62"/>
    <x v="1"/>
    <x v="1"/>
    <x v="2"/>
    <n v="73"/>
    <n v="1867"/>
    <n v="20.884213249999998"/>
    <n v="0.20884213249999997"/>
    <n v="179"/>
    <d v="1899-12-30T02:59:00"/>
    <n v="3"/>
    <n v="18400"/>
    <x v="0"/>
    <n v="16533"/>
    <n v="0.89853260869565221"/>
  </r>
  <r>
    <s v="P-0944"/>
    <x v="10"/>
    <x v="1"/>
    <x v="1"/>
    <x v="88"/>
    <x v="3"/>
    <x v="1"/>
    <x v="5"/>
    <n v="51"/>
    <n v="8689"/>
    <n v="10.515351369999999"/>
    <n v="0.10515351369999999"/>
    <n v="131"/>
    <d v="1899-12-30T02:11:00"/>
    <n v="2"/>
    <n v="7470"/>
    <x v="0"/>
    <n v="-1219"/>
    <n v="-0.16318607764390897"/>
  </r>
  <r>
    <s v="P-0945"/>
    <x v="7"/>
    <x v="5"/>
    <x v="1"/>
    <x v="20"/>
    <x v="2"/>
    <x v="2"/>
    <x v="1"/>
    <n v="94"/>
    <n v="9513"/>
    <n v="22.541811620000001"/>
    <n v="0.22541811620000002"/>
    <n v="147"/>
    <d v="1899-12-30T02:27:00"/>
    <n v="3"/>
    <n v="3062"/>
    <x v="0"/>
    <n v="-6451"/>
    <n v="-2.1067929457870673"/>
  </r>
  <r>
    <s v="P-0946"/>
    <x v="3"/>
    <x v="7"/>
    <x v="1"/>
    <x v="38"/>
    <x v="1"/>
    <x v="1"/>
    <x v="3"/>
    <n v="75"/>
    <n v="954"/>
    <n v="23.880841879999998"/>
    <n v="0.23880841879999998"/>
    <n v="124"/>
    <d v="1899-12-30T02:04:00"/>
    <n v="4"/>
    <n v="42798"/>
    <x v="0"/>
    <n v="41844"/>
    <n v="0.97770923874947424"/>
  </r>
  <r>
    <s v="P-0947"/>
    <x v="1"/>
    <x v="3"/>
    <x v="1"/>
    <x v="26"/>
    <x v="0"/>
    <x v="0"/>
    <x v="4"/>
    <n v="63"/>
    <n v="3272"/>
    <n v="7.9759193880000003"/>
    <n v="7.9759193880000009E-2"/>
    <n v="173"/>
    <d v="1899-12-30T02:53:00"/>
    <n v="1"/>
    <n v="20880"/>
    <x v="0"/>
    <n v="17608"/>
    <n v="0.84329501915708815"/>
  </r>
  <r>
    <s v="P-0948"/>
    <x v="12"/>
    <x v="6"/>
    <x v="2"/>
    <x v="48"/>
    <x v="2"/>
    <x v="0"/>
    <x v="5"/>
    <n v="56"/>
    <n v="4226"/>
    <n v="14.2535121"/>
    <n v="0.14253512099999999"/>
    <n v="171"/>
    <d v="1899-12-30T02:51:00"/>
    <n v="3"/>
    <n v="35581"/>
    <x v="0"/>
    <n v="31355"/>
    <n v="0.88122874567887355"/>
  </r>
  <r>
    <s v="P-0949"/>
    <x v="4"/>
    <x v="5"/>
    <x v="2"/>
    <x v="42"/>
    <x v="1"/>
    <x v="0"/>
    <x v="3"/>
    <n v="52"/>
    <n v="7732"/>
    <n v="24.61974756"/>
    <n v="0.24619747559999999"/>
    <n v="37"/>
    <d v="1899-12-30T00:37:00"/>
    <n v="3"/>
    <n v="45439"/>
    <x v="0"/>
    <n v="37707"/>
    <n v="0.82983780452914901"/>
  </r>
  <r>
    <s v="P-0950"/>
    <x v="14"/>
    <x v="2"/>
    <x v="1"/>
    <x v="32"/>
    <x v="1"/>
    <x v="0"/>
    <x v="0"/>
    <n v="96"/>
    <n v="5306"/>
    <n v="14.66814872"/>
    <n v="0.14668148719999999"/>
    <n v="20"/>
    <d v="1899-12-30T00:20:00"/>
    <n v="4"/>
    <n v="15308"/>
    <x v="0"/>
    <n v="10002"/>
    <n v="0.65338385158087275"/>
  </r>
  <r>
    <s v="P-0951"/>
    <x v="12"/>
    <x v="0"/>
    <x v="1"/>
    <x v="65"/>
    <x v="2"/>
    <x v="0"/>
    <x v="3"/>
    <n v="72"/>
    <n v="2690"/>
    <n v="22.270950450000001"/>
    <n v="0.22270950450000002"/>
    <n v="176"/>
    <d v="1899-12-30T02:56:00"/>
    <n v="1"/>
    <n v="27027"/>
    <x v="0"/>
    <n v="24337"/>
    <n v="0.9004699004699005"/>
  </r>
  <r>
    <s v="P-0952"/>
    <x v="9"/>
    <x v="4"/>
    <x v="0"/>
    <x v="8"/>
    <x v="0"/>
    <x v="2"/>
    <x v="0"/>
    <n v="95"/>
    <n v="9608"/>
    <n v="16.774630439999999"/>
    <n v="0.16774630439999999"/>
    <n v="56"/>
    <d v="1899-12-30T00:56:00"/>
    <n v="1"/>
    <n v="31720"/>
    <x v="0"/>
    <n v="22112"/>
    <n v="0.69709962168978568"/>
  </r>
  <r>
    <s v="P-0953"/>
    <x v="8"/>
    <x v="1"/>
    <x v="1"/>
    <x v="56"/>
    <x v="0"/>
    <x v="0"/>
    <x v="0"/>
    <n v="92"/>
    <n v="3375"/>
    <n v="12.506598159999999"/>
    <n v="0.12506598159999999"/>
    <n v="136"/>
    <d v="1899-12-30T02:16:00"/>
    <n v="4"/>
    <n v="36081"/>
    <x v="0"/>
    <n v="32706"/>
    <n v="0.90646046395609881"/>
  </r>
  <r>
    <s v="P-0954"/>
    <x v="0"/>
    <x v="6"/>
    <x v="0"/>
    <x v="84"/>
    <x v="0"/>
    <x v="1"/>
    <x v="3"/>
    <n v="96"/>
    <n v="6092"/>
    <n v="10.715671110000001"/>
    <n v="0.10715671110000001"/>
    <n v="156"/>
    <d v="1899-12-30T02:36:00"/>
    <n v="2"/>
    <n v="10706"/>
    <x v="1"/>
    <n v="4614"/>
    <n v="0.43097328600784607"/>
  </r>
  <r>
    <s v="P-0955"/>
    <x v="6"/>
    <x v="6"/>
    <x v="1"/>
    <x v="75"/>
    <x v="2"/>
    <x v="2"/>
    <x v="0"/>
    <n v="94"/>
    <n v="1940"/>
    <n v="9.0644618220000002"/>
    <n v="9.0644618220000001E-2"/>
    <n v="127"/>
    <d v="1899-12-30T02:07:00"/>
    <n v="3"/>
    <n v="10837"/>
    <x v="0"/>
    <n v="8897"/>
    <n v="0.82098366706653136"/>
  </r>
  <r>
    <s v="P-0956"/>
    <x v="13"/>
    <x v="7"/>
    <x v="2"/>
    <x v="7"/>
    <x v="3"/>
    <x v="1"/>
    <x v="3"/>
    <n v="67"/>
    <n v="9427"/>
    <n v="20.235963829999999"/>
    <n v="0.20235963830000001"/>
    <n v="152"/>
    <d v="1899-12-30T02:32:00"/>
    <n v="2"/>
    <n v="39599"/>
    <x v="0"/>
    <n v="30172"/>
    <n v="0.76193843278870677"/>
  </r>
  <r>
    <s v="P-0957"/>
    <x v="1"/>
    <x v="0"/>
    <x v="2"/>
    <x v="56"/>
    <x v="0"/>
    <x v="0"/>
    <x v="4"/>
    <n v="87"/>
    <n v="6559"/>
    <n v="12.730810140000001"/>
    <n v="0.12730810140000001"/>
    <n v="135"/>
    <d v="1899-12-30T02:15:00"/>
    <n v="3"/>
    <n v="37824"/>
    <x v="0"/>
    <n v="31265"/>
    <n v="0.82659158206429784"/>
  </r>
  <r>
    <s v="P-0958"/>
    <x v="3"/>
    <x v="6"/>
    <x v="0"/>
    <x v="56"/>
    <x v="0"/>
    <x v="0"/>
    <x v="4"/>
    <n v="84"/>
    <n v="7510"/>
    <n v="15.225509239999999"/>
    <n v="0.15225509239999999"/>
    <n v="165"/>
    <d v="1899-12-30T02:45:00"/>
    <n v="3"/>
    <n v="34073"/>
    <x v="0"/>
    <n v="26563"/>
    <n v="0.77959087840812369"/>
  </r>
  <r>
    <s v="P-0959"/>
    <x v="4"/>
    <x v="5"/>
    <x v="2"/>
    <x v="23"/>
    <x v="1"/>
    <x v="3"/>
    <x v="0"/>
    <n v="64"/>
    <n v="7617"/>
    <n v="14.846509599999999"/>
    <n v="0.14846509599999999"/>
    <n v="161"/>
    <d v="1899-12-30T02:41:00"/>
    <n v="2"/>
    <n v="48115"/>
    <x v="0"/>
    <n v="40498"/>
    <n v="0.84169178011015278"/>
  </r>
  <r>
    <s v="P-0960"/>
    <x v="7"/>
    <x v="0"/>
    <x v="2"/>
    <x v="18"/>
    <x v="3"/>
    <x v="3"/>
    <x v="4"/>
    <n v="74"/>
    <n v="9653"/>
    <n v="16.545580579999999"/>
    <n v="0.16545580579999999"/>
    <n v="81"/>
    <d v="1899-12-30T01:21:00"/>
    <n v="4"/>
    <n v="33088"/>
    <x v="0"/>
    <n v="23435"/>
    <n v="0.70826281431334626"/>
  </r>
  <r>
    <s v="P-0961"/>
    <x v="8"/>
    <x v="7"/>
    <x v="2"/>
    <x v="78"/>
    <x v="3"/>
    <x v="0"/>
    <x v="2"/>
    <n v="86"/>
    <n v="3489"/>
    <n v="22.31154291"/>
    <n v="0.22311542910000001"/>
    <n v="116"/>
    <d v="1899-12-30T01:56:00"/>
    <n v="4"/>
    <n v="29112"/>
    <x v="0"/>
    <n v="25623"/>
    <n v="0.88015251442704034"/>
  </r>
  <r>
    <s v="P-0962"/>
    <x v="5"/>
    <x v="2"/>
    <x v="2"/>
    <x v="12"/>
    <x v="3"/>
    <x v="1"/>
    <x v="2"/>
    <n v="77"/>
    <n v="9718"/>
    <n v="24.61478687"/>
    <n v="0.24614786869999999"/>
    <n v="146"/>
    <d v="1899-12-30T02:26:00"/>
    <n v="3"/>
    <n v="27299"/>
    <x v="0"/>
    <n v="17581"/>
    <n v="0.64401626433202686"/>
  </r>
  <r>
    <s v="P-0963"/>
    <x v="8"/>
    <x v="3"/>
    <x v="2"/>
    <x v="37"/>
    <x v="2"/>
    <x v="2"/>
    <x v="3"/>
    <n v="59"/>
    <n v="6728"/>
    <n v="13.151684169999999"/>
    <n v="0.1315168417"/>
    <n v="42"/>
    <d v="1899-12-30T00:42:00"/>
    <n v="4"/>
    <n v="35457"/>
    <x v="0"/>
    <n v="28729"/>
    <n v="0.81024903404123305"/>
  </r>
  <r>
    <s v="P-0964"/>
    <x v="0"/>
    <x v="3"/>
    <x v="0"/>
    <x v="31"/>
    <x v="3"/>
    <x v="1"/>
    <x v="5"/>
    <n v="88"/>
    <n v="6971"/>
    <n v="21.550378439999999"/>
    <n v="0.21550378439999998"/>
    <n v="28"/>
    <d v="1899-12-30T00:28:00"/>
    <n v="3"/>
    <n v="31063"/>
    <x v="0"/>
    <n v="24092"/>
    <n v="0.77558510124585522"/>
  </r>
  <r>
    <s v="P-0965"/>
    <x v="10"/>
    <x v="4"/>
    <x v="1"/>
    <x v="66"/>
    <x v="1"/>
    <x v="1"/>
    <x v="5"/>
    <n v="66"/>
    <n v="3363"/>
    <n v="20.29055589"/>
    <n v="0.2029055589"/>
    <n v="83"/>
    <d v="1899-12-30T01:23:00"/>
    <n v="4"/>
    <n v="4917"/>
    <x v="0"/>
    <n v="1554"/>
    <n v="0.31604636973764488"/>
  </r>
  <r>
    <s v="P-0966"/>
    <x v="11"/>
    <x v="0"/>
    <x v="1"/>
    <x v="51"/>
    <x v="3"/>
    <x v="1"/>
    <x v="5"/>
    <n v="88"/>
    <n v="1677"/>
    <n v="16.47057903"/>
    <n v="0.16470579029999999"/>
    <n v="177"/>
    <d v="1899-12-30T02:57:00"/>
    <n v="3"/>
    <n v="3936"/>
    <x v="0"/>
    <n v="2259"/>
    <n v="0.57393292682926833"/>
  </r>
  <r>
    <s v="P-0967"/>
    <x v="6"/>
    <x v="4"/>
    <x v="1"/>
    <x v="84"/>
    <x v="0"/>
    <x v="1"/>
    <x v="3"/>
    <n v="71"/>
    <n v="5260"/>
    <n v="24.12094287"/>
    <n v="0.24120942870000001"/>
    <n v="166"/>
    <d v="1899-12-30T02:46:00"/>
    <n v="4"/>
    <n v="37630"/>
    <x v="0"/>
    <n v="32370"/>
    <n v="0.86021791124103109"/>
  </r>
  <r>
    <s v="P-0968"/>
    <x v="10"/>
    <x v="4"/>
    <x v="2"/>
    <x v="20"/>
    <x v="2"/>
    <x v="2"/>
    <x v="0"/>
    <n v="75"/>
    <n v="511"/>
    <n v="9.0094903110000004"/>
    <n v="9.0094903109999999E-2"/>
    <n v="107"/>
    <d v="1899-12-30T01:47:00"/>
    <n v="1"/>
    <n v="15506"/>
    <x v="0"/>
    <n v="14995"/>
    <n v="0.9670450148329679"/>
  </r>
  <r>
    <s v="P-0969"/>
    <x v="0"/>
    <x v="1"/>
    <x v="2"/>
    <x v="72"/>
    <x v="1"/>
    <x v="3"/>
    <x v="3"/>
    <n v="93"/>
    <n v="5752"/>
    <n v="7.1852842060000004"/>
    <n v="7.1852842060000005E-2"/>
    <n v="150"/>
    <d v="1899-12-30T02:30:00"/>
    <n v="2"/>
    <n v="29805"/>
    <x v="0"/>
    <n v="24053"/>
    <n v="0.80701224626740475"/>
  </r>
  <r>
    <s v="P-0970"/>
    <x v="1"/>
    <x v="3"/>
    <x v="1"/>
    <x v="1"/>
    <x v="1"/>
    <x v="3"/>
    <x v="0"/>
    <n v="74"/>
    <n v="4899"/>
    <n v="22.079239340000001"/>
    <n v="0.22079239340000001"/>
    <n v="138"/>
    <d v="1899-12-30T02:18:00"/>
    <n v="1"/>
    <n v="15318"/>
    <x v="0"/>
    <n v="10419"/>
    <n v="0.68018018018018023"/>
  </r>
  <r>
    <s v="P-0971"/>
    <x v="4"/>
    <x v="2"/>
    <x v="2"/>
    <x v="45"/>
    <x v="3"/>
    <x v="2"/>
    <x v="0"/>
    <n v="66"/>
    <n v="8734"/>
    <n v="13.78299633"/>
    <n v="0.1378299633"/>
    <n v="171"/>
    <d v="1899-12-30T02:51:00"/>
    <n v="2"/>
    <n v="49068"/>
    <x v="0"/>
    <n v="40334"/>
    <n v="0.82200211950762203"/>
  </r>
  <r>
    <s v="P-0972"/>
    <x v="0"/>
    <x v="6"/>
    <x v="1"/>
    <x v="38"/>
    <x v="1"/>
    <x v="2"/>
    <x v="2"/>
    <n v="62"/>
    <n v="9635"/>
    <n v="21.93937708"/>
    <n v="0.2193937708"/>
    <n v="102"/>
    <d v="1899-12-30T01:42:00"/>
    <n v="2"/>
    <n v="27026"/>
    <x v="0"/>
    <n v="17391"/>
    <n v="0.64349145267520169"/>
  </r>
  <r>
    <s v="P-0973"/>
    <x v="10"/>
    <x v="2"/>
    <x v="0"/>
    <x v="70"/>
    <x v="2"/>
    <x v="1"/>
    <x v="2"/>
    <n v="69"/>
    <n v="5945"/>
    <n v="22.861804100000001"/>
    <n v="0.22861804099999999"/>
    <n v="57"/>
    <d v="1899-12-30T00:57:00"/>
    <n v="3"/>
    <n v="28672"/>
    <x v="0"/>
    <n v="22727"/>
    <n v="0.7926548549107143"/>
  </r>
  <r>
    <s v="P-0974"/>
    <x v="2"/>
    <x v="7"/>
    <x v="1"/>
    <x v="64"/>
    <x v="3"/>
    <x v="2"/>
    <x v="4"/>
    <n v="74"/>
    <n v="7070"/>
    <n v="6.2491518719999997"/>
    <n v="6.249151872E-2"/>
    <n v="73"/>
    <d v="1899-12-30T01:13:00"/>
    <n v="2"/>
    <n v="39417"/>
    <x v="0"/>
    <n v="32347"/>
    <n v="0.82063576629373114"/>
  </r>
  <r>
    <s v="P-0975"/>
    <x v="11"/>
    <x v="6"/>
    <x v="2"/>
    <x v="44"/>
    <x v="0"/>
    <x v="3"/>
    <x v="1"/>
    <n v="53"/>
    <n v="9696"/>
    <n v="22.669295259999998"/>
    <n v="0.2266929526"/>
    <n v="70"/>
    <d v="1899-12-30T01:10:00"/>
    <n v="1"/>
    <n v="28281"/>
    <x v="0"/>
    <n v="18585"/>
    <n v="0.65715498037551712"/>
  </r>
  <r>
    <s v="P-0976"/>
    <x v="5"/>
    <x v="7"/>
    <x v="1"/>
    <x v="27"/>
    <x v="2"/>
    <x v="0"/>
    <x v="1"/>
    <n v="59"/>
    <n v="8712"/>
    <n v="13.96638111"/>
    <n v="0.13966381110000001"/>
    <n v="166"/>
    <d v="1899-12-30T02:46:00"/>
    <n v="1"/>
    <n v="49442"/>
    <x v="0"/>
    <n v="40730"/>
    <n v="0.82379353586019988"/>
  </r>
  <r>
    <s v="P-0977"/>
    <x v="9"/>
    <x v="6"/>
    <x v="1"/>
    <x v="5"/>
    <x v="1"/>
    <x v="0"/>
    <x v="4"/>
    <n v="52"/>
    <n v="906"/>
    <n v="15.20864978"/>
    <n v="0.1520864978"/>
    <n v="48"/>
    <d v="1899-12-30T00:48:00"/>
    <n v="4"/>
    <n v="29091"/>
    <x v="0"/>
    <n v="28185"/>
    <n v="0.96885634732391457"/>
  </r>
  <r>
    <s v="P-0978"/>
    <x v="7"/>
    <x v="7"/>
    <x v="2"/>
    <x v="82"/>
    <x v="2"/>
    <x v="0"/>
    <x v="0"/>
    <n v="90"/>
    <n v="9706"/>
    <n v="17.531850219999999"/>
    <n v="0.1753185022"/>
    <n v="137"/>
    <d v="1899-12-30T02:17:00"/>
    <n v="1"/>
    <n v="39328"/>
    <x v="0"/>
    <n v="29622"/>
    <n v="0.75320382424735555"/>
  </r>
  <r>
    <s v="P-0979"/>
    <x v="2"/>
    <x v="1"/>
    <x v="0"/>
    <x v="26"/>
    <x v="0"/>
    <x v="1"/>
    <x v="0"/>
    <n v="94"/>
    <n v="4931"/>
    <n v="23.52765213"/>
    <n v="0.23527652129999999"/>
    <n v="97"/>
    <d v="1899-12-30T01:37:00"/>
    <n v="4"/>
    <n v="49219"/>
    <x v="0"/>
    <n v="44288"/>
    <n v="0.89981511205022446"/>
  </r>
  <r>
    <s v="P-0980"/>
    <x v="13"/>
    <x v="1"/>
    <x v="0"/>
    <x v="7"/>
    <x v="3"/>
    <x v="3"/>
    <x v="4"/>
    <n v="67"/>
    <n v="5743"/>
    <n v="5.382321889"/>
    <n v="5.3823218889999996E-2"/>
    <n v="35"/>
    <d v="1899-12-30T00:35:00"/>
    <n v="2"/>
    <n v="19610"/>
    <x v="0"/>
    <n v="13867"/>
    <n v="0.70713921468638452"/>
  </r>
  <r>
    <s v="P-0981"/>
    <x v="1"/>
    <x v="4"/>
    <x v="2"/>
    <x v="23"/>
    <x v="1"/>
    <x v="0"/>
    <x v="2"/>
    <n v="96"/>
    <n v="7042"/>
    <n v="14.53686937"/>
    <n v="0.1453686937"/>
    <n v="26"/>
    <d v="1899-12-30T00:26:00"/>
    <n v="1"/>
    <n v="2079"/>
    <x v="0"/>
    <n v="-4963"/>
    <n v="-2.3872053872053871"/>
  </r>
  <r>
    <s v="P-0982"/>
    <x v="11"/>
    <x v="0"/>
    <x v="1"/>
    <x v="89"/>
    <x v="1"/>
    <x v="1"/>
    <x v="5"/>
    <n v="85"/>
    <n v="7436"/>
    <n v="18.754440850000002"/>
    <n v="0.18754440850000001"/>
    <n v="80"/>
    <d v="1899-12-30T01:20:00"/>
    <n v="2"/>
    <n v="30850"/>
    <x v="0"/>
    <n v="23414"/>
    <n v="0.75896272285251221"/>
  </r>
  <r>
    <s v="P-0983"/>
    <x v="10"/>
    <x v="6"/>
    <x v="1"/>
    <x v="71"/>
    <x v="2"/>
    <x v="0"/>
    <x v="5"/>
    <n v="96"/>
    <n v="9406"/>
    <n v="19.45413915"/>
    <n v="0.19454139149999999"/>
    <n v="22"/>
    <d v="1899-12-30T00:22:00"/>
    <n v="1"/>
    <n v="47751"/>
    <x v="0"/>
    <n v="38345"/>
    <n v="0.80301983204540217"/>
  </r>
  <r>
    <s v="P-0984"/>
    <x v="1"/>
    <x v="4"/>
    <x v="2"/>
    <x v="33"/>
    <x v="3"/>
    <x v="2"/>
    <x v="3"/>
    <n v="71"/>
    <n v="4646"/>
    <n v="18.850648629999998"/>
    <n v="0.1885064863"/>
    <n v="78"/>
    <d v="1899-12-30T01:18:00"/>
    <n v="1"/>
    <n v="21590"/>
    <x v="0"/>
    <n v="16944"/>
    <n v="0.78480778138026863"/>
  </r>
  <r>
    <s v="P-0985"/>
    <x v="2"/>
    <x v="2"/>
    <x v="2"/>
    <x v="3"/>
    <x v="0"/>
    <x v="2"/>
    <x v="2"/>
    <n v="83"/>
    <n v="640"/>
    <n v="7.6887025879999999"/>
    <n v="7.6887025880000001E-2"/>
    <n v="35"/>
    <d v="1899-12-30T00:35:00"/>
    <n v="4"/>
    <n v="31951"/>
    <x v="0"/>
    <n v="31311"/>
    <n v="0.97996932803355141"/>
  </r>
  <r>
    <s v="P-0986"/>
    <x v="8"/>
    <x v="1"/>
    <x v="2"/>
    <x v="36"/>
    <x v="2"/>
    <x v="1"/>
    <x v="4"/>
    <n v="96"/>
    <n v="5382"/>
    <n v="10.98791177"/>
    <n v="0.1098791177"/>
    <n v="58"/>
    <d v="1899-12-30T00:58:00"/>
    <n v="2"/>
    <n v="16327"/>
    <x v="0"/>
    <n v="10945"/>
    <n v="0.67036197709315859"/>
  </r>
  <r>
    <s v="P-0987"/>
    <x v="10"/>
    <x v="3"/>
    <x v="1"/>
    <x v="81"/>
    <x v="2"/>
    <x v="1"/>
    <x v="2"/>
    <n v="57"/>
    <n v="6512"/>
    <n v="12.17431051"/>
    <n v="0.1217431051"/>
    <n v="16"/>
    <d v="1899-12-30T00:16:00"/>
    <n v="1"/>
    <n v="13755"/>
    <x v="0"/>
    <n v="7243"/>
    <n v="0.5265721555797892"/>
  </r>
  <r>
    <s v="P-0988"/>
    <x v="6"/>
    <x v="1"/>
    <x v="0"/>
    <x v="77"/>
    <x v="3"/>
    <x v="1"/>
    <x v="4"/>
    <n v="89"/>
    <n v="1463"/>
    <n v="21.08874415"/>
    <n v="0.21088744149999999"/>
    <n v="67"/>
    <d v="1899-12-30T01:07:00"/>
    <n v="3"/>
    <n v="8235"/>
    <x v="0"/>
    <n v="6772"/>
    <n v="0.82234365513054042"/>
  </r>
  <r>
    <s v="P-0989"/>
    <x v="8"/>
    <x v="3"/>
    <x v="0"/>
    <x v="7"/>
    <x v="3"/>
    <x v="1"/>
    <x v="3"/>
    <n v="98"/>
    <n v="7651"/>
    <n v="10.575197449999999"/>
    <n v="0.1057519745"/>
    <n v="58"/>
    <d v="1899-12-30T00:58:00"/>
    <n v="2"/>
    <n v="18197"/>
    <x v="1"/>
    <n v="10546"/>
    <n v="0.57954607902401489"/>
  </r>
  <r>
    <s v="P-0990"/>
    <x v="14"/>
    <x v="6"/>
    <x v="0"/>
    <x v="0"/>
    <x v="0"/>
    <x v="0"/>
    <x v="5"/>
    <n v="93"/>
    <n v="9064"/>
    <n v="9.2140992770000008"/>
    <n v="9.2140992770000013E-2"/>
    <n v="112"/>
    <d v="1899-12-30T01:52:00"/>
    <n v="2"/>
    <n v="22473"/>
    <x v="0"/>
    <n v="13409"/>
    <n v="0.59667156142927069"/>
  </r>
  <r>
    <s v="P-0991"/>
    <x v="6"/>
    <x v="6"/>
    <x v="1"/>
    <x v="17"/>
    <x v="2"/>
    <x v="1"/>
    <x v="5"/>
    <n v="68"/>
    <n v="4110"/>
    <n v="24.148960379999998"/>
    <n v="0.24148960379999998"/>
    <n v="62"/>
    <d v="1899-12-30T01:02:00"/>
    <n v="2"/>
    <n v="3031"/>
    <x v="0"/>
    <n v="-1079"/>
    <n v="-0.35598812273177172"/>
  </r>
  <r>
    <s v="P-0992"/>
    <x v="6"/>
    <x v="7"/>
    <x v="0"/>
    <x v="58"/>
    <x v="0"/>
    <x v="1"/>
    <x v="1"/>
    <n v="91"/>
    <n v="7394"/>
    <n v="5.1772657019999997"/>
    <n v="5.1772657019999994E-2"/>
    <n v="71"/>
    <d v="1899-12-30T01:11:00"/>
    <n v="4"/>
    <n v="42282"/>
    <x v="0"/>
    <n v="34888"/>
    <n v="0.82512653138451353"/>
  </r>
  <r>
    <s v="P-0993"/>
    <x v="9"/>
    <x v="3"/>
    <x v="1"/>
    <x v="84"/>
    <x v="0"/>
    <x v="1"/>
    <x v="1"/>
    <n v="90"/>
    <n v="7811"/>
    <n v="24.95641711"/>
    <n v="0.24956417110000001"/>
    <n v="26"/>
    <d v="1899-12-30T00:26:00"/>
    <n v="3"/>
    <n v="42863"/>
    <x v="0"/>
    <n v="35052"/>
    <n v="0.81776823834076007"/>
  </r>
  <r>
    <s v="P-0994"/>
    <x v="1"/>
    <x v="5"/>
    <x v="1"/>
    <x v="53"/>
    <x v="0"/>
    <x v="2"/>
    <x v="1"/>
    <n v="86"/>
    <n v="605"/>
    <n v="18.536425980000001"/>
    <n v="0.18536425980000001"/>
    <n v="34"/>
    <d v="1899-12-30T00:34:00"/>
    <n v="2"/>
    <n v="15287"/>
    <x v="0"/>
    <n v="14682"/>
    <n v="0.96042388957938118"/>
  </r>
  <r>
    <s v="P-0995"/>
    <x v="5"/>
    <x v="2"/>
    <x v="2"/>
    <x v="89"/>
    <x v="1"/>
    <x v="3"/>
    <x v="0"/>
    <n v="55"/>
    <n v="6039"/>
    <n v="21.569385990000001"/>
    <n v="0.21569385990000001"/>
    <n v="140"/>
    <d v="1899-12-30T02:20:00"/>
    <n v="1"/>
    <n v="39679"/>
    <x v="0"/>
    <n v="33640"/>
    <n v="0.84780362408326826"/>
  </r>
  <r>
    <s v="P-0996"/>
    <x v="8"/>
    <x v="4"/>
    <x v="1"/>
    <x v="52"/>
    <x v="2"/>
    <x v="2"/>
    <x v="2"/>
    <n v="75"/>
    <n v="7287"/>
    <n v="10.89238793"/>
    <n v="0.1089238793"/>
    <n v="38"/>
    <d v="1899-12-30T00:38:00"/>
    <n v="1"/>
    <n v="45463"/>
    <x v="0"/>
    <n v="38176"/>
    <n v="0.83971581285880825"/>
  </r>
  <r>
    <s v="P-0997"/>
    <x v="0"/>
    <x v="7"/>
    <x v="2"/>
    <x v="16"/>
    <x v="1"/>
    <x v="2"/>
    <x v="3"/>
    <n v="83"/>
    <n v="2637"/>
    <n v="5.286305553"/>
    <n v="5.2863055530000001E-2"/>
    <n v="126"/>
    <d v="1899-12-30T02:06:00"/>
    <n v="4"/>
    <n v="33230"/>
    <x v="0"/>
    <n v="30593"/>
    <n v="0.92064399638880534"/>
  </r>
  <r>
    <s v="P-0998"/>
    <x v="9"/>
    <x v="6"/>
    <x v="1"/>
    <x v="68"/>
    <x v="3"/>
    <x v="2"/>
    <x v="5"/>
    <n v="94"/>
    <n v="4945"/>
    <n v="19.75739037"/>
    <n v="0.1975739037"/>
    <n v="169"/>
    <d v="1899-12-30T02:49:00"/>
    <n v="1"/>
    <n v="20037"/>
    <x v="0"/>
    <n v="15092"/>
    <n v="0.75320656784947848"/>
  </r>
  <r>
    <s v="P-0999"/>
    <x v="5"/>
    <x v="2"/>
    <x v="2"/>
    <x v="0"/>
    <x v="0"/>
    <x v="3"/>
    <x v="2"/>
    <n v="55"/>
    <n v="4030"/>
    <n v="21.682891940000001"/>
    <n v="0.21682891940000001"/>
    <n v="35"/>
    <d v="1899-12-30T00:35:00"/>
    <n v="2"/>
    <n v="28052"/>
    <x v="0"/>
    <n v="24022"/>
    <n v="0.85633822900327961"/>
  </r>
  <r>
    <s v="P-1000"/>
    <x v="2"/>
    <x v="4"/>
    <x v="2"/>
    <x v="73"/>
    <x v="1"/>
    <x v="3"/>
    <x v="0"/>
    <n v="86"/>
    <n v="1786"/>
    <n v="19.809522640000001"/>
    <n v="0.19809522640000002"/>
    <n v="133"/>
    <d v="1899-12-30T02:13:00"/>
    <n v="1"/>
    <n v="4340"/>
    <x v="0"/>
    <n v="2554"/>
    <n v="0.588479262672811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AEC442-43AF-4F61-BE3F-4B80654A95E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9:C100" firstHeaderRow="1" firstDataRow="1" firstDataCol="1" rowPageCount="1" colPageCount="1"/>
  <pivotFields count="19">
    <pivotField dataField="1"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axis="axisRow" showAll="0">
      <items count="4">
        <item x="1"/>
        <item h="1" x="0"/>
        <item h="1" x="2"/>
        <item t="default"/>
      </items>
    </pivotField>
    <pivotField showAll="0"/>
    <pivotField showAll="0">
      <items count="5">
        <item x="0"/>
        <item x="3"/>
        <item x="1"/>
        <item x="2"/>
        <item t="default"/>
      </items>
    </pivotField>
    <pivotField showAll="0">
      <items count="5">
        <item x="0"/>
        <item x="1"/>
        <item x="2"/>
        <item x="3"/>
        <item t="default"/>
      </items>
    </pivotField>
    <pivotField axis="axisRow" showAll="0">
      <items count="7">
        <item x="2"/>
        <item x="0"/>
        <item x="3"/>
        <item x="1"/>
        <item x="5"/>
        <item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axis="axisPage" showAll="0">
      <items count="3">
        <item x="0"/>
        <item x="1"/>
        <item t="default"/>
      </items>
    </pivotField>
    <pivotField numFmtId="165" showAll="0"/>
    <pivotField numFmtId="10" showAll="0"/>
  </pivotFields>
  <rowFields count="2">
    <field x="3"/>
    <field x="7"/>
  </rowFields>
  <rowItems count="1">
    <i t="grand">
      <x/>
    </i>
  </rowItems>
  <colItems count="1">
    <i/>
  </colItems>
  <pageFields count="1">
    <pageField fld="16" item="1" hier="-1"/>
  </pageFields>
  <dataFields count="1">
    <dataField name="Count of Patient ID" fld="0" subtotal="count" baseField="0" baseItem="0"/>
  </dataFields>
  <formats count="7">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1">
            <x v="1"/>
          </reference>
        </references>
      </pivotArea>
    </format>
    <format dxfId="2">
      <pivotArea dataOnly="0" labelOnly="1" grandRow="1" outline="0" fieldPosition="0"/>
    </format>
    <format dxfId="1">
      <pivotArea dataOnly="0" labelOnly="1" fieldPosition="0">
        <references count="2">
          <reference field="3" count="1" selected="0">
            <x v="1"/>
          </reference>
          <reference field="7" count="1">
            <x v="2"/>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0896DB-969F-4C8F-B25F-0D7AFD97688C}" name="PivotTable4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Doctors">
  <location ref="B70:C86" firstHeaderRow="1"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items count="7">
        <item x="2"/>
        <item x="0"/>
        <item x="3"/>
        <item x="1"/>
        <item x="5"/>
        <item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dataField="1" numFmtId="10"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Profit_Margin" fld="18" subtotal="average" baseField="1" baseItem="5" numFmtId="10"/>
  </dataFields>
  <formats count="6">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axis="axisValues" fieldPosition="0"/>
    </format>
  </formats>
  <chartFormats count="3">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55CFA-2C11-4386-8ED0-41C57F941766}"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Doctors/ Treatment">
  <location ref="N4:P13" firstHeaderRow="0"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axis="axisRow" showAll="0">
      <items count="9">
        <item sd="0" x="5"/>
        <item sd="0" x="0"/>
        <item sd="0" x="4"/>
        <item sd="0" x="6"/>
        <item sd="0" x="7"/>
        <item sd="0" x="3"/>
        <item sd="0" x="2"/>
        <item sd="0" x="1"/>
        <item t="default"/>
      </items>
    </pivotField>
    <pivotField showAll="0"/>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axis="axisRow" showAll="0">
      <items count="7">
        <item x="2"/>
        <item x="0"/>
        <item x="3"/>
        <item x="1"/>
        <item x="5"/>
        <item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showAll="0"/>
    <pivotField dataField="1" numFmtId="165" showAll="0"/>
    <pivotField dataField="1" numFmtId="10" showAll="0"/>
  </pivotFields>
  <rowFields count="3">
    <field x="2"/>
    <field x="1"/>
    <field x="7"/>
  </rowFields>
  <rowItems count="9">
    <i>
      <x/>
    </i>
    <i>
      <x v="1"/>
    </i>
    <i>
      <x v="2"/>
    </i>
    <i>
      <x v="3"/>
    </i>
    <i>
      <x v="4"/>
    </i>
    <i>
      <x v="5"/>
    </i>
    <i>
      <x v="6"/>
    </i>
    <i>
      <x v="7"/>
    </i>
    <i t="grand">
      <x/>
    </i>
  </rowItems>
  <colFields count="1">
    <field x="-2"/>
  </colFields>
  <colItems count="2">
    <i>
      <x/>
    </i>
    <i i="1">
      <x v="1"/>
    </i>
  </colItems>
  <dataFields count="2">
    <dataField name="Sum of Profit" fld="17" baseField="0" baseItem="0" numFmtId="165"/>
    <dataField name="Average of Profit_Margin" fld="18" subtotal="average" baseField="7" baseItem="0" numFmtId="10"/>
  </dataFields>
  <formats count="134">
    <format dxfId="146">
      <pivotArea type="all" dataOnly="0" outline="0" fieldPosition="0"/>
    </format>
    <format dxfId="145">
      <pivotArea outline="0" collapsedLevelsAreSubtotals="1" fieldPosition="0"/>
    </format>
    <format dxfId="144">
      <pivotArea field="2" type="button" dataOnly="0" labelOnly="1" outline="0" axis="axisRow" fieldPosition="0"/>
    </format>
    <format dxfId="143">
      <pivotArea dataOnly="0" labelOnly="1" fieldPosition="0">
        <references count="1">
          <reference field="2" count="0"/>
        </references>
      </pivotArea>
    </format>
    <format dxfId="142">
      <pivotArea dataOnly="0" labelOnly="1" grandRow="1" outline="0" fieldPosition="0"/>
    </format>
    <format dxfId="141">
      <pivotArea dataOnly="0" labelOnly="1" fieldPosition="0">
        <references count="2">
          <reference field="1" count="0"/>
          <reference field="2" count="1" selected="0">
            <x v="0"/>
          </reference>
        </references>
      </pivotArea>
    </format>
    <format dxfId="140">
      <pivotArea dataOnly="0" labelOnly="1" fieldPosition="0">
        <references count="2">
          <reference field="1" count="0"/>
          <reference field="2" count="1" selected="0">
            <x v="1"/>
          </reference>
        </references>
      </pivotArea>
    </format>
    <format dxfId="139">
      <pivotArea dataOnly="0" labelOnly="1" fieldPosition="0">
        <references count="2">
          <reference field="1" count="0"/>
          <reference field="2" count="1" selected="0">
            <x v="2"/>
          </reference>
        </references>
      </pivotArea>
    </format>
    <format dxfId="138">
      <pivotArea dataOnly="0" labelOnly="1" fieldPosition="0">
        <references count="2">
          <reference field="1" count="0"/>
          <reference field="2" count="1" selected="0">
            <x v="3"/>
          </reference>
        </references>
      </pivotArea>
    </format>
    <format dxfId="137">
      <pivotArea dataOnly="0" labelOnly="1" fieldPosition="0">
        <references count="2">
          <reference field="1" count="0"/>
          <reference field="2" count="1" selected="0">
            <x v="4"/>
          </reference>
        </references>
      </pivotArea>
    </format>
    <format dxfId="136">
      <pivotArea dataOnly="0" labelOnly="1" fieldPosition="0">
        <references count="2">
          <reference field="1" count="0"/>
          <reference field="2" count="1" selected="0">
            <x v="5"/>
          </reference>
        </references>
      </pivotArea>
    </format>
    <format dxfId="135">
      <pivotArea dataOnly="0" labelOnly="1" fieldPosition="0">
        <references count="2">
          <reference field="1" count="0"/>
          <reference field="2" count="1" selected="0">
            <x v="6"/>
          </reference>
        </references>
      </pivotArea>
    </format>
    <format dxfId="134">
      <pivotArea dataOnly="0" labelOnly="1" fieldPosition="0">
        <references count="2">
          <reference field="1" count="0"/>
          <reference field="2" count="1" selected="0">
            <x v="7"/>
          </reference>
        </references>
      </pivotArea>
    </format>
    <format dxfId="133">
      <pivotArea dataOnly="0" labelOnly="1" fieldPosition="0">
        <references count="3">
          <reference field="1" count="1" selected="0">
            <x v="0"/>
          </reference>
          <reference field="2" count="1" selected="0">
            <x v="0"/>
          </reference>
          <reference field="7" count="5">
            <x v="1"/>
            <x v="2"/>
            <x v="3"/>
            <x v="4"/>
            <x v="5"/>
          </reference>
        </references>
      </pivotArea>
    </format>
    <format dxfId="132">
      <pivotArea dataOnly="0" labelOnly="1" fieldPosition="0">
        <references count="3">
          <reference field="1" count="1" selected="0">
            <x v="1"/>
          </reference>
          <reference field="2" count="1" selected="0">
            <x v="0"/>
          </reference>
          <reference field="7" count="0"/>
        </references>
      </pivotArea>
    </format>
    <format dxfId="131">
      <pivotArea dataOnly="0" labelOnly="1" fieldPosition="0">
        <references count="3">
          <reference field="1" count="1" selected="0">
            <x v="2"/>
          </reference>
          <reference field="2" count="1" selected="0">
            <x v="0"/>
          </reference>
          <reference field="7" count="5">
            <x v="1"/>
            <x v="2"/>
            <x v="3"/>
            <x v="4"/>
            <x v="5"/>
          </reference>
        </references>
      </pivotArea>
    </format>
    <format dxfId="130">
      <pivotArea dataOnly="0" labelOnly="1" fieldPosition="0">
        <references count="3">
          <reference field="1" count="1" selected="0">
            <x v="3"/>
          </reference>
          <reference field="2" count="1" selected="0">
            <x v="0"/>
          </reference>
          <reference field="7" count="5">
            <x v="0"/>
            <x v="1"/>
            <x v="2"/>
            <x v="3"/>
            <x v="4"/>
          </reference>
        </references>
      </pivotArea>
    </format>
    <format dxfId="129">
      <pivotArea dataOnly="0" labelOnly="1" fieldPosition="0">
        <references count="3">
          <reference field="1" count="1" selected="0">
            <x v="4"/>
          </reference>
          <reference field="2" count="1" selected="0">
            <x v="0"/>
          </reference>
          <reference field="7" count="0"/>
        </references>
      </pivotArea>
    </format>
    <format dxfId="128">
      <pivotArea dataOnly="0" labelOnly="1" fieldPosition="0">
        <references count="3">
          <reference field="1" count="1" selected="0">
            <x v="5"/>
          </reference>
          <reference field="2" count="1" selected="0">
            <x v="0"/>
          </reference>
          <reference field="7" count="3">
            <x v="0"/>
            <x v="3"/>
            <x v="5"/>
          </reference>
        </references>
      </pivotArea>
    </format>
    <format dxfId="127">
      <pivotArea dataOnly="0" labelOnly="1" fieldPosition="0">
        <references count="3">
          <reference field="1" count="1" selected="0">
            <x v="6"/>
          </reference>
          <reference field="2" count="1" selected="0">
            <x v="0"/>
          </reference>
          <reference field="7" count="5">
            <x v="1"/>
            <x v="2"/>
            <x v="3"/>
            <x v="4"/>
            <x v="5"/>
          </reference>
        </references>
      </pivotArea>
    </format>
    <format dxfId="126">
      <pivotArea dataOnly="0" labelOnly="1" fieldPosition="0">
        <references count="3">
          <reference field="1" count="1" selected="0">
            <x v="7"/>
          </reference>
          <reference field="2" count="1" selected="0">
            <x v="0"/>
          </reference>
          <reference field="7" count="3">
            <x v="0"/>
            <x v="4"/>
            <x v="5"/>
          </reference>
        </references>
      </pivotArea>
    </format>
    <format dxfId="125">
      <pivotArea dataOnly="0" labelOnly="1" fieldPosition="0">
        <references count="3">
          <reference field="1" count="1" selected="0">
            <x v="8"/>
          </reference>
          <reference field="2" count="1" selected="0">
            <x v="0"/>
          </reference>
          <reference field="7" count="5">
            <x v="0"/>
            <x v="1"/>
            <x v="2"/>
            <x v="4"/>
            <x v="5"/>
          </reference>
        </references>
      </pivotArea>
    </format>
    <format dxfId="124">
      <pivotArea dataOnly="0" labelOnly="1" fieldPosition="0">
        <references count="3">
          <reference field="1" count="1" selected="0">
            <x v="9"/>
          </reference>
          <reference field="2" count="1" selected="0">
            <x v="0"/>
          </reference>
          <reference field="7" count="5">
            <x v="0"/>
            <x v="1"/>
            <x v="2"/>
            <x v="3"/>
            <x v="5"/>
          </reference>
        </references>
      </pivotArea>
    </format>
    <format dxfId="123">
      <pivotArea dataOnly="0" labelOnly="1" fieldPosition="0">
        <references count="3">
          <reference field="1" count="1" selected="0">
            <x v="10"/>
          </reference>
          <reference field="2" count="1" selected="0">
            <x v="0"/>
          </reference>
          <reference field="7" count="4">
            <x v="0"/>
            <x v="1"/>
            <x v="4"/>
            <x v="5"/>
          </reference>
        </references>
      </pivotArea>
    </format>
    <format dxfId="122">
      <pivotArea dataOnly="0" labelOnly="1" fieldPosition="0">
        <references count="3">
          <reference field="1" count="1" selected="0">
            <x v="11"/>
          </reference>
          <reference field="2" count="1" selected="0">
            <x v="0"/>
          </reference>
          <reference field="7" count="2">
            <x v="1"/>
            <x v="3"/>
          </reference>
        </references>
      </pivotArea>
    </format>
    <format dxfId="121">
      <pivotArea dataOnly="0" labelOnly="1" fieldPosition="0">
        <references count="3">
          <reference field="1" count="1" selected="0">
            <x v="12"/>
          </reference>
          <reference field="2" count="1" selected="0">
            <x v="0"/>
          </reference>
          <reference field="7" count="3">
            <x v="2"/>
            <x v="4"/>
            <x v="5"/>
          </reference>
        </references>
      </pivotArea>
    </format>
    <format dxfId="120">
      <pivotArea dataOnly="0" labelOnly="1" fieldPosition="0">
        <references count="3">
          <reference field="1" count="1" selected="0">
            <x v="13"/>
          </reference>
          <reference field="2" count="1" selected="0">
            <x v="0"/>
          </reference>
          <reference field="7" count="4">
            <x v="0"/>
            <x v="1"/>
            <x v="4"/>
            <x v="5"/>
          </reference>
        </references>
      </pivotArea>
    </format>
    <format dxfId="119">
      <pivotArea dataOnly="0" labelOnly="1" fieldPosition="0">
        <references count="3">
          <reference field="1" count="1" selected="0">
            <x v="14"/>
          </reference>
          <reference field="2" count="1" selected="0">
            <x v="0"/>
          </reference>
          <reference field="7" count="5">
            <x v="0"/>
            <x v="1"/>
            <x v="2"/>
            <x v="4"/>
            <x v="5"/>
          </reference>
        </references>
      </pivotArea>
    </format>
    <format dxfId="118">
      <pivotArea dataOnly="0" labelOnly="1" fieldPosition="0">
        <references count="3">
          <reference field="1" count="1" selected="0">
            <x v="0"/>
          </reference>
          <reference field="2" count="1" selected="0">
            <x v="1"/>
          </reference>
          <reference field="7" count="5">
            <x v="1"/>
            <x v="2"/>
            <x v="3"/>
            <x v="4"/>
            <x v="5"/>
          </reference>
        </references>
      </pivotArea>
    </format>
    <format dxfId="117">
      <pivotArea dataOnly="0" labelOnly="1" fieldPosition="0">
        <references count="3">
          <reference field="1" count="1" selected="0">
            <x v="1"/>
          </reference>
          <reference field="2" count="1" selected="0">
            <x v="1"/>
          </reference>
          <reference field="7" count="4">
            <x v="0"/>
            <x v="1"/>
            <x v="2"/>
            <x v="5"/>
          </reference>
        </references>
      </pivotArea>
    </format>
    <format dxfId="116">
      <pivotArea dataOnly="0" labelOnly="1" fieldPosition="0">
        <references count="3">
          <reference field="1" count="1" selected="0">
            <x v="2"/>
          </reference>
          <reference field="2" count="1" selected="0">
            <x v="1"/>
          </reference>
          <reference field="7" count="0"/>
        </references>
      </pivotArea>
    </format>
    <format dxfId="115">
      <pivotArea dataOnly="0" labelOnly="1" fieldPosition="0">
        <references count="3">
          <reference field="1" count="1" selected="0">
            <x v="3"/>
          </reference>
          <reference field="2" count="1" selected="0">
            <x v="1"/>
          </reference>
          <reference field="7" count="0"/>
        </references>
      </pivotArea>
    </format>
    <format dxfId="114">
      <pivotArea dataOnly="0" labelOnly="1" fieldPosition="0">
        <references count="3">
          <reference field="1" count="1" selected="0">
            <x v="4"/>
          </reference>
          <reference field="2" count="1" selected="0">
            <x v="1"/>
          </reference>
          <reference field="7" count="4">
            <x v="0"/>
            <x v="1"/>
            <x v="3"/>
            <x v="4"/>
          </reference>
        </references>
      </pivotArea>
    </format>
    <format dxfId="113">
      <pivotArea dataOnly="0" labelOnly="1" fieldPosition="0">
        <references count="3">
          <reference field="1" count="1" selected="0">
            <x v="5"/>
          </reference>
          <reference field="2" count="1" selected="0">
            <x v="1"/>
          </reference>
          <reference field="7" count="2">
            <x v="1"/>
            <x v="3"/>
          </reference>
        </references>
      </pivotArea>
    </format>
    <format dxfId="112">
      <pivotArea dataOnly="0" labelOnly="1" fieldPosition="0">
        <references count="3">
          <reference field="1" count="1" selected="0">
            <x v="6"/>
          </reference>
          <reference field="2" count="1" selected="0">
            <x v="1"/>
          </reference>
          <reference field="7" count="5">
            <x v="0"/>
            <x v="1"/>
            <x v="2"/>
            <x v="4"/>
            <x v="5"/>
          </reference>
        </references>
      </pivotArea>
    </format>
    <format dxfId="111">
      <pivotArea dataOnly="0" labelOnly="1" fieldPosition="0">
        <references count="3">
          <reference field="1" count="1" selected="0">
            <x v="7"/>
          </reference>
          <reference field="2" count="1" selected="0">
            <x v="1"/>
          </reference>
          <reference field="7" count="3">
            <x v="0"/>
            <x v="2"/>
            <x v="5"/>
          </reference>
        </references>
      </pivotArea>
    </format>
    <format dxfId="110">
      <pivotArea dataOnly="0" labelOnly="1" fieldPosition="0">
        <references count="3">
          <reference field="1" count="1" selected="0">
            <x v="8"/>
          </reference>
          <reference field="2" count="1" selected="0">
            <x v="1"/>
          </reference>
          <reference field="7" count="0"/>
        </references>
      </pivotArea>
    </format>
    <format dxfId="109">
      <pivotArea dataOnly="0" labelOnly="1" fieldPosition="0">
        <references count="3">
          <reference field="1" count="1" selected="0">
            <x v="9"/>
          </reference>
          <reference field="2" count="1" selected="0">
            <x v="1"/>
          </reference>
          <reference field="7" count="4">
            <x v="1"/>
            <x v="2"/>
            <x v="4"/>
            <x v="5"/>
          </reference>
        </references>
      </pivotArea>
    </format>
    <format dxfId="108">
      <pivotArea dataOnly="0" labelOnly="1" fieldPosition="0">
        <references count="3">
          <reference field="1" count="1" selected="0">
            <x v="10"/>
          </reference>
          <reference field="2" count="1" selected="0">
            <x v="1"/>
          </reference>
          <reference field="7" count="5">
            <x v="0"/>
            <x v="2"/>
            <x v="3"/>
            <x v="4"/>
            <x v="5"/>
          </reference>
        </references>
      </pivotArea>
    </format>
    <format dxfId="107">
      <pivotArea dataOnly="0" labelOnly="1" fieldPosition="0">
        <references count="3">
          <reference field="1" count="1" selected="0">
            <x v="11"/>
          </reference>
          <reference field="2" count="1" selected="0">
            <x v="1"/>
          </reference>
          <reference field="7" count="4">
            <x v="0"/>
            <x v="2"/>
            <x v="3"/>
            <x v="4"/>
          </reference>
        </references>
      </pivotArea>
    </format>
    <format dxfId="106">
      <pivotArea dataOnly="0" labelOnly="1" fieldPosition="0">
        <references count="3">
          <reference field="1" count="1" selected="0">
            <x v="12"/>
          </reference>
          <reference field="2" count="1" selected="0">
            <x v="1"/>
          </reference>
          <reference field="7" count="4">
            <x v="0"/>
            <x v="3"/>
            <x v="4"/>
            <x v="5"/>
          </reference>
        </references>
      </pivotArea>
    </format>
    <format dxfId="105">
      <pivotArea dataOnly="0" labelOnly="1" fieldPosition="0">
        <references count="3">
          <reference field="1" count="1" selected="0">
            <x v="13"/>
          </reference>
          <reference field="2" count="1" selected="0">
            <x v="1"/>
          </reference>
          <reference field="7" count="5">
            <x v="0"/>
            <x v="1"/>
            <x v="2"/>
            <x v="3"/>
            <x v="4"/>
          </reference>
        </references>
      </pivotArea>
    </format>
    <format dxfId="104">
      <pivotArea dataOnly="0" labelOnly="1" fieldPosition="0">
        <references count="3">
          <reference field="1" count="1" selected="0">
            <x v="14"/>
          </reference>
          <reference field="2" count="1" selected="0">
            <x v="1"/>
          </reference>
          <reference field="7" count="5">
            <x v="0"/>
            <x v="1"/>
            <x v="2"/>
            <x v="4"/>
            <x v="5"/>
          </reference>
        </references>
      </pivotArea>
    </format>
    <format dxfId="103">
      <pivotArea dataOnly="0" labelOnly="1" fieldPosition="0">
        <references count="3">
          <reference field="1" count="1" selected="0">
            <x v="0"/>
          </reference>
          <reference field="2" count="1" selected="0">
            <x v="2"/>
          </reference>
          <reference field="7" count="3">
            <x v="1"/>
            <x v="2"/>
            <x v="3"/>
          </reference>
        </references>
      </pivotArea>
    </format>
    <format dxfId="102">
      <pivotArea dataOnly="0" labelOnly="1" fieldPosition="0">
        <references count="3">
          <reference field="1" count="1" selected="0">
            <x v="1"/>
          </reference>
          <reference field="2" count="1" selected="0">
            <x v="2"/>
          </reference>
          <reference field="7" count="5">
            <x v="0"/>
            <x v="1"/>
            <x v="2"/>
            <x v="4"/>
            <x v="5"/>
          </reference>
        </references>
      </pivotArea>
    </format>
    <format dxfId="101">
      <pivotArea dataOnly="0" labelOnly="1" fieldPosition="0">
        <references count="3">
          <reference field="1" count="1" selected="0">
            <x v="2"/>
          </reference>
          <reference field="2" count="1" selected="0">
            <x v="2"/>
          </reference>
          <reference field="7" count="5">
            <x v="0"/>
            <x v="1"/>
            <x v="2"/>
            <x v="3"/>
            <x v="4"/>
          </reference>
        </references>
      </pivotArea>
    </format>
    <format dxfId="100">
      <pivotArea dataOnly="0" labelOnly="1" fieldPosition="0">
        <references count="3">
          <reference field="1" count="1" selected="0">
            <x v="3"/>
          </reference>
          <reference field="2" count="1" selected="0">
            <x v="2"/>
          </reference>
          <reference field="7" count="0"/>
        </references>
      </pivotArea>
    </format>
    <format dxfId="99">
      <pivotArea dataOnly="0" labelOnly="1" fieldPosition="0">
        <references count="3">
          <reference field="1" count="1" selected="0">
            <x v="4"/>
          </reference>
          <reference field="2" count="1" selected="0">
            <x v="2"/>
          </reference>
          <reference field="7" count="5">
            <x v="1"/>
            <x v="2"/>
            <x v="3"/>
            <x v="4"/>
            <x v="5"/>
          </reference>
        </references>
      </pivotArea>
    </format>
    <format dxfId="98">
      <pivotArea dataOnly="0" labelOnly="1" fieldPosition="0">
        <references count="3">
          <reference field="1" count="1" selected="0">
            <x v="5"/>
          </reference>
          <reference field="2" count="1" selected="0">
            <x v="2"/>
          </reference>
          <reference field="7" count="2">
            <x v="1"/>
            <x v="5"/>
          </reference>
        </references>
      </pivotArea>
    </format>
    <format dxfId="97">
      <pivotArea dataOnly="0" labelOnly="1" fieldPosition="0">
        <references count="3">
          <reference field="1" count="1" selected="0">
            <x v="6"/>
          </reference>
          <reference field="2" count="1" selected="0">
            <x v="2"/>
          </reference>
          <reference field="7" count="4">
            <x v="0"/>
            <x v="1"/>
            <x v="2"/>
            <x v="5"/>
          </reference>
        </references>
      </pivotArea>
    </format>
    <format dxfId="96">
      <pivotArea dataOnly="0" labelOnly="1" fieldPosition="0">
        <references count="3">
          <reference field="1" count="1" selected="0">
            <x v="7"/>
          </reference>
          <reference field="2" count="1" selected="0">
            <x v="2"/>
          </reference>
          <reference field="7" count="0"/>
        </references>
      </pivotArea>
    </format>
    <format dxfId="95">
      <pivotArea dataOnly="0" labelOnly="1" fieldPosition="0">
        <references count="3">
          <reference field="1" count="1" selected="0">
            <x v="8"/>
          </reference>
          <reference field="2" count="1" selected="0">
            <x v="2"/>
          </reference>
          <reference field="7" count="5">
            <x v="0"/>
            <x v="1"/>
            <x v="2"/>
            <x v="3"/>
            <x v="5"/>
          </reference>
        </references>
      </pivotArea>
    </format>
    <format dxfId="94">
      <pivotArea dataOnly="0" labelOnly="1" fieldPosition="0">
        <references count="3">
          <reference field="1" count="1" selected="0">
            <x v="9"/>
          </reference>
          <reference field="2" count="1" selected="0">
            <x v="2"/>
          </reference>
          <reference field="7" count="5">
            <x v="0"/>
            <x v="1"/>
            <x v="3"/>
            <x v="4"/>
            <x v="5"/>
          </reference>
        </references>
      </pivotArea>
    </format>
    <format dxfId="93">
      <pivotArea dataOnly="0" labelOnly="1" fieldPosition="0">
        <references count="3">
          <reference field="1" count="1" selected="0">
            <x v="10"/>
          </reference>
          <reference field="2" count="1" selected="0">
            <x v="2"/>
          </reference>
          <reference field="7" count="5">
            <x v="0"/>
            <x v="1"/>
            <x v="2"/>
            <x v="3"/>
            <x v="4"/>
          </reference>
        </references>
      </pivotArea>
    </format>
    <format dxfId="92">
      <pivotArea dataOnly="0" labelOnly="1" fieldPosition="0">
        <references count="3">
          <reference field="1" count="1" selected="0">
            <x v="11"/>
          </reference>
          <reference field="2" count="1" selected="0">
            <x v="2"/>
          </reference>
          <reference field="7" count="5">
            <x v="0"/>
            <x v="1"/>
            <x v="2"/>
            <x v="4"/>
            <x v="5"/>
          </reference>
        </references>
      </pivotArea>
    </format>
    <format dxfId="91">
      <pivotArea dataOnly="0" labelOnly="1" fieldPosition="0">
        <references count="3">
          <reference field="1" count="1" selected="0">
            <x v="12"/>
          </reference>
          <reference field="2" count="1" selected="0">
            <x v="2"/>
          </reference>
          <reference field="7" count="0"/>
        </references>
      </pivotArea>
    </format>
    <format dxfId="90">
      <pivotArea dataOnly="0" labelOnly="1" fieldPosition="0">
        <references count="3">
          <reference field="1" count="1" selected="0">
            <x v="13"/>
          </reference>
          <reference field="2" count="1" selected="0">
            <x v="2"/>
          </reference>
          <reference field="7" count="0"/>
        </references>
      </pivotArea>
    </format>
    <format dxfId="89">
      <pivotArea dataOnly="0" labelOnly="1" fieldPosition="0">
        <references count="3">
          <reference field="1" count="1" selected="0">
            <x v="14"/>
          </reference>
          <reference field="2" count="1" selected="0">
            <x v="2"/>
          </reference>
          <reference field="7" count="4">
            <x v="0"/>
            <x v="2"/>
            <x v="3"/>
            <x v="5"/>
          </reference>
        </references>
      </pivotArea>
    </format>
    <format dxfId="88">
      <pivotArea dataOnly="0" labelOnly="1" fieldPosition="0">
        <references count="3">
          <reference field="1" count="1" selected="0">
            <x v="0"/>
          </reference>
          <reference field="2" count="1" selected="0">
            <x v="3"/>
          </reference>
          <reference field="7" count="0"/>
        </references>
      </pivotArea>
    </format>
    <format dxfId="87">
      <pivotArea dataOnly="0" labelOnly="1" fieldPosition="0">
        <references count="3">
          <reference field="1" count="1" selected="0">
            <x v="1"/>
          </reference>
          <reference field="2" count="1" selected="0">
            <x v="3"/>
          </reference>
          <reference field="7" count="4">
            <x v="0"/>
            <x v="1"/>
            <x v="4"/>
            <x v="5"/>
          </reference>
        </references>
      </pivotArea>
    </format>
    <format dxfId="86">
      <pivotArea dataOnly="0" labelOnly="1" fieldPosition="0">
        <references count="3">
          <reference field="1" count="1" selected="0">
            <x v="2"/>
          </reference>
          <reference field="2" count="1" selected="0">
            <x v="3"/>
          </reference>
          <reference field="7" count="0"/>
        </references>
      </pivotArea>
    </format>
    <format dxfId="85">
      <pivotArea dataOnly="0" labelOnly="1" fieldPosition="0">
        <references count="3">
          <reference field="1" count="1" selected="0">
            <x v="3"/>
          </reference>
          <reference field="2" count="1" selected="0">
            <x v="3"/>
          </reference>
          <reference field="7" count="5">
            <x v="0"/>
            <x v="2"/>
            <x v="3"/>
            <x v="4"/>
            <x v="5"/>
          </reference>
        </references>
      </pivotArea>
    </format>
    <format dxfId="84">
      <pivotArea dataOnly="0" labelOnly="1" fieldPosition="0">
        <references count="3">
          <reference field="1" count="1" selected="0">
            <x v="4"/>
          </reference>
          <reference field="2" count="1" selected="0">
            <x v="3"/>
          </reference>
          <reference field="7" count="5">
            <x v="0"/>
            <x v="2"/>
            <x v="3"/>
            <x v="4"/>
            <x v="5"/>
          </reference>
        </references>
      </pivotArea>
    </format>
    <format dxfId="83">
      <pivotArea dataOnly="0" labelOnly="1" fieldPosition="0">
        <references count="3">
          <reference field="1" count="1" selected="0">
            <x v="5"/>
          </reference>
          <reference field="2" count="1" selected="0">
            <x v="3"/>
          </reference>
          <reference field="7" count="5">
            <x v="0"/>
            <x v="1"/>
            <x v="3"/>
            <x v="4"/>
            <x v="5"/>
          </reference>
        </references>
      </pivotArea>
    </format>
    <format dxfId="82">
      <pivotArea dataOnly="0" labelOnly="1" fieldPosition="0">
        <references count="3">
          <reference field="1" count="1" selected="0">
            <x v="6"/>
          </reference>
          <reference field="2" count="1" selected="0">
            <x v="3"/>
          </reference>
          <reference field="7" count="4">
            <x v="2"/>
            <x v="3"/>
            <x v="4"/>
            <x v="5"/>
          </reference>
        </references>
      </pivotArea>
    </format>
    <format dxfId="81">
      <pivotArea dataOnly="0" labelOnly="1" fieldPosition="0">
        <references count="3">
          <reference field="1" count="1" selected="0">
            <x v="7"/>
          </reference>
          <reference field="2" count="1" selected="0">
            <x v="3"/>
          </reference>
          <reference field="7" count="4">
            <x v="0"/>
            <x v="3"/>
            <x v="4"/>
            <x v="5"/>
          </reference>
        </references>
      </pivotArea>
    </format>
    <format dxfId="80">
      <pivotArea dataOnly="0" labelOnly="1" fieldPosition="0">
        <references count="3">
          <reference field="1" count="1" selected="0">
            <x v="8"/>
          </reference>
          <reference field="2" count="1" selected="0">
            <x v="3"/>
          </reference>
          <reference field="7" count="4">
            <x v="1"/>
            <x v="3"/>
            <x v="4"/>
            <x v="5"/>
          </reference>
        </references>
      </pivotArea>
    </format>
    <format dxfId="79">
      <pivotArea dataOnly="0" labelOnly="1" fieldPosition="0">
        <references count="3">
          <reference field="1" count="1" selected="0">
            <x v="9"/>
          </reference>
          <reference field="2" count="1" selected="0">
            <x v="3"/>
          </reference>
          <reference field="7" count="4">
            <x v="0"/>
            <x v="1"/>
            <x v="2"/>
            <x v="3"/>
          </reference>
        </references>
      </pivotArea>
    </format>
    <format dxfId="78">
      <pivotArea dataOnly="0" labelOnly="1" fieldPosition="0">
        <references count="3">
          <reference field="1" count="1" selected="0">
            <x v="10"/>
          </reference>
          <reference field="2" count="1" selected="0">
            <x v="3"/>
          </reference>
          <reference field="7" count="5">
            <x v="0"/>
            <x v="1"/>
            <x v="3"/>
            <x v="4"/>
            <x v="5"/>
          </reference>
        </references>
      </pivotArea>
    </format>
    <format dxfId="77">
      <pivotArea dataOnly="0" labelOnly="1" fieldPosition="0">
        <references count="3">
          <reference field="1" count="1" selected="0">
            <x v="11"/>
          </reference>
          <reference field="2" count="1" selected="0">
            <x v="3"/>
          </reference>
          <reference field="7" count="0"/>
        </references>
      </pivotArea>
    </format>
    <format dxfId="76">
      <pivotArea dataOnly="0" labelOnly="1" fieldPosition="0">
        <references count="3">
          <reference field="1" count="1" selected="0">
            <x v="12"/>
          </reference>
          <reference field="2" count="1" selected="0">
            <x v="3"/>
          </reference>
          <reference field="7" count="0"/>
        </references>
      </pivotArea>
    </format>
    <format dxfId="75">
      <pivotArea dataOnly="0" labelOnly="1" fieldPosition="0">
        <references count="3">
          <reference field="1" count="1" selected="0">
            <x v="13"/>
          </reference>
          <reference field="2" count="1" selected="0">
            <x v="3"/>
          </reference>
          <reference field="7" count="4">
            <x v="0"/>
            <x v="1"/>
            <x v="2"/>
            <x v="4"/>
          </reference>
        </references>
      </pivotArea>
    </format>
    <format dxfId="74">
      <pivotArea dataOnly="0" labelOnly="1" fieldPosition="0">
        <references count="3">
          <reference field="1" count="1" selected="0">
            <x v="14"/>
          </reference>
          <reference field="2" count="1" selected="0">
            <x v="3"/>
          </reference>
          <reference field="7" count="4">
            <x v="1"/>
            <x v="3"/>
            <x v="4"/>
            <x v="5"/>
          </reference>
        </references>
      </pivotArea>
    </format>
    <format dxfId="73">
      <pivotArea dataOnly="0" labelOnly="1" fieldPosition="0">
        <references count="3">
          <reference field="1" count="1" selected="0">
            <x v="0"/>
          </reference>
          <reference field="2" count="1" selected="0">
            <x v="4"/>
          </reference>
          <reference field="7" count="5">
            <x v="0"/>
            <x v="1"/>
            <x v="2"/>
            <x v="4"/>
            <x v="5"/>
          </reference>
        </references>
      </pivotArea>
    </format>
    <format dxfId="72">
      <pivotArea dataOnly="0" labelOnly="1" fieldPosition="0">
        <references count="3">
          <reference field="1" count="1" selected="0">
            <x v="1"/>
          </reference>
          <reference field="2" count="1" selected="0">
            <x v="4"/>
          </reference>
          <reference field="7" count="5">
            <x v="0"/>
            <x v="1"/>
            <x v="2"/>
            <x v="3"/>
            <x v="5"/>
          </reference>
        </references>
      </pivotArea>
    </format>
    <format dxfId="71">
      <pivotArea dataOnly="0" labelOnly="1" fieldPosition="0">
        <references count="3">
          <reference field="1" count="1" selected="0">
            <x v="2"/>
          </reference>
          <reference field="2" count="1" selected="0">
            <x v="4"/>
          </reference>
          <reference field="7" count="4">
            <x v="1"/>
            <x v="2"/>
            <x v="3"/>
            <x v="5"/>
          </reference>
        </references>
      </pivotArea>
    </format>
    <format dxfId="70">
      <pivotArea dataOnly="0" labelOnly="1" fieldPosition="0">
        <references count="3">
          <reference field="1" count="1" selected="0">
            <x v="3"/>
          </reference>
          <reference field="2" count="1" selected="0">
            <x v="4"/>
          </reference>
          <reference field="7" count="5">
            <x v="0"/>
            <x v="1"/>
            <x v="3"/>
            <x v="4"/>
            <x v="5"/>
          </reference>
        </references>
      </pivotArea>
    </format>
    <format dxfId="69">
      <pivotArea dataOnly="0" labelOnly="1" fieldPosition="0">
        <references count="3">
          <reference field="1" count="1" selected="0">
            <x v="4"/>
          </reference>
          <reference field="2" count="1" selected="0">
            <x v="4"/>
          </reference>
          <reference field="7" count="0"/>
        </references>
      </pivotArea>
    </format>
    <format dxfId="68">
      <pivotArea dataOnly="0" labelOnly="1" fieldPosition="0">
        <references count="3">
          <reference field="1" count="1" selected="0">
            <x v="5"/>
          </reference>
          <reference field="2" count="1" selected="0">
            <x v="4"/>
          </reference>
          <reference field="7" count="5">
            <x v="0"/>
            <x v="2"/>
            <x v="3"/>
            <x v="4"/>
            <x v="5"/>
          </reference>
        </references>
      </pivotArea>
    </format>
    <format dxfId="67">
      <pivotArea dataOnly="0" labelOnly="1" fieldPosition="0">
        <references count="3">
          <reference field="1" count="1" selected="0">
            <x v="6"/>
          </reference>
          <reference field="2" count="1" selected="0">
            <x v="4"/>
          </reference>
          <reference field="7" count="3">
            <x v="0"/>
            <x v="1"/>
            <x v="3"/>
          </reference>
        </references>
      </pivotArea>
    </format>
    <format dxfId="66">
      <pivotArea dataOnly="0" labelOnly="1" fieldPosition="0">
        <references count="3">
          <reference field="1" count="1" selected="0">
            <x v="7"/>
          </reference>
          <reference field="2" count="1" selected="0">
            <x v="4"/>
          </reference>
          <reference field="7" count="5">
            <x v="0"/>
            <x v="1"/>
            <x v="2"/>
            <x v="3"/>
            <x v="5"/>
          </reference>
        </references>
      </pivotArea>
    </format>
    <format dxfId="65">
      <pivotArea dataOnly="0" labelOnly="1" fieldPosition="0">
        <references count="3">
          <reference field="1" count="1" selected="0">
            <x v="8"/>
          </reference>
          <reference field="2" count="1" selected="0">
            <x v="4"/>
          </reference>
          <reference field="7" count="5">
            <x v="0"/>
            <x v="1"/>
            <x v="2"/>
            <x v="3"/>
            <x v="5"/>
          </reference>
        </references>
      </pivotArea>
    </format>
    <format dxfId="64">
      <pivotArea dataOnly="0" labelOnly="1" fieldPosition="0">
        <references count="3">
          <reference field="1" count="1" selected="0">
            <x v="9"/>
          </reference>
          <reference field="2" count="1" selected="0">
            <x v="4"/>
          </reference>
          <reference field="7" count="5">
            <x v="1"/>
            <x v="2"/>
            <x v="3"/>
            <x v="4"/>
            <x v="5"/>
          </reference>
        </references>
      </pivotArea>
    </format>
    <format dxfId="63">
      <pivotArea dataOnly="0" labelOnly="1" fieldPosition="0">
        <references count="3">
          <reference field="1" count="1" selected="0">
            <x v="10"/>
          </reference>
          <reference field="2" count="1" selected="0">
            <x v="4"/>
          </reference>
          <reference field="7" count="5">
            <x v="0"/>
            <x v="2"/>
            <x v="3"/>
            <x v="4"/>
            <x v="5"/>
          </reference>
        </references>
      </pivotArea>
    </format>
    <format dxfId="62">
      <pivotArea dataOnly="0" labelOnly="1" fieldPosition="0">
        <references count="3">
          <reference field="1" count="1" selected="0">
            <x v="11"/>
          </reference>
          <reference field="2" count="1" selected="0">
            <x v="4"/>
          </reference>
          <reference field="7" count="3">
            <x v="0"/>
            <x v="1"/>
            <x v="3"/>
          </reference>
        </references>
      </pivotArea>
    </format>
    <format dxfId="61">
      <pivotArea dataOnly="0" labelOnly="1" fieldPosition="0">
        <references count="3">
          <reference field="1" count="1" selected="0">
            <x v="12"/>
          </reference>
          <reference field="2" count="1" selected="0">
            <x v="4"/>
          </reference>
          <reference field="7" count="4">
            <x v="0"/>
            <x v="1"/>
            <x v="2"/>
            <x v="5"/>
          </reference>
        </references>
      </pivotArea>
    </format>
    <format dxfId="60">
      <pivotArea dataOnly="0" labelOnly="1" fieldPosition="0">
        <references count="3">
          <reference field="1" count="1" selected="0">
            <x v="13"/>
          </reference>
          <reference field="2" count="1" selected="0">
            <x v="4"/>
          </reference>
          <reference field="7" count="5">
            <x v="1"/>
            <x v="2"/>
            <x v="3"/>
            <x v="4"/>
            <x v="5"/>
          </reference>
        </references>
      </pivotArea>
    </format>
    <format dxfId="59">
      <pivotArea dataOnly="0" labelOnly="1" fieldPosition="0">
        <references count="3">
          <reference field="1" count="1" selected="0">
            <x v="14"/>
          </reference>
          <reference field="2" count="1" selected="0">
            <x v="4"/>
          </reference>
          <reference field="7" count="5">
            <x v="0"/>
            <x v="2"/>
            <x v="3"/>
            <x v="4"/>
            <x v="5"/>
          </reference>
        </references>
      </pivotArea>
    </format>
    <format dxfId="58">
      <pivotArea dataOnly="0" labelOnly="1" fieldPosition="0">
        <references count="3">
          <reference field="1" count="1" selected="0">
            <x v="0"/>
          </reference>
          <reference field="2" count="1" selected="0">
            <x v="5"/>
          </reference>
          <reference field="7" count="5">
            <x v="0"/>
            <x v="2"/>
            <x v="3"/>
            <x v="4"/>
            <x v="5"/>
          </reference>
        </references>
      </pivotArea>
    </format>
    <format dxfId="57">
      <pivotArea dataOnly="0" labelOnly="1" fieldPosition="0">
        <references count="3">
          <reference field="1" count="1" selected="0">
            <x v="1"/>
          </reference>
          <reference field="2" count="1" selected="0">
            <x v="5"/>
          </reference>
          <reference field="7" count="3">
            <x v="1"/>
            <x v="2"/>
            <x v="5"/>
          </reference>
        </references>
      </pivotArea>
    </format>
    <format dxfId="56">
      <pivotArea dataOnly="0" labelOnly="1" fieldPosition="0">
        <references count="3">
          <reference field="1" count="1" selected="0">
            <x v="2"/>
          </reference>
          <reference field="2" count="1" selected="0">
            <x v="5"/>
          </reference>
          <reference field="7" count="2">
            <x v="4"/>
            <x v="5"/>
          </reference>
        </references>
      </pivotArea>
    </format>
    <format dxfId="55">
      <pivotArea dataOnly="0" labelOnly="1" fieldPosition="0">
        <references count="3">
          <reference field="1" count="1" selected="0">
            <x v="3"/>
          </reference>
          <reference field="2" count="1" selected="0">
            <x v="5"/>
          </reference>
          <reference field="7" count="0"/>
        </references>
      </pivotArea>
    </format>
    <format dxfId="54">
      <pivotArea dataOnly="0" labelOnly="1" fieldPosition="0">
        <references count="3">
          <reference field="1" count="1" selected="0">
            <x v="4"/>
          </reference>
          <reference field="2" count="1" selected="0">
            <x v="5"/>
          </reference>
          <reference field="7" count="4">
            <x v="0"/>
            <x v="1"/>
            <x v="4"/>
            <x v="5"/>
          </reference>
        </references>
      </pivotArea>
    </format>
    <format dxfId="53">
      <pivotArea dataOnly="0" labelOnly="1" fieldPosition="0">
        <references count="3">
          <reference field="1" count="1" selected="0">
            <x v="5"/>
          </reference>
          <reference field="2" count="1" selected="0">
            <x v="5"/>
          </reference>
          <reference field="7" count="5">
            <x v="0"/>
            <x v="1"/>
            <x v="2"/>
            <x v="4"/>
            <x v="5"/>
          </reference>
        </references>
      </pivotArea>
    </format>
    <format dxfId="52">
      <pivotArea dataOnly="0" labelOnly="1" fieldPosition="0">
        <references count="3">
          <reference field="1" count="1" selected="0">
            <x v="6"/>
          </reference>
          <reference field="2" count="1" selected="0">
            <x v="5"/>
          </reference>
          <reference field="7" count="0"/>
        </references>
      </pivotArea>
    </format>
    <format dxfId="51">
      <pivotArea dataOnly="0" labelOnly="1" fieldPosition="0">
        <references count="3">
          <reference field="1" count="1" selected="0">
            <x v="7"/>
          </reference>
          <reference field="2" count="1" selected="0">
            <x v="5"/>
          </reference>
          <reference field="7" count="5">
            <x v="0"/>
            <x v="1"/>
            <x v="2"/>
            <x v="4"/>
            <x v="5"/>
          </reference>
        </references>
      </pivotArea>
    </format>
    <format dxfId="50">
      <pivotArea dataOnly="0" labelOnly="1" fieldPosition="0">
        <references count="3">
          <reference field="1" count="1" selected="0">
            <x v="8"/>
          </reference>
          <reference field="2" count="1" selected="0">
            <x v="5"/>
          </reference>
          <reference field="7" count="4">
            <x v="0"/>
            <x v="2"/>
            <x v="3"/>
            <x v="5"/>
          </reference>
        </references>
      </pivotArea>
    </format>
    <format dxfId="49">
      <pivotArea dataOnly="0" labelOnly="1" fieldPosition="0">
        <references count="3">
          <reference field="1" count="1" selected="0">
            <x v="9"/>
          </reference>
          <reference field="2" count="1" selected="0">
            <x v="5"/>
          </reference>
          <reference field="7" count="0"/>
        </references>
      </pivotArea>
    </format>
    <format dxfId="48">
      <pivotArea dataOnly="0" labelOnly="1" fieldPosition="0">
        <references count="3">
          <reference field="1" count="1" selected="0">
            <x v="10"/>
          </reference>
          <reference field="2" count="1" selected="0">
            <x v="5"/>
          </reference>
          <reference field="7" count="0"/>
        </references>
      </pivotArea>
    </format>
    <format dxfId="47">
      <pivotArea dataOnly="0" labelOnly="1" fieldPosition="0">
        <references count="3">
          <reference field="1" count="1" selected="0">
            <x v="11"/>
          </reference>
          <reference field="2" count="1" selected="0">
            <x v="5"/>
          </reference>
          <reference field="7" count="4">
            <x v="1"/>
            <x v="2"/>
            <x v="3"/>
            <x v="5"/>
          </reference>
        </references>
      </pivotArea>
    </format>
    <format dxfId="46">
      <pivotArea dataOnly="0" labelOnly="1" fieldPosition="0">
        <references count="3">
          <reference field="1" count="1" selected="0">
            <x v="12"/>
          </reference>
          <reference field="2" count="1" selected="0">
            <x v="5"/>
          </reference>
          <reference field="7" count="4">
            <x v="1"/>
            <x v="2"/>
            <x v="3"/>
            <x v="5"/>
          </reference>
        </references>
      </pivotArea>
    </format>
    <format dxfId="45">
      <pivotArea dataOnly="0" labelOnly="1" fieldPosition="0">
        <references count="3">
          <reference field="1" count="1" selected="0">
            <x v="13"/>
          </reference>
          <reference field="2" count="1" selected="0">
            <x v="5"/>
          </reference>
          <reference field="7" count="4">
            <x v="1"/>
            <x v="3"/>
            <x v="4"/>
            <x v="5"/>
          </reference>
        </references>
      </pivotArea>
    </format>
    <format dxfId="44">
      <pivotArea dataOnly="0" labelOnly="1" fieldPosition="0">
        <references count="3">
          <reference field="1" count="1" selected="0">
            <x v="14"/>
          </reference>
          <reference field="2" count="1" selected="0">
            <x v="5"/>
          </reference>
          <reference field="7" count="4">
            <x v="0"/>
            <x v="2"/>
            <x v="3"/>
            <x v="5"/>
          </reference>
        </references>
      </pivotArea>
    </format>
    <format dxfId="43">
      <pivotArea dataOnly="0" labelOnly="1" fieldPosition="0">
        <references count="3">
          <reference field="1" count="1" selected="0">
            <x v="0"/>
          </reference>
          <reference field="2" count="1" selected="0">
            <x v="6"/>
          </reference>
          <reference field="7" count="5">
            <x v="0"/>
            <x v="1"/>
            <x v="2"/>
            <x v="3"/>
            <x v="5"/>
          </reference>
        </references>
      </pivotArea>
    </format>
    <format dxfId="42">
      <pivotArea dataOnly="0" labelOnly="1" fieldPosition="0">
        <references count="3">
          <reference field="1" count="1" selected="0">
            <x v="1"/>
          </reference>
          <reference field="2" count="1" selected="0">
            <x v="6"/>
          </reference>
          <reference field="7" count="4">
            <x v="0"/>
            <x v="2"/>
            <x v="4"/>
            <x v="5"/>
          </reference>
        </references>
      </pivotArea>
    </format>
    <format dxfId="41">
      <pivotArea dataOnly="0" labelOnly="1" fieldPosition="0">
        <references count="3">
          <reference field="1" count="1" selected="0">
            <x v="2"/>
          </reference>
          <reference field="2" count="1" selected="0">
            <x v="6"/>
          </reference>
          <reference field="7" count="4">
            <x v="0"/>
            <x v="1"/>
            <x v="4"/>
            <x v="5"/>
          </reference>
        </references>
      </pivotArea>
    </format>
    <format dxfId="40">
      <pivotArea dataOnly="0" labelOnly="1" fieldPosition="0">
        <references count="3">
          <reference field="1" count="1" selected="0">
            <x v="3"/>
          </reference>
          <reference field="2" count="1" selected="0">
            <x v="6"/>
          </reference>
          <reference field="7" count="3">
            <x v="1"/>
            <x v="3"/>
            <x v="4"/>
          </reference>
        </references>
      </pivotArea>
    </format>
    <format dxfId="39">
      <pivotArea dataOnly="0" labelOnly="1" fieldPosition="0">
        <references count="3">
          <reference field="1" count="1" selected="0">
            <x v="4"/>
          </reference>
          <reference field="2" count="1" selected="0">
            <x v="6"/>
          </reference>
          <reference field="7" count="4">
            <x v="1"/>
            <x v="2"/>
            <x v="3"/>
            <x v="4"/>
          </reference>
        </references>
      </pivotArea>
    </format>
    <format dxfId="38">
      <pivotArea dataOnly="0" labelOnly="1" fieldPosition="0">
        <references count="3">
          <reference field="1" count="1" selected="0">
            <x v="5"/>
          </reference>
          <reference field="2" count="1" selected="0">
            <x v="6"/>
          </reference>
          <reference field="7" count="5">
            <x v="0"/>
            <x v="1"/>
            <x v="2"/>
            <x v="3"/>
            <x v="5"/>
          </reference>
        </references>
      </pivotArea>
    </format>
    <format dxfId="37">
      <pivotArea dataOnly="0" labelOnly="1" fieldPosition="0">
        <references count="3">
          <reference field="1" count="1" selected="0">
            <x v="6"/>
          </reference>
          <reference field="2" count="1" selected="0">
            <x v="6"/>
          </reference>
          <reference field="7" count="5">
            <x v="0"/>
            <x v="1"/>
            <x v="2"/>
            <x v="4"/>
            <x v="5"/>
          </reference>
        </references>
      </pivotArea>
    </format>
    <format dxfId="36">
      <pivotArea dataOnly="0" labelOnly="1" fieldPosition="0">
        <references count="3">
          <reference field="1" count="1" selected="0">
            <x v="7"/>
          </reference>
          <reference field="2" count="1" selected="0">
            <x v="6"/>
          </reference>
          <reference field="7" count="3">
            <x v="0"/>
            <x v="1"/>
            <x v="2"/>
          </reference>
        </references>
      </pivotArea>
    </format>
    <format dxfId="35">
      <pivotArea dataOnly="0" labelOnly="1" fieldPosition="0">
        <references count="3">
          <reference field="1" count="1" selected="0">
            <x v="8"/>
          </reference>
          <reference field="2" count="1" selected="0">
            <x v="6"/>
          </reference>
          <reference field="7" count="5">
            <x v="0"/>
            <x v="2"/>
            <x v="3"/>
            <x v="4"/>
            <x v="5"/>
          </reference>
        </references>
      </pivotArea>
    </format>
    <format dxfId="34">
      <pivotArea dataOnly="0" labelOnly="1" fieldPosition="0">
        <references count="3">
          <reference field="1" count="1" selected="0">
            <x v="9"/>
          </reference>
          <reference field="2" count="1" selected="0">
            <x v="6"/>
          </reference>
          <reference field="7" count="5">
            <x v="0"/>
            <x v="1"/>
            <x v="2"/>
            <x v="3"/>
            <x v="5"/>
          </reference>
        </references>
      </pivotArea>
    </format>
    <format dxfId="33">
      <pivotArea dataOnly="0" labelOnly="1" fieldPosition="0">
        <references count="3">
          <reference field="1" count="1" selected="0">
            <x v="10"/>
          </reference>
          <reference field="2" count="1" selected="0">
            <x v="6"/>
          </reference>
          <reference field="7" count="0"/>
        </references>
      </pivotArea>
    </format>
    <format dxfId="32">
      <pivotArea dataOnly="0" labelOnly="1" fieldPosition="0">
        <references count="3">
          <reference field="1" count="1" selected="0">
            <x v="11"/>
          </reference>
          <reference field="2" count="1" selected="0">
            <x v="6"/>
          </reference>
          <reference field="7" count="2">
            <x v="1"/>
            <x v="3"/>
          </reference>
        </references>
      </pivotArea>
    </format>
    <format dxfId="31">
      <pivotArea dataOnly="0" labelOnly="1" fieldPosition="0">
        <references count="3">
          <reference field="1" count="1" selected="0">
            <x v="12"/>
          </reference>
          <reference field="2" count="1" selected="0">
            <x v="6"/>
          </reference>
          <reference field="7" count="4">
            <x v="2"/>
            <x v="3"/>
            <x v="4"/>
            <x v="5"/>
          </reference>
        </references>
      </pivotArea>
    </format>
    <format dxfId="30">
      <pivotArea dataOnly="0" labelOnly="1" fieldPosition="0">
        <references count="3">
          <reference field="1" count="1" selected="0">
            <x v="13"/>
          </reference>
          <reference field="2" count="1" selected="0">
            <x v="6"/>
          </reference>
          <reference field="7" count="0"/>
        </references>
      </pivotArea>
    </format>
    <format dxfId="29">
      <pivotArea dataOnly="0" labelOnly="1" fieldPosition="0">
        <references count="3">
          <reference field="1" count="1" selected="0">
            <x v="14"/>
          </reference>
          <reference field="2" count="1" selected="0">
            <x v="6"/>
          </reference>
          <reference field="7" count="4">
            <x v="2"/>
            <x v="3"/>
            <x v="4"/>
            <x v="5"/>
          </reference>
        </references>
      </pivotArea>
    </format>
    <format dxfId="28">
      <pivotArea dataOnly="0" labelOnly="1" fieldPosition="0">
        <references count="3">
          <reference field="1" count="1" selected="0">
            <x v="0"/>
          </reference>
          <reference field="2" count="1" selected="0">
            <x v="7"/>
          </reference>
          <reference field="7" count="5">
            <x v="0"/>
            <x v="1"/>
            <x v="2"/>
            <x v="3"/>
            <x v="5"/>
          </reference>
        </references>
      </pivotArea>
    </format>
    <format dxfId="27">
      <pivotArea dataOnly="0" labelOnly="1" fieldPosition="0">
        <references count="3">
          <reference field="1" count="1" selected="0">
            <x v="1"/>
          </reference>
          <reference field="2" count="1" selected="0">
            <x v="7"/>
          </reference>
          <reference field="7" count="4">
            <x v="1"/>
            <x v="2"/>
            <x v="4"/>
            <x v="5"/>
          </reference>
        </references>
      </pivotArea>
    </format>
    <format dxfId="26">
      <pivotArea dataOnly="0" labelOnly="1" fieldPosition="0">
        <references count="3">
          <reference field="1" count="1" selected="0">
            <x v="2"/>
          </reference>
          <reference field="2" count="1" selected="0">
            <x v="7"/>
          </reference>
          <reference field="7" count="5">
            <x v="0"/>
            <x v="1"/>
            <x v="2"/>
            <x v="3"/>
            <x v="4"/>
          </reference>
        </references>
      </pivotArea>
    </format>
    <format dxfId="25">
      <pivotArea dataOnly="0" labelOnly="1" fieldPosition="0">
        <references count="3">
          <reference field="1" count="1" selected="0">
            <x v="3"/>
          </reference>
          <reference field="2" count="1" selected="0">
            <x v="7"/>
          </reference>
          <reference field="7" count="5">
            <x v="0"/>
            <x v="1"/>
            <x v="3"/>
            <x v="4"/>
            <x v="5"/>
          </reference>
        </references>
      </pivotArea>
    </format>
    <format dxfId="24">
      <pivotArea dataOnly="0" labelOnly="1" fieldPosition="0">
        <references count="3">
          <reference field="1" count="1" selected="0">
            <x v="4"/>
          </reference>
          <reference field="2" count="1" selected="0">
            <x v="7"/>
          </reference>
          <reference field="7" count="4">
            <x v="1"/>
            <x v="3"/>
            <x v="4"/>
            <x v="5"/>
          </reference>
        </references>
      </pivotArea>
    </format>
    <format dxfId="23">
      <pivotArea dataOnly="0" labelOnly="1" fieldPosition="0">
        <references count="3">
          <reference field="1" count="1" selected="0">
            <x v="5"/>
          </reference>
          <reference field="2" count="1" selected="0">
            <x v="7"/>
          </reference>
          <reference field="7" count="0"/>
        </references>
      </pivotArea>
    </format>
    <format dxfId="22">
      <pivotArea dataOnly="0" labelOnly="1" fieldPosition="0">
        <references count="3">
          <reference field="1" count="1" selected="0">
            <x v="6"/>
          </reference>
          <reference field="2" count="1" selected="0">
            <x v="7"/>
          </reference>
          <reference field="7" count="4">
            <x v="0"/>
            <x v="2"/>
            <x v="3"/>
            <x v="5"/>
          </reference>
        </references>
      </pivotArea>
    </format>
    <format dxfId="21">
      <pivotArea dataOnly="0" labelOnly="1" fieldPosition="0">
        <references count="3">
          <reference field="1" count="1" selected="0">
            <x v="7"/>
          </reference>
          <reference field="2" count="1" selected="0">
            <x v="7"/>
          </reference>
          <reference field="7" count="0"/>
        </references>
      </pivotArea>
    </format>
    <format dxfId="20">
      <pivotArea dataOnly="0" labelOnly="1" fieldPosition="0">
        <references count="3">
          <reference field="1" count="1" selected="0">
            <x v="8"/>
          </reference>
          <reference field="2" count="1" selected="0">
            <x v="7"/>
          </reference>
          <reference field="7" count="5">
            <x v="0"/>
            <x v="1"/>
            <x v="2"/>
            <x v="3"/>
            <x v="4"/>
          </reference>
        </references>
      </pivotArea>
    </format>
    <format dxfId="19">
      <pivotArea dataOnly="0" labelOnly="1" fieldPosition="0">
        <references count="3">
          <reference field="1" count="1" selected="0">
            <x v="9"/>
          </reference>
          <reference field="2" count="1" selected="0">
            <x v="7"/>
          </reference>
          <reference field="7" count="3">
            <x v="0"/>
            <x v="4"/>
            <x v="5"/>
          </reference>
        </references>
      </pivotArea>
    </format>
    <format dxfId="18">
      <pivotArea dataOnly="0" labelOnly="1" fieldPosition="0">
        <references count="3">
          <reference field="1" count="1" selected="0">
            <x v="10"/>
          </reference>
          <reference field="2" count="1" selected="0">
            <x v="7"/>
          </reference>
          <reference field="7" count="4">
            <x v="1"/>
            <x v="3"/>
            <x v="4"/>
            <x v="5"/>
          </reference>
        </references>
      </pivotArea>
    </format>
    <format dxfId="17">
      <pivotArea dataOnly="0" labelOnly="1" fieldPosition="0">
        <references count="3">
          <reference field="1" count="1" selected="0">
            <x v="11"/>
          </reference>
          <reference field="2" count="1" selected="0">
            <x v="7"/>
          </reference>
          <reference field="7" count="0"/>
        </references>
      </pivotArea>
    </format>
    <format dxfId="16">
      <pivotArea dataOnly="0" labelOnly="1" fieldPosition="0">
        <references count="3">
          <reference field="1" count="1" selected="0">
            <x v="12"/>
          </reference>
          <reference field="2" count="1" selected="0">
            <x v="7"/>
          </reference>
          <reference field="7" count="5">
            <x v="0"/>
            <x v="1"/>
            <x v="3"/>
            <x v="4"/>
            <x v="5"/>
          </reference>
        </references>
      </pivotArea>
    </format>
    <format dxfId="15">
      <pivotArea dataOnly="0" labelOnly="1" fieldPosition="0">
        <references count="3">
          <reference field="1" count="1" selected="0">
            <x v="13"/>
          </reference>
          <reference field="2" count="1" selected="0">
            <x v="7"/>
          </reference>
          <reference field="7" count="3">
            <x v="0"/>
            <x v="4"/>
            <x v="5"/>
          </reference>
        </references>
      </pivotArea>
    </format>
    <format dxfId="14">
      <pivotArea dataOnly="0" labelOnly="1" fieldPosition="0">
        <references count="3">
          <reference field="1" count="1" selected="0">
            <x v="14"/>
          </reference>
          <reference field="2" count="1" selected="0">
            <x v="7"/>
          </reference>
          <reference field="7" count="4">
            <x v="1"/>
            <x v="2"/>
            <x v="3"/>
            <x v="4"/>
          </reference>
        </references>
      </pivotArea>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673DA1-6DF1-48CF-B80F-C22C37E5BE41}" name="PivotTable3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 Doctors">
  <location ref="K4:L13" firstHeaderRow="1"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axis="axisRow" showAll="0">
      <items count="9">
        <item sd="0" x="5"/>
        <item sd="0" x="0"/>
        <item sd="0" x="4"/>
        <item sd="0" x="6"/>
        <item sd="0" x="7"/>
        <item sd="0" x="3"/>
        <item sd="0" x="2"/>
        <item sd="0"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dataField="1" numFmtId="20" showAll="0"/>
    <pivotField numFmtId="1" showAll="0"/>
    <pivotField numFmtId="165" showAll="0"/>
    <pivotField showAll="0"/>
    <pivotField numFmtId="165" showAll="0"/>
    <pivotField numFmtId="10" showAll="0"/>
  </pivotFields>
  <rowFields count="2">
    <field x="2"/>
    <field x="1"/>
  </rowFields>
  <rowItems count="9">
    <i>
      <x/>
    </i>
    <i>
      <x v="1"/>
    </i>
    <i>
      <x v="2"/>
    </i>
    <i>
      <x v="3"/>
    </i>
    <i>
      <x v="4"/>
    </i>
    <i>
      <x v="5"/>
    </i>
    <i>
      <x v="6"/>
    </i>
    <i>
      <x v="7"/>
    </i>
    <i t="grand">
      <x/>
    </i>
  </rowItems>
  <colItems count="1">
    <i/>
  </colItems>
  <dataFields count="1">
    <dataField name="Average of Avg Wait Time " fld="13" subtotal="average" baseField="1" baseItem="5" numFmtId="20"/>
  </dataFields>
  <formats count="14">
    <format dxfId="160">
      <pivotArea type="all" dataOnly="0" outline="0" fieldPosition="0"/>
    </format>
    <format dxfId="159">
      <pivotArea outline="0" collapsedLevelsAreSubtotals="1" fieldPosition="0"/>
    </format>
    <format dxfId="158">
      <pivotArea field="2" type="button" dataOnly="0" labelOnly="1" outline="0" axis="axisRow" fieldPosition="0"/>
    </format>
    <format dxfId="157">
      <pivotArea dataOnly="0" labelOnly="1" fieldPosition="0">
        <references count="1">
          <reference field="2" count="0"/>
        </references>
      </pivotArea>
    </format>
    <format dxfId="156">
      <pivotArea dataOnly="0" labelOnly="1" grandRow="1" outline="0" fieldPosition="0"/>
    </format>
    <format dxfId="155">
      <pivotArea dataOnly="0" labelOnly="1" fieldPosition="0">
        <references count="2">
          <reference field="1" count="0"/>
          <reference field="2" count="1" selected="0">
            <x v="0"/>
          </reference>
        </references>
      </pivotArea>
    </format>
    <format dxfId="154">
      <pivotArea dataOnly="0" labelOnly="1" fieldPosition="0">
        <references count="2">
          <reference field="1" count="0"/>
          <reference field="2" count="1" selected="0">
            <x v="1"/>
          </reference>
        </references>
      </pivotArea>
    </format>
    <format dxfId="153">
      <pivotArea dataOnly="0" labelOnly="1" fieldPosition="0">
        <references count="2">
          <reference field="1" count="0"/>
          <reference field="2" count="1" selected="0">
            <x v="2"/>
          </reference>
        </references>
      </pivotArea>
    </format>
    <format dxfId="152">
      <pivotArea dataOnly="0" labelOnly="1" fieldPosition="0">
        <references count="2">
          <reference field="1" count="0"/>
          <reference field="2" count="1" selected="0">
            <x v="3"/>
          </reference>
        </references>
      </pivotArea>
    </format>
    <format dxfId="151">
      <pivotArea dataOnly="0" labelOnly="1" fieldPosition="0">
        <references count="2">
          <reference field="1" count="0"/>
          <reference field="2" count="1" selected="0">
            <x v="4"/>
          </reference>
        </references>
      </pivotArea>
    </format>
    <format dxfId="150">
      <pivotArea dataOnly="0" labelOnly="1" fieldPosition="0">
        <references count="2">
          <reference field="1" count="0"/>
          <reference field="2" count="1" selected="0">
            <x v="5"/>
          </reference>
        </references>
      </pivotArea>
    </format>
    <format dxfId="149">
      <pivotArea dataOnly="0" labelOnly="1" fieldPosition="0">
        <references count="2">
          <reference field="1" count="0"/>
          <reference field="2" count="1" selected="0">
            <x v="6"/>
          </reference>
        </references>
      </pivotArea>
    </format>
    <format dxfId="148">
      <pivotArea dataOnly="0" labelOnly="1" fieldPosition="0">
        <references count="2">
          <reference field="1" count="0"/>
          <reference field="2" count="1" selected="0">
            <x v="7"/>
          </reference>
        </references>
      </pivotArea>
    </format>
    <format dxfId="1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43E794-0896-42E3-A4D9-E59D83ADE260}" name="PivotTable4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octors">
  <location ref="E59:F75" firstHeaderRow="1"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dataField="1" numFmtId="20" showAll="0"/>
    <pivotField numFmtId="1" showAll="0"/>
    <pivotField numFmtId="165" showAll="0"/>
    <pivotField showAll="0"/>
    <pivotField numFmtId="165" showAll="0"/>
    <pivotField numFmtId="10"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Avg Wait Time " fld="13" subtotal="average" baseField="2" baseItem="3" numFmtId="20"/>
  </dataFields>
  <formats count="6">
    <format dxfId="166">
      <pivotArea type="all" dataOnly="0" outline="0" fieldPosition="0"/>
    </format>
    <format dxfId="165">
      <pivotArea outline="0" collapsedLevelsAreSubtotals="1" fieldPosition="0"/>
    </format>
    <format dxfId="164">
      <pivotArea field="1" type="button" dataOnly="0" labelOnly="1" outline="0" axis="axisRow" fieldPosition="0"/>
    </format>
    <format dxfId="163">
      <pivotArea dataOnly="0" labelOnly="1" fieldPosition="0">
        <references count="1">
          <reference field="1" count="0"/>
        </references>
      </pivotArea>
    </format>
    <format dxfId="162">
      <pivotArea dataOnly="0" labelOnly="1" grandRow="1" outline="0" fieldPosition="0"/>
    </format>
    <format dxfId="16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6F4E7D-4B35-45B0-82FB-5707EAB9F93E}"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 / Doctors">
  <location ref="H4:I13" firstHeaderRow="1"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axis="axisRow" showAll="0">
      <items count="9">
        <item sd="0" x="5"/>
        <item sd="0" x="0"/>
        <item sd="0" x="4"/>
        <item sd="0" x="6"/>
        <item sd="0" x="7"/>
        <item sd="0" x="3"/>
        <item sd="0" x="2"/>
        <item sd="0"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dataField="1" numFmtId="10" showAll="0"/>
    <pivotField showAll="0"/>
    <pivotField numFmtId="20" showAll="0"/>
    <pivotField numFmtId="1" showAll="0"/>
    <pivotField numFmtId="165" showAll="0"/>
    <pivotField showAll="0"/>
    <pivotField numFmtId="165" showAll="0"/>
    <pivotField numFmtId="10" showAll="0"/>
  </pivotFields>
  <rowFields count="2">
    <field x="2"/>
    <field x="1"/>
  </rowFields>
  <rowItems count="9">
    <i>
      <x/>
    </i>
    <i>
      <x v="1"/>
    </i>
    <i>
      <x v="2"/>
    </i>
    <i>
      <x v="3"/>
    </i>
    <i>
      <x v="4"/>
    </i>
    <i>
      <x v="5"/>
    </i>
    <i>
      <x v="6"/>
    </i>
    <i>
      <x v="7"/>
    </i>
    <i t="grand">
      <x/>
    </i>
  </rowItems>
  <colItems count="1">
    <i/>
  </colItems>
  <dataFields count="1">
    <dataField name="Average of Readmission_Rate (%)2" fld="11" subtotal="average" baseField="2" baseItem="0" numFmtId="10"/>
  </dataFields>
  <formats count="14">
    <format dxfId="180">
      <pivotArea type="all" dataOnly="0" outline="0" fieldPosition="0"/>
    </format>
    <format dxfId="179">
      <pivotArea outline="0" collapsedLevelsAreSubtotals="1" fieldPosition="0"/>
    </format>
    <format dxfId="178">
      <pivotArea field="2" type="button" dataOnly="0" labelOnly="1" outline="0" axis="axisRow" fieldPosition="0"/>
    </format>
    <format dxfId="177">
      <pivotArea dataOnly="0" labelOnly="1" fieldPosition="0">
        <references count="1">
          <reference field="2" count="0"/>
        </references>
      </pivotArea>
    </format>
    <format dxfId="176">
      <pivotArea dataOnly="0" labelOnly="1" grandRow="1" outline="0" fieldPosition="0"/>
    </format>
    <format dxfId="175">
      <pivotArea dataOnly="0" labelOnly="1" fieldPosition="0">
        <references count="2">
          <reference field="1" count="0"/>
          <reference field="2" count="1" selected="0">
            <x v="0"/>
          </reference>
        </references>
      </pivotArea>
    </format>
    <format dxfId="174">
      <pivotArea dataOnly="0" labelOnly="1" fieldPosition="0">
        <references count="2">
          <reference field="1" count="0"/>
          <reference field="2" count="1" selected="0">
            <x v="1"/>
          </reference>
        </references>
      </pivotArea>
    </format>
    <format dxfId="173">
      <pivotArea dataOnly="0" labelOnly="1" fieldPosition="0">
        <references count="2">
          <reference field="1" count="0"/>
          <reference field="2" count="1" selected="0">
            <x v="2"/>
          </reference>
        </references>
      </pivotArea>
    </format>
    <format dxfId="172">
      <pivotArea dataOnly="0" labelOnly="1" fieldPosition="0">
        <references count="2">
          <reference field="1" count="0"/>
          <reference field="2" count="1" selected="0">
            <x v="3"/>
          </reference>
        </references>
      </pivotArea>
    </format>
    <format dxfId="171">
      <pivotArea dataOnly="0" labelOnly="1" fieldPosition="0">
        <references count="2">
          <reference field="1" count="0"/>
          <reference field="2" count="1" selected="0">
            <x v="4"/>
          </reference>
        </references>
      </pivotArea>
    </format>
    <format dxfId="170">
      <pivotArea dataOnly="0" labelOnly="1" fieldPosition="0">
        <references count="2">
          <reference field="1" count="0"/>
          <reference field="2" count="1" selected="0">
            <x v="5"/>
          </reference>
        </references>
      </pivotArea>
    </format>
    <format dxfId="169">
      <pivotArea dataOnly="0" labelOnly="1" fieldPosition="0">
        <references count="2">
          <reference field="1" count="0"/>
          <reference field="2" count="1" selected="0">
            <x v="6"/>
          </reference>
        </references>
      </pivotArea>
    </format>
    <format dxfId="168">
      <pivotArea dataOnly="0" labelOnly="1" fieldPosition="0">
        <references count="2">
          <reference field="1" count="0"/>
          <reference field="2" count="1" selected="0">
            <x v="7"/>
          </reference>
        </references>
      </pivotArea>
    </format>
    <format dxfId="16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780329-C5CF-476E-9340-4FF7088B7A7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Patient Age Group">
  <location ref="B37:C43" firstHeaderRow="1" firstDataRow="1" firstDataCol="1"/>
  <pivotFields count="19">
    <pivotField dataField="1"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axis="axisRow"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numFmtId="10" showAll="0"/>
  </pivotFields>
  <rowFields count="1">
    <field x="4"/>
  </rowFields>
  <rowItems count="6">
    <i>
      <x v="1"/>
    </i>
    <i>
      <x v="2"/>
    </i>
    <i>
      <x v="3"/>
    </i>
    <i>
      <x v="4"/>
    </i>
    <i>
      <x v="5"/>
    </i>
    <i t="grand">
      <x/>
    </i>
  </rowItems>
  <colItems count="1">
    <i/>
  </colItems>
  <dataFields count="1">
    <dataField name="Count of Patient ID" fld="0" subtotal="count" baseField="0" baseItem="0"/>
  </dataFields>
  <formats count="6">
    <format dxfId="186">
      <pivotArea type="all" dataOnly="0" outline="0" fieldPosition="0"/>
    </format>
    <format dxfId="185">
      <pivotArea outline="0" collapsedLevelsAreSubtotals="1" fieldPosition="0"/>
    </format>
    <format dxfId="184">
      <pivotArea field="4" type="button" dataOnly="0" labelOnly="1" outline="0" axis="axisRow" fieldPosition="0"/>
    </format>
    <format dxfId="183">
      <pivotArea dataOnly="0" labelOnly="1" fieldPosition="0">
        <references count="1">
          <reference field="4" count="5">
            <x v="1"/>
            <x v="2"/>
            <x v="3"/>
            <x v="4"/>
            <x v="5"/>
          </reference>
        </references>
      </pivotArea>
    </format>
    <format dxfId="182">
      <pivotArea dataOnly="0" labelOnly="1" grandRow="1" outline="0" fieldPosition="0"/>
    </format>
    <format dxfId="181">
      <pivotArea dataOnly="0" labelOnly="1" outline="0" axis="axisValues" fieldPosition="0"/>
    </format>
  </formats>
  <chartFormats count="4">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150E5D-57C0-4BE7-990D-E8D55008FD3D}" name="PivotTable4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reatment Type">
  <location ref="B59:C66" firstHeaderRow="1" firstDataRow="1" firstDataCol="1"/>
  <pivotFields count="19">
    <pivotField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axis="axisRow" showAll="0">
      <items count="7">
        <item x="2"/>
        <item x="0"/>
        <item x="3"/>
        <item x="1"/>
        <item x="5"/>
        <item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showAll="0"/>
    <pivotField dataField="1" numFmtId="165" showAll="0"/>
    <pivotField numFmtId="10" showAll="0"/>
  </pivotFields>
  <rowFields count="1">
    <field x="7"/>
  </rowFields>
  <rowItems count="7">
    <i>
      <x/>
    </i>
    <i>
      <x v="1"/>
    </i>
    <i>
      <x v="2"/>
    </i>
    <i>
      <x v="3"/>
    </i>
    <i>
      <x v="4"/>
    </i>
    <i>
      <x v="5"/>
    </i>
    <i t="grand">
      <x/>
    </i>
  </rowItems>
  <colItems count="1">
    <i/>
  </colItems>
  <dataFields count="1">
    <dataField name="Sum of Profit" fld="17" baseField="0" baseItem="0" numFmtId="165"/>
  </dataFields>
  <formats count="6">
    <format dxfId="192">
      <pivotArea type="all" dataOnly="0" outline="0" fieldPosition="0"/>
    </format>
    <format dxfId="191">
      <pivotArea outline="0" collapsedLevelsAreSubtotals="1" fieldPosition="0"/>
    </format>
    <format dxfId="190">
      <pivotArea field="7" type="button" dataOnly="0" labelOnly="1" outline="0" axis="axisRow" fieldPosition="0"/>
    </format>
    <format dxfId="189">
      <pivotArea dataOnly="0" labelOnly="1" fieldPosition="0">
        <references count="1">
          <reference field="7" count="0"/>
        </references>
      </pivotArea>
    </format>
    <format dxfId="188">
      <pivotArea dataOnly="0" labelOnly="1" grandRow="1" outline="0" fieldPosition="0"/>
    </format>
    <format dxfId="1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3A39EF-2F20-4396-9081-A30ADD3E01E7}"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location ref="E44:F53" firstHeaderRow="1" firstDataRow="1" firstDataCol="1"/>
  <pivotFields count="19">
    <pivotField showAll="0"/>
    <pivotField showAll="0">
      <items count="16">
        <item x="9"/>
        <item x="1"/>
        <item x="0"/>
        <item x="4"/>
        <item x="14"/>
        <item x="13"/>
        <item x="7"/>
        <item x="2"/>
        <item x="3"/>
        <item x="5"/>
        <item x="10"/>
        <item x="6"/>
        <item x="8"/>
        <item x="12"/>
        <item x="11"/>
        <item t="default"/>
      </items>
    </pivotField>
    <pivotField axis="axisRow"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dataField="1" numFmtId="20" showAll="0"/>
    <pivotField numFmtId="1" showAll="0"/>
    <pivotField numFmtId="165" showAll="0"/>
    <pivotField showAll="0"/>
    <pivotField numFmtId="165" showAll="0"/>
    <pivotField numFmtId="10" showAll="0"/>
  </pivotFields>
  <rowFields count="1">
    <field x="2"/>
  </rowFields>
  <rowItems count="9">
    <i>
      <x/>
    </i>
    <i>
      <x v="1"/>
    </i>
    <i>
      <x v="2"/>
    </i>
    <i>
      <x v="3"/>
    </i>
    <i>
      <x v="4"/>
    </i>
    <i>
      <x v="5"/>
    </i>
    <i>
      <x v="6"/>
    </i>
    <i>
      <x v="7"/>
    </i>
    <i t="grand">
      <x/>
    </i>
  </rowItems>
  <colItems count="1">
    <i/>
  </colItems>
  <dataFields count="1">
    <dataField name="Average of Avg Wait Time " fld="13" subtotal="average" baseField="2" baseItem="3" numFmtId="20"/>
  </dataFields>
  <formats count="6">
    <format dxfId="198">
      <pivotArea type="all" dataOnly="0" outline="0" fieldPosition="0"/>
    </format>
    <format dxfId="197">
      <pivotArea outline="0" collapsedLevelsAreSubtotals="1" fieldPosition="0"/>
    </format>
    <format dxfId="196">
      <pivotArea field="2" type="button" dataOnly="0" labelOnly="1" outline="0" axis="axisRow" fieldPosition="0"/>
    </format>
    <format dxfId="195">
      <pivotArea dataOnly="0" labelOnly="1" fieldPosition="0">
        <references count="1">
          <reference field="2" count="0"/>
        </references>
      </pivotArea>
    </format>
    <format dxfId="194">
      <pivotArea dataOnly="0" labelOnly="1" grandRow="1" outline="0" fieldPosition="0"/>
    </format>
    <format dxfId="19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58983D-C4E5-45A3-9DFD-1881F6F98F85}"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Gender">
  <location ref="B90:D93" firstHeaderRow="1" firstDataRow="2" firstDataCol="1"/>
  <pivotFields count="19">
    <pivotField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axis="axisRow"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axis="axisCol" showAll="0">
      <items count="7">
        <item h="1" x="2"/>
        <item h="1" x="0"/>
        <item x="3"/>
        <item h="1" x="1"/>
        <item h="1" x="5"/>
        <item h="1"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dataField="1" showAll="0">
      <items count="3">
        <item x="0"/>
        <item x="1"/>
        <item t="default"/>
      </items>
    </pivotField>
    <pivotField numFmtId="165" showAll="0"/>
    <pivotField numFmtId="10" showAll="0"/>
  </pivotFields>
  <rowFields count="1">
    <field x="3"/>
  </rowFields>
  <rowItems count="2">
    <i>
      <x/>
    </i>
    <i t="grand">
      <x/>
    </i>
  </rowItems>
  <colFields count="1">
    <field x="7"/>
  </colFields>
  <colItems count="2">
    <i>
      <x v="2"/>
    </i>
    <i t="grand">
      <x/>
    </i>
  </colItems>
  <dataFields count="1">
    <dataField name="Count of Data_Issue_noticed" fld="16" subtotal="count" baseField="0" baseItem="0"/>
  </dataFields>
  <formats count="10">
    <format dxfId="208">
      <pivotArea type="all" dataOnly="0" outline="0" fieldPosition="0"/>
    </format>
    <format dxfId="207">
      <pivotArea outline="0" collapsedLevelsAreSubtotals="1" fieldPosition="0"/>
    </format>
    <format dxfId="206">
      <pivotArea type="origin" dataOnly="0" labelOnly="1" outline="0" fieldPosition="0"/>
    </format>
    <format dxfId="205">
      <pivotArea field="7" type="button" dataOnly="0" labelOnly="1" outline="0" axis="axisCol" fieldPosition="0"/>
    </format>
    <format dxfId="204">
      <pivotArea type="topRight" dataOnly="0" labelOnly="1" outline="0" fieldPosition="0"/>
    </format>
    <format dxfId="203">
      <pivotArea field="3" type="button" dataOnly="0" labelOnly="1" outline="0" axis="axisRow" fieldPosition="0"/>
    </format>
    <format dxfId="202">
      <pivotArea dataOnly="0" labelOnly="1" fieldPosition="0">
        <references count="1">
          <reference field="3" count="0"/>
        </references>
      </pivotArea>
    </format>
    <format dxfId="201">
      <pivotArea dataOnly="0" labelOnly="1" grandRow="1" outline="0" fieldPosition="0"/>
    </format>
    <format dxfId="200">
      <pivotArea dataOnly="0" labelOnly="1" fieldPosition="0">
        <references count="1">
          <reference field="7" count="0"/>
        </references>
      </pivotArea>
    </format>
    <format dxfId="199">
      <pivotArea dataOnly="0" labelOnly="1" grandCol="1" outline="0" fieldPosition="0"/>
    </format>
  </formats>
  <chartFormats count="7">
    <chartFormat chart="7" format="10" series="1">
      <pivotArea type="data" outline="0" fieldPosition="0">
        <references count="1">
          <reference field="7" count="1" selected="0">
            <x v="2"/>
          </reference>
        </references>
      </pivotArea>
    </chartFormat>
    <chartFormat chart="7" format="11" series="1">
      <pivotArea type="data" outline="0" fieldPosition="0">
        <references count="2">
          <reference field="4294967294" count="1" selected="0">
            <x v="0"/>
          </reference>
          <reference field="7" count="1" selected="0">
            <x v="5"/>
          </reference>
        </references>
      </pivotArea>
    </chartFormat>
    <chartFormat chart="7" format="12" series="1">
      <pivotArea type="data" outline="0" fieldPosition="0">
        <references count="2">
          <reference field="4294967294" count="1" selected="0">
            <x v="0"/>
          </reference>
          <reference field="7" count="1" selected="0">
            <x v="1"/>
          </reference>
        </references>
      </pivotArea>
    </chartFormat>
    <chartFormat chart="7" format="13" series="1">
      <pivotArea type="data" outline="0" fieldPosition="0">
        <references count="2">
          <reference field="4294967294" count="1" selected="0">
            <x v="0"/>
          </reference>
          <reference field="7" count="1" selected="0">
            <x v="2"/>
          </reference>
        </references>
      </pivotArea>
    </chartFormat>
    <chartFormat chart="7" format="14">
      <pivotArea type="data" outline="0" fieldPosition="0">
        <references count="3">
          <reference field="4294967294" count="1" selected="0">
            <x v="0"/>
          </reference>
          <reference field="3" count="1" selected="0">
            <x v="0"/>
          </reference>
          <reference field="7" count="1" selected="0">
            <x v="2"/>
          </reference>
        </references>
      </pivotArea>
    </chartFormat>
    <chartFormat chart="7" format="15">
      <pivotArea type="data" outline="0" fieldPosition="0">
        <references count="3">
          <reference field="4294967294" count="1" selected="0">
            <x v="0"/>
          </reference>
          <reference field="3" count="1" selected="0">
            <x v="1"/>
          </reference>
          <reference field="7" count="1" selected="0">
            <x v="2"/>
          </reference>
        </references>
      </pivotArea>
    </chartFormat>
    <chartFormat chart="7" format="16">
      <pivotArea type="data" outline="0" fieldPosition="0">
        <references count="3">
          <reference field="4294967294" count="1" selected="0">
            <x v="0"/>
          </reference>
          <reference field="3" count="1" selected="0">
            <x v="2"/>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66ECAE-08F3-4B1C-92BA-B8D4BA6D28BB}"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location ref="B4:C13" firstHeaderRow="1" firstDataRow="1" firstDataCol="1"/>
  <pivotFields count="19">
    <pivotField dataField="1" showAll="0"/>
    <pivotField showAll="0">
      <items count="16">
        <item x="9"/>
        <item x="1"/>
        <item x="0"/>
        <item x="4"/>
        <item x="14"/>
        <item x="13"/>
        <item x="7"/>
        <item x="2"/>
        <item x="3"/>
        <item x="5"/>
        <item x="10"/>
        <item x="6"/>
        <item x="8"/>
        <item x="12"/>
        <item x="11"/>
        <item t="default"/>
      </items>
    </pivotField>
    <pivotField axis="axisRow"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numFmtId="10" showAll="0"/>
  </pivotFields>
  <rowFields count="1">
    <field x="2"/>
  </rowFields>
  <rowItems count="9">
    <i>
      <x/>
    </i>
    <i>
      <x v="1"/>
    </i>
    <i>
      <x v="2"/>
    </i>
    <i>
      <x v="3"/>
    </i>
    <i>
      <x v="4"/>
    </i>
    <i>
      <x v="5"/>
    </i>
    <i>
      <x v="6"/>
    </i>
    <i>
      <x v="7"/>
    </i>
    <i t="grand">
      <x/>
    </i>
  </rowItems>
  <colItems count="1">
    <i/>
  </colItems>
  <dataFields count="1">
    <dataField name="Count of Patient ID" fld="0" subtotal="count" baseField="0" baseItem="0"/>
  </dataFields>
  <formats count="6">
    <format dxfId="214">
      <pivotArea type="all" dataOnly="0" outline="0" fieldPosition="0"/>
    </format>
    <format dxfId="213">
      <pivotArea outline="0" collapsedLevelsAreSubtotals="1" fieldPosition="0"/>
    </format>
    <format dxfId="212">
      <pivotArea field="2" type="button" dataOnly="0" labelOnly="1" outline="0" axis="axisRow" fieldPosition="0"/>
    </format>
    <format dxfId="211">
      <pivotArea dataOnly="0" labelOnly="1" fieldPosition="0">
        <references count="1">
          <reference field="2" count="0"/>
        </references>
      </pivotArea>
    </format>
    <format dxfId="210">
      <pivotArea dataOnly="0" labelOnly="1" grandRow="1" outline="0" fieldPosition="0"/>
    </format>
    <format dxfId="209">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B8C5FF-26BB-4830-AEEE-8C0BB5715779}" name="PivotTable4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location ref="B46:C55" firstHeaderRow="1" firstDataRow="1" firstDataCol="1"/>
  <pivotFields count="19">
    <pivotField showAll="0"/>
    <pivotField showAll="0">
      <items count="16">
        <item x="9"/>
        <item x="1"/>
        <item x="0"/>
        <item x="4"/>
        <item x="14"/>
        <item x="13"/>
        <item x="7"/>
        <item x="2"/>
        <item x="3"/>
        <item x="5"/>
        <item x="10"/>
        <item x="6"/>
        <item x="8"/>
        <item x="12"/>
        <item x="11"/>
        <item t="default"/>
      </items>
    </pivotField>
    <pivotField axis="axisRow"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numFmtId="20" showAll="0"/>
    <pivotField numFmtId="1" showAll="0"/>
    <pivotField dataField="1" numFmtId="165" showAll="0"/>
    <pivotField showAll="0"/>
    <pivotField numFmtId="165" showAll="0"/>
    <pivotField numFmtId="10" showAll="0"/>
  </pivotFields>
  <rowFields count="1">
    <field x="2"/>
  </rowFields>
  <rowItems count="9">
    <i>
      <x/>
    </i>
    <i>
      <x v="1"/>
    </i>
    <i>
      <x v="2"/>
    </i>
    <i>
      <x v="3"/>
    </i>
    <i>
      <x v="4"/>
    </i>
    <i>
      <x v="5"/>
    </i>
    <i>
      <x v="6"/>
    </i>
    <i>
      <x v="7"/>
    </i>
    <i t="grand">
      <x/>
    </i>
  </rowItems>
  <colItems count="1">
    <i/>
  </colItems>
  <dataFields count="1">
    <dataField name="Sum of Revenue_Generated" fld="15" baseField="0" baseItem="0" numFmtId="165"/>
  </dataFields>
  <formats count="6">
    <format dxfId="220">
      <pivotArea type="all" dataOnly="0" outline="0" fieldPosition="0"/>
    </format>
    <format dxfId="219">
      <pivotArea outline="0" collapsedLevelsAreSubtotals="1" fieldPosition="0"/>
    </format>
    <format dxfId="218">
      <pivotArea field="2" type="button" dataOnly="0" labelOnly="1" outline="0" axis="axisRow" fieldPosition="0"/>
    </format>
    <format dxfId="217">
      <pivotArea dataOnly="0" labelOnly="1" fieldPosition="0">
        <references count="1">
          <reference field="2" count="0"/>
        </references>
      </pivotArea>
    </format>
    <format dxfId="216">
      <pivotArea dataOnly="0" labelOnly="1" grandRow="1" outline="0" fieldPosition="0"/>
    </format>
    <format dxfId="215">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348004D-BFD0-4E92-866D-A3609657DE26}"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reatment Type">
  <location ref="B17:C24" firstHeaderRow="1" firstDataRow="1" firstDataCol="1"/>
  <pivotFields count="19">
    <pivotField dataField="1"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axis="axisRow" showAll="0">
      <items count="7">
        <item x="2"/>
        <item x="0"/>
        <item x="3"/>
        <item x="1"/>
        <item x="5"/>
        <item x="4"/>
        <item t="default"/>
      </items>
    </pivotField>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numFmtId="10" showAll="0"/>
  </pivotFields>
  <rowFields count="1">
    <field x="7"/>
  </rowFields>
  <rowItems count="7">
    <i>
      <x/>
    </i>
    <i>
      <x v="1"/>
    </i>
    <i>
      <x v="2"/>
    </i>
    <i>
      <x v="3"/>
    </i>
    <i>
      <x v="4"/>
    </i>
    <i>
      <x v="5"/>
    </i>
    <i t="grand">
      <x/>
    </i>
  </rowItems>
  <colItems count="1">
    <i/>
  </colItems>
  <dataFields count="1">
    <dataField name="Count of Patient ID" fld="0" subtotal="count" baseField="0" baseItem="0"/>
  </dataFields>
  <formats count="6">
    <format dxfId="226">
      <pivotArea type="all" dataOnly="0" outline="0" fieldPosition="0"/>
    </format>
    <format dxfId="225">
      <pivotArea outline="0" collapsedLevelsAreSubtotals="1" fieldPosition="0"/>
    </format>
    <format dxfId="224">
      <pivotArea field="7" type="button" dataOnly="0" labelOnly="1" outline="0" axis="axisRow" fieldPosition="0"/>
    </format>
    <format dxfId="223">
      <pivotArea dataOnly="0" labelOnly="1" fieldPosition="0">
        <references count="1">
          <reference field="7" count="0"/>
        </references>
      </pivotArea>
    </format>
    <format dxfId="222">
      <pivotArea dataOnly="0" labelOnly="1" grandRow="1" outline="0" fieldPosition="0"/>
    </format>
    <format dxfId="221">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2FD4A51-A958-4946-B2F3-D5A68BF23060}"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octors">
  <location ref="E24:F40" firstHeaderRow="1" firstDataRow="1" firstDataCol="1"/>
  <pivotFields count="19">
    <pivotField showAll="0"/>
    <pivotField axis="axisRow"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dataField="1" numFmtId="10" showAll="0"/>
    <pivotField showAll="0"/>
    <pivotField numFmtId="20" showAll="0"/>
    <pivotField numFmtId="1" showAll="0"/>
    <pivotField numFmtId="165" showAll="0"/>
    <pivotField showAll="0"/>
    <pivotField numFmtId="165" showAll="0"/>
    <pivotField numFmtId="10"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Readmission_Rate (%)2" fld="11" subtotal="average" baseField="1" baseItem="1" numFmtId="10"/>
  </dataFields>
  <formats count="6">
    <format dxfId="232">
      <pivotArea type="all" dataOnly="0" outline="0" fieldPosition="0"/>
    </format>
    <format dxfId="231">
      <pivotArea outline="0" collapsedLevelsAreSubtotals="1" fieldPosition="0"/>
    </format>
    <format dxfId="230">
      <pivotArea field="1" type="button" dataOnly="0" labelOnly="1" outline="0" axis="axisRow" fieldPosition="0"/>
    </format>
    <format dxfId="229">
      <pivotArea dataOnly="0" labelOnly="1" fieldPosition="0">
        <references count="1">
          <reference field="1" count="0"/>
        </references>
      </pivotArea>
    </format>
    <format dxfId="228">
      <pivotArea dataOnly="0" labelOnly="1" grandRow="1" outline="0" fieldPosition="0"/>
    </format>
    <format dxfId="2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2AB40AA-CD8B-4D88-8AD5-4F55B7EA8222}"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Insurance">
  <location ref="B28:C33" firstHeaderRow="1" firstDataRow="1" firstDataCol="1"/>
  <pivotFields count="19">
    <pivotField dataField="1" showAll="0"/>
    <pivotField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axis="axisRow" showAll="0">
      <items count="5">
        <item x="0"/>
        <item x="1"/>
        <item x="2"/>
        <item x="3"/>
        <item t="default"/>
      </items>
    </pivotField>
    <pivotField showAll="0"/>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numFmtId="10" showAll="0"/>
  </pivotFields>
  <rowFields count="1">
    <field x="6"/>
  </rowFields>
  <rowItems count="5">
    <i>
      <x/>
    </i>
    <i>
      <x v="1"/>
    </i>
    <i>
      <x v="2"/>
    </i>
    <i>
      <x v="3"/>
    </i>
    <i t="grand">
      <x/>
    </i>
  </rowItems>
  <colItems count="1">
    <i/>
  </colItems>
  <dataFields count="1">
    <dataField name="Count of Patient ID" fld="0" subtotal="count" baseField="0" baseItem="0"/>
  </dataFields>
  <formats count="6">
    <format dxfId="238">
      <pivotArea type="all" dataOnly="0" outline="0" fieldPosition="0"/>
    </format>
    <format dxfId="237">
      <pivotArea outline="0" collapsedLevelsAreSubtotals="1" fieldPosition="0"/>
    </format>
    <format dxfId="236">
      <pivotArea field="6" type="button" dataOnly="0" labelOnly="1" outline="0" axis="axisRow" fieldPosition="0"/>
    </format>
    <format dxfId="235">
      <pivotArea dataOnly="0" labelOnly="1" fieldPosition="0">
        <references count="1">
          <reference field="6" count="0"/>
        </references>
      </pivotArea>
    </format>
    <format dxfId="234">
      <pivotArea dataOnly="0" labelOnly="1" grandRow="1" outline="0" fieldPosition="0"/>
    </format>
    <format dxfId="233">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BAC7946-18B7-4B89-85F5-C102E87829EC}"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octors">
  <location ref="E4:F20" firstHeaderRow="1" firstDataRow="1" firstDataCol="1"/>
  <pivotFields count="19">
    <pivotField dataField="1" showAll="0"/>
    <pivotField axis="axisRow" showAll="0">
      <items count="16">
        <item x="9"/>
        <item x="1"/>
        <item x="0"/>
        <item x="4"/>
        <item x="14"/>
        <item x="13"/>
        <item x="7"/>
        <item x="2"/>
        <item x="3"/>
        <item x="5"/>
        <item x="10"/>
        <item x="6"/>
        <item x="8"/>
        <item x="12"/>
        <item x="11"/>
        <item t="default"/>
      </items>
    </pivotField>
    <pivotField showAll="0">
      <items count="9">
        <item x="5"/>
        <item x="0"/>
        <item x="4"/>
        <item x="6"/>
        <item x="7"/>
        <item x="3"/>
        <item x="2"/>
        <item x="1"/>
        <item t="default"/>
      </items>
    </pivotField>
    <pivotField showAll="0">
      <items count="4">
        <item x="1"/>
        <item h="1" x="0"/>
        <item h="1" x="2"/>
        <item t="default"/>
      </items>
    </pivotField>
    <pivotField showAll="0">
      <items count="8">
        <item x="0"/>
        <item x="1"/>
        <item x="2"/>
        <item x="3"/>
        <item x="4"/>
        <item x="5"/>
        <item x="6"/>
        <item t="default"/>
      </items>
    </pivotField>
    <pivotField showAll="0">
      <items count="5">
        <item x="0"/>
        <item x="3"/>
        <item x="1"/>
        <item x="2"/>
        <item t="default"/>
      </items>
    </pivotField>
    <pivotField showAll="0">
      <items count="5">
        <item x="0"/>
        <item x="1"/>
        <item x="2"/>
        <item x="3"/>
        <item t="default"/>
      </items>
    </pivotField>
    <pivotField showAll="0"/>
    <pivotField numFmtId="1" showAll="0"/>
    <pivotField numFmtId="165" showAll="0"/>
    <pivotField numFmtId="10" showAll="0"/>
    <pivotField numFmtId="10" showAll="0"/>
    <pivotField showAll="0"/>
    <pivotField numFmtId="20" showAll="0"/>
    <pivotField numFmtId="1" showAll="0"/>
    <pivotField numFmtId="165" showAll="0"/>
    <pivotField showAll="0"/>
    <pivotField numFmtId="165" showAll="0"/>
    <pivotField numFmtId="10" showAll="0"/>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Count of Patient ID" fld="0" subtotal="count" baseField="0" baseItem="0"/>
  </dataFields>
  <formats count="6">
    <format dxfId="244">
      <pivotArea type="all" dataOnly="0" outline="0" fieldPosition="0"/>
    </format>
    <format dxfId="243">
      <pivotArea outline="0" collapsedLevelsAreSubtotals="1" fieldPosition="0"/>
    </format>
    <format dxfId="242">
      <pivotArea field="1" type="button" dataOnly="0" labelOnly="1" outline="0" axis="axisRow" fieldPosition="0"/>
    </format>
    <format dxfId="241">
      <pivotArea dataOnly="0" labelOnly="1" fieldPosition="0">
        <references count="1">
          <reference field="1" count="0"/>
        </references>
      </pivotArea>
    </format>
    <format dxfId="240">
      <pivotArea dataOnly="0" labelOnly="1" grandRow="1" outline="0" fieldPosition="0"/>
    </format>
    <format dxfId="23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DC62F3-EC40-4255-839C-CFB8A9CD0FB8}" autoFormatId="16" applyNumberFormats="0" applyBorderFormats="0" applyFontFormats="0" applyPatternFormats="0" applyAlignmentFormats="0" applyWidthHeightFormats="0">
  <queryTableRefresh nextId="22" unboundColumnsRight="3">
    <queryTableFields count="19">
      <queryTableField id="1" name="Patient ID" tableColumnId="1"/>
      <queryTableField id="2" name="Doctor Name" tableColumnId="2"/>
      <queryTableField id="3" name="Department" tableColumnId="3"/>
      <queryTableField id="4" name="Patient_Gender" tableColumnId="4"/>
      <queryTableField id="5" name="Patient_Age" tableColumnId="5"/>
      <queryTableField id="21" dataBound="0" tableColumnId="18"/>
      <queryTableField id="6" name="Insurance_Type" tableColumnId="6"/>
      <queryTableField id="7" name="Treatment_Type" tableColumnId="7"/>
      <queryTableField id="8" name="Patient_Satisfaction_Score" tableColumnId="8"/>
      <queryTableField id="9" name="Average_Treatment_Cost" tableColumnId="9"/>
      <queryTableField id="10" name="Readmission_Rate (%)" tableColumnId="10"/>
      <queryTableField id="20" dataBound="0" tableColumnId="17"/>
      <queryTableField id="11" name="Average_Wait_Time (mins)" tableColumnId="11"/>
      <queryTableField id="19" dataBound="0" tableColumnId="21"/>
      <queryTableField id="12" name="Staff_Rating" tableColumnId="12"/>
      <queryTableField id="13" name="Revenue_Generated" tableColumnId="13"/>
      <queryTableField id="14" dataBound="0" tableColumnId="14"/>
      <queryTableField id="15" dataBound="0" tableColumnId="15"/>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_Name" xr10:uid="{F59F2CE2-41FA-4119-B7A7-F48752210DF1}" sourceName="Doctor Name">
  <pivotTables>
    <pivotTable tabId="7" name="PivotTable36"/>
    <pivotTable tabId="7" name="PivotTable1"/>
    <pivotTable tabId="7" name="PivotTable2"/>
    <pivotTable tabId="7" name="PivotTable28"/>
    <pivotTable tabId="7" name="PivotTable29"/>
    <pivotTable tabId="7" name="PivotTable30"/>
    <pivotTable tabId="7" name="PivotTable31"/>
    <pivotTable tabId="7" name="PivotTable32"/>
    <pivotTable tabId="7" name="PivotTable33"/>
    <pivotTable tabId="7" name="PivotTable37"/>
    <pivotTable tabId="7" name="PivotTable38"/>
    <pivotTable tabId="7" name="PivotTable40"/>
    <pivotTable tabId="7" name="PivotTable41"/>
    <pivotTable tabId="7" name="PivotTable42"/>
    <pivotTable tabId="7" name="PivotTable43"/>
  </pivotTables>
  <data>
    <tabular pivotCacheId="1183184418">
      <items count="15">
        <i x="9" s="1"/>
        <i x="1" s="1"/>
        <i x="0" s="1"/>
        <i x="4" s="1"/>
        <i x="14" s="1"/>
        <i x="13" s="1"/>
        <i x="7" s="1"/>
        <i x="2" s="1"/>
        <i x="3" s="1"/>
        <i x="5" s="1"/>
        <i x="10" s="1"/>
        <i x="6" s="1"/>
        <i x="8" s="1"/>
        <i x="1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77E0E8B-81F5-4EEF-A741-656C93F1C852}" sourceName="Department">
  <pivotTables>
    <pivotTable tabId="7" name="PivotTable36"/>
    <pivotTable tabId="7" name="PivotTable1"/>
    <pivotTable tabId="7" name="PivotTable2"/>
    <pivotTable tabId="7" name="PivotTable28"/>
    <pivotTable tabId="7" name="PivotTable29"/>
    <pivotTable tabId="7" name="PivotTable30"/>
    <pivotTable tabId="7" name="PivotTable31"/>
    <pivotTable tabId="7" name="PivotTable32"/>
    <pivotTable tabId="7" name="PivotTable33"/>
    <pivotTable tabId="7" name="PivotTable34"/>
    <pivotTable tabId="7" name="PivotTable37"/>
    <pivotTable tabId="7" name="PivotTable38"/>
    <pivotTable tabId="7" name="PivotTable40"/>
    <pivotTable tabId="7" name="PivotTable41"/>
    <pivotTable tabId="7" name="PivotTable42"/>
    <pivotTable tabId="7" name="PivotTable43"/>
  </pivotTables>
  <data>
    <tabular pivotCacheId="1183184418">
      <items count="8">
        <i x="5" s="1"/>
        <i x="0" s="1"/>
        <i x="4" s="1"/>
        <i x="6" s="1"/>
        <i x="7"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Gender" xr10:uid="{B58FD5EB-09BE-49C1-BBF1-4F9A2730ECFE}" sourceName="Patient_Gender">
  <pivotTables>
    <pivotTable tabId="7" name="PivotTable36"/>
    <pivotTable tabId="7" name="PivotTable1"/>
    <pivotTable tabId="7" name="PivotTable2"/>
    <pivotTable tabId="7" name="PivotTable28"/>
    <pivotTable tabId="7" name="PivotTable29"/>
    <pivotTable tabId="7" name="PivotTable30"/>
    <pivotTable tabId="7" name="PivotTable31"/>
    <pivotTable tabId="7" name="PivotTable32"/>
    <pivotTable tabId="7" name="PivotTable33"/>
    <pivotTable tabId="7" name="PivotTable37"/>
    <pivotTable tabId="7" name="PivotTable38"/>
    <pivotTable tabId="7" name="PivotTable40"/>
    <pivotTable tabId="7" name="PivotTable41"/>
    <pivotTable tabId="7" name="PivotTable42"/>
    <pivotTable tabId="7" name="PivotTable43"/>
  </pivotTables>
  <data>
    <tabular pivotCacheId="1183184418">
      <items count="3">
        <i x="1" s="1"/>
        <i x="0"/>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by_Age_Group" xr10:uid="{5BEF62FD-4034-4263-A3B8-652175D6A10A}" sourceName="Patient by Age Group">
  <pivotTables>
    <pivotTable tabId="7" name="PivotTable36"/>
    <pivotTable tabId="7" name="PivotTable1"/>
    <pivotTable tabId="7" name="PivotTable2"/>
    <pivotTable tabId="7" name="PivotTable28"/>
    <pivotTable tabId="7" name="PivotTable29"/>
    <pivotTable tabId="7" name="PivotTable30"/>
    <pivotTable tabId="7" name="PivotTable31"/>
    <pivotTable tabId="7" name="PivotTable32"/>
    <pivotTable tabId="7" name="PivotTable33"/>
    <pivotTable tabId="7" name="PivotTable34"/>
    <pivotTable tabId="7" name="PivotTable37"/>
    <pivotTable tabId="7" name="PivotTable38"/>
    <pivotTable tabId="7" name="PivotTable40"/>
    <pivotTable tabId="7" name="PivotTable41"/>
    <pivotTable tabId="7" name="PivotTable42"/>
    <pivotTable tabId="7" name="PivotTable43"/>
  </pivotTables>
  <data>
    <tabular pivotCacheId="1183184418">
      <items count="4">
        <i x="0" s="1"/>
        <i x="3"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urance_Type" xr10:uid="{062CC1B3-4DF9-48A7-A339-E0197E177CF0}" sourceName="Insurance_Type">
  <pivotTables>
    <pivotTable tabId="7" name="PivotTable36"/>
    <pivotTable tabId="7" name="PivotTable1"/>
    <pivotTable tabId="7" name="PivotTable2"/>
    <pivotTable tabId="7" name="PivotTable28"/>
    <pivotTable tabId="7" name="PivotTable29"/>
    <pivotTable tabId="7" name="PivotTable30"/>
    <pivotTable tabId="7" name="PivotTable31"/>
    <pivotTable tabId="7" name="PivotTable32"/>
    <pivotTable tabId="7" name="PivotTable33"/>
    <pivotTable tabId="7" name="PivotTable34"/>
    <pivotTable tabId="7" name="PivotTable37"/>
    <pivotTable tabId="7" name="PivotTable38"/>
    <pivotTable tabId="7" name="PivotTable40"/>
    <pivotTable tabId="7" name="PivotTable41"/>
    <pivotTable tabId="7" name="PivotTable42"/>
    <pivotTable tabId="7" name="PivotTable43"/>
  </pivotTables>
  <data>
    <tabular pivotCacheId="118318441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Name" xr10:uid="{D2B10D72-3F9B-4642-B189-C9403FFAD159}" cache="Slicer_Doctor_Name" caption="Doctor Name" rowHeight="257175"/>
  <slicer name="Department" xr10:uid="{930CF561-F513-4B4E-B36D-B70293AF252D}" cache="Slicer_Department" caption="Department" rowHeight="257175"/>
  <slicer name="Patient_Gender" xr10:uid="{F0999D99-992C-474F-9986-8A7542D03BD5}" cache="Slicer_Patient_Gender" caption="Patient_Gender" rowHeight="257175"/>
  <slicer name="Patient by Age Group" xr10:uid="{0D1643D4-CCA3-49AE-A53A-68D8B92C870B}" cache="Slicer_Patient_by_Age_Group" caption="Patient by Age Group" rowHeight="257175"/>
  <slicer name="Insurance_Type" xr10:uid="{E7684D39-056F-4AC8-A901-EECB4DDCA373}" cache="Slicer_Insurance_Type" caption="Insurance_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Name 1" xr10:uid="{1D723D4D-1387-4D8B-9E4E-A3F8F27008DC}" cache="Slicer_Doctor_Name" caption="Doctor Name" columnCount="5" rowHeight="257175"/>
  <slicer name="Department 1" xr10:uid="{32D7655B-4A13-407E-9BE4-D6151A31E100}" cache="Slicer_Department" caption="Department" columnCount="4" rowHeight="257175"/>
  <slicer name="Patient_Gender 1" xr10:uid="{0AE40F0A-646C-45FB-B15D-C679F6F83B4B}" cache="Slicer_Patient_Gender" caption="Patient_Gender" columnCount="3" rowHeight="257175"/>
  <slicer name="Patient by Age Group 1" xr10:uid="{367E9D21-DE2A-45BD-A2F5-DBC7F6FBF4F6}" cache="Slicer_Patient_by_Age_Group" caption="Patient by Age Group" columnCount="4" rowHeight="257175"/>
  <slicer name="Insurance_Type 1" xr10:uid="{2C2A08F3-9CEC-49CC-AA45-B0DA6F97BDA1}" cache="Slicer_Insurance_Type" caption="Insurance_Type" columnCount="4"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4D496-5683-4F01-B10F-A42A610A7D93}" name="MediCare_Data" displayName="MediCare_Data" ref="A1:S1001" tableType="queryTable" totalsRowShown="0">
  <autoFilter ref="A1:S1001" xr:uid="{D744D496-5683-4F01-B10F-A42A610A7D93}"/>
  <tableColumns count="19">
    <tableColumn id="1" xr3:uid="{950480F1-A0EF-486A-A5C2-C2FCEFBBA789}" uniqueName="1" name="Patient ID" queryTableFieldId="1" dataDxfId="262"/>
    <tableColumn id="2" xr3:uid="{63DB057D-E434-4319-861F-840DEE5C6699}" uniqueName="2" name="Doctor Name" queryTableFieldId="2" dataDxfId="261"/>
    <tableColumn id="3" xr3:uid="{75B1FF34-68B4-4842-87A0-76C754A70E90}" uniqueName="3" name="Department" queryTableFieldId="3" dataDxfId="260"/>
    <tableColumn id="4" xr3:uid="{D680182C-7FD5-4F4B-9471-C4741F193E08}" uniqueName="4" name="Patient_Gender" queryTableFieldId="4" dataDxfId="259"/>
    <tableColumn id="5" xr3:uid="{AB7804F4-56BB-4CBF-A666-306ED1233473}" uniqueName="5" name="Patient_Age" queryTableFieldId="5"/>
    <tableColumn id="18" xr3:uid="{6E5346BD-979B-4109-B3B8-6B94858294FC}" uniqueName="18" name="Patient by Age Group" queryTableFieldId="21" dataDxfId="258">
      <calculatedColumnFormula>IF(MediCare_Data[[#This Row],[Patient_Age]]&lt;=18,"0-18",IF(MediCare_Data[[#This Row],[Patient_Age]]&lt;=35,"19-35",IF(MediCare_Data[[#This Row],[Patient_Age]]&lt;=60,"36-60","60+")))</calculatedColumnFormula>
    </tableColumn>
    <tableColumn id="6" xr3:uid="{925B393D-AD41-4E11-907C-291D782B42A1}" uniqueName="6" name="Insurance_Type" queryTableFieldId="6" dataDxfId="257"/>
    <tableColumn id="7" xr3:uid="{5AE2147B-1197-4365-9E05-921AD9D3CAF3}" uniqueName="7" name="Treatment_Type" queryTableFieldId="7" dataDxfId="256"/>
    <tableColumn id="8" xr3:uid="{D77E62AB-8778-4EDC-879E-122C5A739395}" uniqueName="8" name="Patient_Satisfaction_Score" queryTableFieldId="8" dataDxfId="255"/>
    <tableColumn id="9" xr3:uid="{C6A9E59F-405D-4E0E-990E-E799B61A9325}" uniqueName="9" name="Average_Treatment_Cost" queryTableFieldId="9" dataDxfId="254"/>
    <tableColumn id="10" xr3:uid="{ED8DB9C8-5360-4520-8BEE-DC39403431DF}" uniqueName="10" name="Readmission_Rate (%)" queryTableFieldId="10" dataDxfId="253"/>
    <tableColumn id="17" xr3:uid="{CDAD198F-C128-4702-887C-5CCA972979ED}" uniqueName="17" name="Readmission_Rate (%)2" queryTableFieldId="20" dataDxfId="252">
      <calculatedColumnFormula>K2/100</calculatedColumnFormula>
    </tableColumn>
    <tableColumn id="11" xr3:uid="{FA812277-12A5-4327-B50D-2777AA277FCD}" uniqueName="11" name="Average_Wait_Time (mins)" queryTableFieldId="11"/>
    <tableColumn id="21" xr3:uid="{FB0A0887-0BE3-4E4E-BD3B-4AE1FFE5D072}" uniqueName="21" name="Avg Wait Time " queryTableFieldId="19" dataDxfId="251">
      <calculatedColumnFormula>MediCare_Data[[#This Row],[Average_Wait_Time (mins)]]/1440</calculatedColumnFormula>
    </tableColumn>
    <tableColumn id="12" xr3:uid="{E1B843C3-732D-4E56-820B-99974F91F022}" uniqueName="12" name="Staff_Rating" queryTableFieldId="12" dataDxfId="250"/>
    <tableColumn id="13" xr3:uid="{515C4652-6181-458C-8FC5-44D3D8C14AE3}" uniqueName="13" name="Revenue_Generated" queryTableFieldId="13" dataDxfId="249"/>
    <tableColumn id="14" xr3:uid="{D82272DB-EC2D-40E5-B20E-AFE762D3C69E}" uniqueName="14" name="Data_Issue_noticed" queryTableFieldId="14" dataDxfId="248">
      <calculatedColumnFormula>IF(AND(MediCare_Data[[#This Row],[Patient_Gender]]="Male", MediCare_Data[[#This Row],[Treatment_Type]]="Maternity"), "Gender-Treatment Mismatch", "Fine")</calculatedColumnFormula>
    </tableColumn>
    <tableColumn id="15" xr3:uid="{8B3FBCA7-3F8E-44B0-BE34-E46C129AEF10}" uniqueName="15" name="Profit" queryTableFieldId="15" dataDxfId="247">
      <calculatedColumnFormula>MediCare_Data[[#This Row],[Revenue_Generated]]-MediCare_Data[[#This Row],[Average_Treatment_Cost]]</calculatedColumnFormula>
    </tableColumn>
    <tableColumn id="16" xr3:uid="{97EFDFDC-E475-4343-8636-C57602E64580}" uniqueName="16" name="Profit_Margin" queryTableFieldId="16" dataDxfId="246">
      <calculatedColumnFormula>(MediCare_Data[[#This Row],[Profit]]/MediCare_Data[[#This Row],[Revenue_Generated]])</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2D9BAB-8444-4296-A127-9D067AC3D7D7}" name="Table2" displayName="Table2" ref="A3:S61" totalsRowShown="0">
  <autoFilter ref="A3:S61" xr:uid="{2F2D9BAB-8444-4296-A127-9D067AC3D7D7}"/>
  <tableColumns count="19">
    <tableColumn id="1" xr3:uid="{6E2D0D6A-B1C8-4657-9072-177D00ED0849}" name="Patient ID"/>
    <tableColumn id="2" xr3:uid="{53F4092E-276F-41F0-85AB-73DA59AD00EE}" name="Doctor Name"/>
    <tableColumn id="3" xr3:uid="{903A0086-A2F7-4856-A7A5-138AEA4051C6}" name="Department"/>
    <tableColumn id="4" xr3:uid="{407DE356-6EEB-465B-BF71-361A9845CB60}" name="Patient_Gender"/>
    <tableColumn id="5" xr3:uid="{97843574-5B1C-4FDB-9EB3-713C235C4738}" name="Patient_Age"/>
    <tableColumn id="6" xr3:uid="{27466484-3A8C-497E-B3D7-1F7DFF6B3219}" name="Patient by Age Group"/>
    <tableColumn id="7" xr3:uid="{6B8AA61D-EB70-4A0A-AB9F-0C35CCEC8CCF}" name="Insurance_Type"/>
    <tableColumn id="8" xr3:uid="{CC5F9CDB-6394-49DB-97CE-9620C10E2D2D}" name="Treatment_Type"/>
    <tableColumn id="9" xr3:uid="{69FF7791-6A48-4162-98D1-C403744F9B22}" name="Patient_Satisfaction_Score"/>
    <tableColumn id="10" xr3:uid="{F8361EDF-DEF6-4328-9CC3-A8C09A104314}" name="Average_Treatment_Cost"/>
    <tableColumn id="11" xr3:uid="{BB0F6711-BFE1-4618-A768-71DA79F61F53}" name="Readmission_Rate (%)"/>
    <tableColumn id="12" xr3:uid="{4E7B8CD0-2910-4BA1-8E60-1389625FB45B}" name="Readmission_Rate (%)2"/>
    <tableColumn id="13" xr3:uid="{D013481D-29F9-4E11-9A5C-90FF0F068777}" name="Average_Wait_Time (mins)"/>
    <tableColumn id="14" xr3:uid="{6F9FA9D0-4F1A-406C-9F57-791C915BC554}" name="Avg Wait Time " dataDxfId="245"/>
    <tableColumn id="15" xr3:uid="{0ED93F9A-C2C6-4188-B3C7-DEFD7456A36D}" name="Staff_Rating"/>
    <tableColumn id="16" xr3:uid="{7D1F21D9-8D16-44FF-B5D4-E1E7DAB6D3EA}" name="Revenue_Generated"/>
    <tableColumn id="17" xr3:uid="{D2CAC1A9-7A9A-4FB0-A11B-A9819190C8CE}" name="Data_Issue_noticed"/>
    <tableColumn id="18" xr3:uid="{90E88F61-B614-401A-BB31-648C453FCC0F}" name="Profit"/>
    <tableColumn id="19" xr3:uid="{EA3199F8-49B1-468D-BA37-655C286E1D78}" name="Profit_Marg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D9C5-5228-4926-9E6A-3C514AC0A92C}">
  <dimension ref="A1:Y1001"/>
  <sheetViews>
    <sheetView topLeftCell="L20" zoomScale="55" zoomScaleNormal="55" workbookViewId="0">
      <selection activeCell="Q20" sqref="Q20"/>
    </sheetView>
  </sheetViews>
  <sheetFormatPr defaultRowHeight="15" x14ac:dyDescent="0.25"/>
  <cols>
    <col min="1" max="1" width="12.140625" bestFit="1" customWidth="1"/>
    <col min="2" max="2" width="19.140625" bestFit="1" customWidth="1"/>
    <col min="3" max="3" width="14.85546875" bestFit="1" customWidth="1"/>
    <col min="4" max="4" width="17.42578125" bestFit="1" customWidth="1"/>
    <col min="5" max="5" width="13.85546875" bestFit="1" customWidth="1"/>
    <col min="6" max="6" width="22.28515625" bestFit="1" customWidth="1"/>
    <col min="7" max="7" width="17.85546875" bestFit="1" customWidth="1"/>
    <col min="8" max="8" width="27.85546875" style="2" customWidth="1"/>
    <col min="9" max="9" width="26.140625" style="4" bestFit="1" customWidth="1"/>
    <col min="10" max="10" width="23.85546875" style="3" hidden="1" customWidth="1"/>
    <col min="11" max="11" width="27.42578125" customWidth="1"/>
    <col min="12" max="12" width="28.5703125" style="6" bestFit="1" customWidth="1"/>
    <col min="13" max="13" width="26.5703125" bestFit="1" customWidth="1"/>
    <col min="14" max="14" width="23.42578125" style="1" bestFit="1" customWidth="1"/>
    <col min="15" max="15" width="15.140625" style="3" bestFit="1" customWidth="1"/>
    <col min="16" max="16" width="11.5703125" bestFit="1" customWidth="1"/>
    <col min="17" max="17" width="28.85546875" style="16" bestFit="1" customWidth="1"/>
    <col min="18" max="18" width="15.28515625" bestFit="1" customWidth="1"/>
    <col min="19" max="21" width="32.42578125" bestFit="1" customWidth="1"/>
    <col min="22" max="22" width="20.7109375" customWidth="1"/>
    <col min="23" max="23" width="18.140625" customWidth="1"/>
    <col min="24" max="24" width="22.7109375" customWidth="1"/>
  </cols>
  <sheetData>
    <row r="1" spans="1:25" x14ac:dyDescent="0.25">
      <c r="A1" t="s">
        <v>0</v>
      </c>
      <c r="B1" t="s">
        <v>1</v>
      </c>
      <c r="C1" t="s">
        <v>2</v>
      </c>
      <c r="D1" t="s">
        <v>3</v>
      </c>
      <c r="E1" t="s">
        <v>4</v>
      </c>
      <c r="F1" t="s">
        <v>1067</v>
      </c>
      <c r="G1" t="s">
        <v>5</v>
      </c>
      <c r="H1" t="s">
        <v>6</v>
      </c>
      <c r="I1" s="2" t="s">
        <v>7</v>
      </c>
      <c r="J1" s="4" t="s">
        <v>8</v>
      </c>
      <c r="K1" s="3" t="s">
        <v>9</v>
      </c>
      <c r="L1" s="3" t="s">
        <v>1066</v>
      </c>
      <c r="M1" t="s">
        <v>10</v>
      </c>
      <c r="N1" s="7" t="s">
        <v>1085</v>
      </c>
      <c r="O1" s="2" t="s">
        <v>11</v>
      </c>
      <c r="P1" s="1" t="s">
        <v>12</v>
      </c>
      <c r="Q1" s="17" t="s">
        <v>1049</v>
      </c>
      <c r="R1" s="1" t="s">
        <v>1050</v>
      </c>
      <c r="S1" s="3" t="s">
        <v>1051</v>
      </c>
    </row>
    <row r="2" spans="1:25" x14ac:dyDescent="0.25">
      <c r="A2" t="s">
        <v>13</v>
      </c>
      <c r="B2" t="s">
        <v>14</v>
      </c>
      <c r="C2" t="s">
        <v>15</v>
      </c>
      <c r="D2" t="s">
        <v>16</v>
      </c>
      <c r="E2">
        <v>3</v>
      </c>
      <c r="F2" t="str">
        <f>IF(MediCare_Data[[#This Row],[Patient_Age]]&lt;=18,"0-18",IF(MediCare_Data[[#This Row],[Patient_Age]]&lt;=35,"19-35",IF(MediCare_Data[[#This Row],[Patient_Age]]&lt;=60,"36-60","60+")))</f>
        <v>0-18</v>
      </c>
      <c r="G2" t="s">
        <v>17</v>
      </c>
      <c r="H2" t="s">
        <v>18</v>
      </c>
      <c r="I2" s="2">
        <v>88</v>
      </c>
      <c r="J2" s="11">
        <v>1960</v>
      </c>
      <c r="K2" s="3">
        <v>18.62235708</v>
      </c>
      <c r="L2" s="3">
        <f t="shared" ref="L2:L65" si="0">K2/100</f>
        <v>0.18622357080000002</v>
      </c>
      <c r="M2">
        <v>46</v>
      </c>
      <c r="N2" s="6">
        <f>MediCare_Data[[#This Row],[Average_Wait_Time (mins)]]/1440</f>
        <v>3.1944444444444442E-2</v>
      </c>
      <c r="O2" s="2">
        <v>4</v>
      </c>
      <c r="P2" s="10">
        <v>36440</v>
      </c>
      <c r="Q2" s="17" t="str">
        <f>IF(AND(MediCare_Data[[#This Row],[Patient_Gender]]="Male", MediCare_Data[[#This Row],[Treatment_Type]]="Maternity"), "Gender-Treatment Mismatch", "Fine")</f>
        <v>Fine</v>
      </c>
      <c r="R2" s="10">
        <f>MediCare_Data[[#This Row],[Revenue_Generated]]-MediCare_Data[[#This Row],[Average_Treatment_Cost]]</f>
        <v>34480</v>
      </c>
      <c r="S2" s="3">
        <f>(MediCare_Data[[#This Row],[Profit]]/MediCare_Data[[#This Row],[Revenue_Generated]])</f>
        <v>0.94621295279912188</v>
      </c>
    </row>
    <row r="3" spans="1:25" x14ac:dyDescent="0.25">
      <c r="A3" t="s">
        <v>19</v>
      </c>
      <c r="B3" t="s">
        <v>14</v>
      </c>
      <c r="C3" t="s">
        <v>20</v>
      </c>
      <c r="D3" t="s">
        <v>21</v>
      </c>
      <c r="E3">
        <v>52</v>
      </c>
      <c r="F3" t="str">
        <f>IF(MediCare_Data[[#This Row],[Patient_Age]]&lt;=18,"0-18",IF(MediCare_Data[[#This Row],[Patient_Age]]&lt;=35,"19-35",IF(MediCare_Data[[#This Row],[Patient_Age]]&lt;=60,"36-60","60+")))</f>
        <v>36-60</v>
      </c>
      <c r="G3" t="s">
        <v>22</v>
      </c>
      <c r="H3" t="s">
        <v>23</v>
      </c>
      <c r="I3" s="2">
        <v>78</v>
      </c>
      <c r="J3" s="11">
        <v>2233</v>
      </c>
      <c r="K3" s="3">
        <v>8.6287669539999996</v>
      </c>
      <c r="L3" s="3">
        <f t="shared" si="0"/>
        <v>8.628766954E-2</v>
      </c>
      <c r="M3">
        <v>150</v>
      </c>
      <c r="N3" s="6">
        <f>MediCare_Data[[#This Row],[Average_Wait_Time (mins)]]/1440</f>
        <v>0.10416666666666667</v>
      </c>
      <c r="O3" s="2">
        <v>1</v>
      </c>
      <c r="P3" s="10">
        <v>30546</v>
      </c>
      <c r="Q3" s="17" t="str">
        <f>IF(AND(MediCare_Data[[#This Row],[Patient_Gender]]="Male", MediCare_Data[[#This Row],[Treatment_Type]]="Maternity"), "Gender-Treatment Mismatch", "Fine")</f>
        <v>Fine</v>
      </c>
      <c r="R3" s="10">
        <f>MediCare_Data[[#This Row],[Revenue_Generated]]-MediCare_Data[[#This Row],[Average_Treatment_Cost]]</f>
        <v>28313</v>
      </c>
      <c r="S3" s="3">
        <f>(MediCare_Data[[#This Row],[Profit]]/MediCare_Data[[#This Row],[Revenue_Generated]])</f>
        <v>0.92689713874157009</v>
      </c>
      <c r="V3" s="5"/>
      <c r="W3" s="5"/>
      <c r="X3" s="5"/>
      <c r="Y3" s="5"/>
    </row>
    <row r="4" spans="1:25" x14ac:dyDescent="0.25">
      <c r="A4" t="s">
        <v>24</v>
      </c>
      <c r="B4" t="s">
        <v>25</v>
      </c>
      <c r="C4" t="s">
        <v>20</v>
      </c>
      <c r="D4" t="s">
        <v>21</v>
      </c>
      <c r="E4">
        <v>79</v>
      </c>
      <c r="F4" t="str">
        <f>IF(MediCare_Data[[#This Row],[Patient_Age]]&lt;=18,"0-18",IF(MediCare_Data[[#This Row],[Patient_Age]]&lt;=35,"19-35",IF(MediCare_Data[[#This Row],[Patient_Age]]&lt;=60,"36-60","60+")))</f>
        <v>60+</v>
      </c>
      <c r="G4" t="s">
        <v>26</v>
      </c>
      <c r="H4" t="s">
        <v>18</v>
      </c>
      <c r="I4" s="2">
        <v>64</v>
      </c>
      <c r="J4" s="11">
        <v>2105</v>
      </c>
      <c r="K4" s="3">
        <v>15.50326767</v>
      </c>
      <c r="L4" s="3">
        <f t="shared" si="0"/>
        <v>0.15503267669999998</v>
      </c>
      <c r="M4">
        <v>145</v>
      </c>
      <c r="N4" s="6">
        <f>MediCare_Data[[#This Row],[Average_Wait_Time (mins)]]/1440</f>
        <v>0.10069444444444445</v>
      </c>
      <c r="O4" s="2">
        <v>2</v>
      </c>
      <c r="P4" s="10">
        <v>41047</v>
      </c>
      <c r="Q4" s="17" t="str">
        <f>IF(AND(MediCare_Data[[#This Row],[Patient_Gender]]="Male", MediCare_Data[[#This Row],[Treatment_Type]]="Maternity"), "Gender-Treatment Mismatch", "Fine")</f>
        <v>Fine</v>
      </c>
      <c r="R4" s="10">
        <f>MediCare_Data[[#This Row],[Revenue_Generated]]-MediCare_Data[[#This Row],[Average_Treatment_Cost]]</f>
        <v>38942</v>
      </c>
      <c r="S4" s="3">
        <f>(MediCare_Data[[#This Row],[Profit]]/MediCare_Data[[#This Row],[Revenue_Generated]])</f>
        <v>0.94871732404317</v>
      </c>
    </row>
    <row r="5" spans="1:25" x14ac:dyDescent="0.25">
      <c r="A5" t="s">
        <v>27</v>
      </c>
      <c r="B5" t="s">
        <v>28</v>
      </c>
      <c r="C5" t="s">
        <v>29</v>
      </c>
      <c r="D5" t="s">
        <v>16</v>
      </c>
      <c r="E5">
        <v>18</v>
      </c>
      <c r="F5" t="str">
        <f>IF(MediCare_Data[[#This Row],[Patient_Age]]&lt;=18,"0-18",IF(MediCare_Data[[#This Row],[Patient_Age]]&lt;=35,"19-35",IF(MediCare_Data[[#This Row],[Patient_Age]]&lt;=60,"36-60","60+")))</f>
        <v>0-18</v>
      </c>
      <c r="G5" t="s">
        <v>17</v>
      </c>
      <c r="H5" t="s">
        <v>18</v>
      </c>
      <c r="I5" s="2">
        <v>92</v>
      </c>
      <c r="J5" s="11">
        <v>6122</v>
      </c>
      <c r="K5" s="3">
        <v>19.18092523</v>
      </c>
      <c r="L5" s="3">
        <f t="shared" si="0"/>
        <v>0.19180925230000001</v>
      </c>
      <c r="M5">
        <v>142</v>
      </c>
      <c r="N5" s="6">
        <f>MediCare_Data[[#This Row],[Average_Wait_Time (mins)]]/1440</f>
        <v>9.8611111111111108E-2</v>
      </c>
      <c r="O5" s="2">
        <v>4</v>
      </c>
      <c r="P5" s="10">
        <v>42430</v>
      </c>
      <c r="Q5" s="17" t="str">
        <f>IF(AND(MediCare_Data[[#This Row],[Patient_Gender]]="Male", MediCare_Data[[#This Row],[Treatment_Type]]="Maternity"), "Gender-Treatment Mismatch", "Fine")</f>
        <v>Fine</v>
      </c>
      <c r="R5" s="10">
        <f>MediCare_Data[[#This Row],[Revenue_Generated]]-MediCare_Data[[#This Row],[Average_Treatment_Cost]]</f>
        <v>36308</v>
      </c>
      <c r="S5" s="3">
        <f>(MediCare_Data[[#This Row],[Profit]]/MediCare_Data[[#This Row],[Revenue_Generated]])</f>
        <v>0.8557152957812868</v>
      </c>
      <c r="U5" s="13" t="s">
        <v>1060</v>
      </c>
      <c r="V5" s="13" t="s">
        <v>1061</v>
      </c>
      <c r="W5" s="13" t="s">
        <v>1059</v>
      </c>
      <c r="X5" s="13" t="s">
        <v>1062</v>
      </c>
      <c r="Y5" s="13" t="s">
        <v>1063</v>
      </c>
    </row>
    <row r="6" spans="1:25" x14ac:dyDescent="0.25">
      <c r="A6" t="s">
        <v>30</v>
      </c>
      <c r="B6" t="s">
        <v>28</v>
      </c>
      <c r="C6" t="s">
        <v>31</v>
      </c>
      <c r="D6" t="s">
        <v>32</v>
      </c>
      <c r="E6">
        <v>62</v>
      </c>
      <c r="F6" t="str">
        <f>IF(MediCare_Data[[#This Row],[Patient_Age]]&lt;=18,"0-18",IF(MediCare_Data[[#This Row],[Patient_Age]]&lt;=35,"19-35",IF(MediCare_Data[[#This Row],[Patient_Age]]&lt;=60,"36-60","60+")))</f>
        <v>60+</v>
      </c>
      <c r="G6" t="s">
        <v>26</v>
      </c>
      <c r="H6" t="s">
        <v>33</v>
      </c>
      <c r="I6" s="2">
        <v>57</v>
      </c>
      <c r="J6" s="11">
        <v>7267</v>
      </c>
      <c r="K6" s="3">
        <v>7.1375384620000002</v>
      </c>
      <c r="L6" s="3">
        <f t="shared" si="0"/>
        <v>7.1375384619999996E-2</v>
      </c>
      <c r="M6">
        <v>137</v>
      </c>
      <c r="N6" s="6">
        <f>MediCare_Data[[#This Row],[Average_Wait_Time (mins)]]/1440</f>
        <v>9.5138888888888884E-2</v>
      </c>
      <c r="O6" s="2">
        <v>1</v>
      </c>
      <c r="P6" s="10">
        <v>2987</v>
      </c>
      <c r="Q6" s="17" t="str">
        <f>IF(AND(MediCare_Data[[#This Row],[Patient_Gender]]="Male", MediCare_Data[[#This Row],[Treatment_Type]]="Maternity"), "Gender-Treatment Mismatch", "Fine")</f>
        <v>Fine</v>
      </c>
      <c r="R6" s="10">
        <f>MediCare_Data[[#This Row],[Revenue_Generated]]-MediCare_Data[[#This Row],[Average_Treatment_Cost]]</f>
        <v>-4280</v>
      </c>
      <c r="S6" s="3">
        <f>(MediCare_Data[[#This Row],[Profit]]/MediCare_Data[[#This Row],[Revenue_Generated]])</f>
        <v>-1.4328757951121527</v>
      </c>
      <c r="U6" s="13" t="str" cm="1">
        <f t="array" ref="U6:U13">_xlfn.UNIQUE(C2:C1001)</f>
        <v>Emergency</v>
      </c>
      <c r="V6" s="14">
        <f>COUNTIF($C$2:$C$1001, "emergency")</f>
        <v>136</v>
      </c>
      <c r="W6" s="15">
        <f>SUMIF($C$2:$C$1001, "emergency", $P$2:$P$1001)</f>
        <v>3566297</v>
      </c>
      <c r="X6" s="15">
        <f>AVERAGEIF($C$2:$C$1001, "emergency", $J$2:$J$1001)</f>
        <v>4932.036764705882</v>
      </c>
      <c r="Y6" s="16">
        <f>AVERAGEIF($C$2:$C$1001, "emergency", $S$2:$S$1001)</f>
        <v>0.56760426275927778</v>
      </c>
    </row>
    <row r="7" spans="1:25" x14ac:dyDescent="0.25">
      <c r="A7" t="s">
        <v>34</v>
      </c>
      <c r="B7" t="s">
        <v>35</v>
      </c>
      <c r="C7" t="s">
        <v>36</v>
      </c>
      <c r="D7" t="s">
        <v>32</v>
      </c>
      <c r="E7">
        <v>60</v>
      </c>
      <c r="F7" t="str">
        <f>IF(MediCare_Data[[#This Row],[Patient_Age]]&lt;=18,"0-18",IF(MediCare_Data[[#This Row],[Patient_Age]]&lt;=35,"19-35",IF(MediCare_Data[[#This Row],[Patient_Age]]&lt;=60,"36-60","60+")))</f>
        <v>36-60</v>
      </c>
      <c r="G7" t="s">
        <v>22</v>
      </c>
      <c r="H7" t="s">
        <v>37</v>
      </c>
      <c r="I7" s="2">
        <v>70</v>
      </c>
      <c r="J7" s="11">
        <v>7486</v>
      </c>
      <c r="K7" s="3">
        <v>16.346244389999999</v>
      </c>
      <c r="L7" s="3">
        <f t="shared" si="0"/>
        <v>0.16346244389999998</v>
      </c>
      <c r="M7">
        <v>136</v>
      </c>
      <c r="N7" s="6">
        <f>MediCare_Data[[#This Row],[Average_Wait_Time (mins)]]/1440</f>
        <v>9.4444444444444442E-2</v>
      </c>
      <c r="O7" s="2">
        <v>4</v>
      </c>
      <c r="P7" s="10">
        <v>26105</v>
      </c>
      <c r="Q7" s="17" t="str">
        <f>IF(AND(MediCare_Data[[#This Row],[Patient_Gender]]="Male", MediCare_Data[[#This Row],[Treatment_Type]]="Maternity"), "Gender-Treatment Mismatch", "Fine")</f>
        <v>Fine</v>
      </c>
      <c r="R7" s="10">
        <f>MediCare_Data[[#This Row],[Revenue_Generated]]-MediCare_Data[[#This Row],[Average_Treatment_Cost]]</f>
        <v>18619</v>
      </c>
      <c r="S7" s="3">
        <f>(MediCare_Data[[#This Row],[Profit]]/MediCare_Data[[#This Row],[Revenue_Generated]])</f>
        <v>0.71323501244972232</v>
      </c>
      <c r="U7" s="13" t="str">
        <v>Radiology</v>
      </c>
      <c r="V7" s="14">
        <f>COUNTIF($C$2:$C$1001, "radiology")</f>
        <v>125</v>
      </c>
      <c r="W7" s="15">
        <f>SUMIF($C$2:$C$1001, "radiology", $P$2:$P$1001)</f>
        <v>3082814</v>
      </c>
      <c r="X7" s="15">
        <f>AVERAGEIF($C$2:$C$1001, "radiology", $J$2:$J$1001)</f>
        <v>5357.576</v>
      </c>
      <c r="Y7" s="16">
        <f>AVERAGEIF($C$2:$C$1001, "radiology", $S$2:$S$1001)</f>
        <v>0.61161397960446662</v>
      </c>
    </row>
    <row r="8" spans="1:25" x14ac:dyDescent="0.25">
      <c r="A8" t="s">
        <v>38</v>
      </c>
      <c r="B8" t="s">
        <v>39</v>
      </c>
      <c r="C8" t="s">
        <v>31</v>
      </c>
      <c r="D8" t="s">
        <v>32</v>
      </c>
      <c r="E8">
        <v>90</v>
      </c>
      <c r="F8" t="str">
        <f>IF(MediCare_Data[[#This Row],[Patient_Age]]&lt;=18,"0-18",IF(MediCare_Data[[#This Row],[Patient_Age]]&lt;=35,"19-35",IF(MediCare_Data[[#This Row],[Patient_Age]]&lt;=60,"36-60","60+")))</f>
        <v>60+</v>
      </c>
      <c r="G8" t="s">
        <v>26</v>
      </c>
      <c r="H8" t="s">
        <v>37</v>
      </c>
      <c r="I8" s="2">
        <v>88</v>
      </c>
      <c r="J8" s="11">
        <v>4017</v>
      </c>
      <c r="K8" s="3">
        <v>10.13125567</v>
      </c>
      <c r="L8" s="3">
        <f t="shared" si="0"/>
        <v>0.1013125567</v>
      </c>
      <c r="M8">
        <v>10</v>
      </c>
      <c r="N8" s="6">
        <f>MediCare_Data[[#This Row],[Average_Wait_Time (mins)]]/1440</f>
        <v>6.9444444444444441E-3</v>
      </c>
      <c r="O8" s="2">
        <v>4</v>
      </c>
      <c r="P8" s="10">
        <v>13948</v>
      </c>
      <c r="Q8" s="17" t="str">
        <f>IF(AND(MediCare_Data[[#This Row],[Patient_Gender]]="Male", MediCare_Data[[#This Row],[Treatment_Type]]="Maternity"), "Gender-Treatment Mismatch", "Fine")</f>
        <v>Fine</v>
      </c>
      <c r="R8" s="10">
        <f>MediCare_Data[[#This Row],[Revenue_Generated]]-MediCare_Data[[#This Row],[Average_Treatment_Cost]]</f>
        <v>9931</v>
      </c>
      <c r="S8" s="3">
        <f>(MediCare_Data[[#This Row],[Profit]]/MediCare_Data[[#This Row],[Revenue_Generated]])</f>
        <v>0.71200172067679957</v>
      </c>
      <c r="U8" s="13" t="str">
        <v>Pediatrics</v>
      </c>
      <c r="V8" s="14">
        <f>COUNTIF($C$2:$C$1001, "pediatrics")</f>
        <v>125</v>
      </c>
      <c r="W8" s="15">
        <f>SUMIF($C$2:$C$1001, "pediatrics", $P$2:$P$1001)</f>
        <v>3152489</v>
      </c>
      <c r="X8" s="15">
        <f>AVERAGEIF($C$2:$C$1001, "pediatrics", $J$2:$J$1001)</f>
        <v>5070.1279999999997</v>
      </c>
      <c r="Y8" s="16">
        <f>AVERAGEIF($C$2:$C$1001, "pediatrics", $S$2:$S$1001)</f>
        <v>0.62190493308362438</v>
      </c>
    </row>
    <row r="9" spans="1:25" x14ac:dyDescent="0.25">
      <c r="A9" t="s">
        <v>40</v>
      </c>
      <c r="B9" t="s">
        <v>41</v>
      </c>
      <c r="C9" t="s">
        <v>42</v>
      </c>
      <c r="D9" t="s">
        <v>32</v>
      </c>
      <c r="E9">
        <v>26</v>
      </c>
      <c r="F9" t="str">
        <f>IF(MediCare_Data[[#This Row],[Patient_Age]]&lt;=18,"0-18",IF(MediCare_Data[[#This Row],[Patient_Age]]&lt;=35,"19-35",IF(MediCare_Data[[#This Row],[Patient_Age]]&lt;=60,"36-60","60+")))</f>
        <v>19-35</v>
      </c>
      <c r="G9" t="s">
        <v>43</v>
      </c>
      <c r="H9" t="s">
        <v>18</v>
      </c>
      <c r="I9" s="2">
        <v>68</v>
      </c>
      <c r="J9" s="11">
        <v>4235</v>
      </c>
      <c r="K9" s="3">
        <v>24.258537499999999</v>
      </c>
      <c r="L9" s="3">
        <f t="shared" si="0"/>
        <v>0.24258537499999999</v>
      </c>
      <c r="M9">
        <v>173</v>
      </c>
      <c r="N9" s="6">
        <f>MediCare_Data[[#This Row],[Average_Wait_Time (mins)]]/1440</f>
        <v>0.12013888888888889</v>
      </c>
      <c r="O9" s="2">
        <v>1</v>
      </c>
      <c r="P9" s="10">
        <v>14026</v>
      </c>
      <c r="Q9" s="17" t="str">
        <f>IF(AND(MediCare_Data[[#This Row],[Patient_Gender]]="Male", MediCare_Data[[#This Row],[Treatment_Type]]="Maternity"), "Gender-Treatment Mismatch", "Fine")</f>
        <v>Fine</v>
      </c>
      <c r="R9" s="10">
        <f>MediCare_Data[[#This Row],[Revenue_Generated]]-MediCare_Data[[#This Row],[Average_Treatment_Cost]]</f>
        <v>9791</v>
      </c>
      <c r="S9" s="3">
        <f>(MediCare_Data[[#This Row],[Profit]]/MediCare_Data[[#This Row],[Revenue_Generated]])</f>
        <v>0.69806074433195497</v>
      </c>
      <c r="U9" s="13" t="str">
        <v>Orthopedics</v>
      </c>
      <c r="V9" s="14">
        <f>COUNTIF($C$2:$C$1001, "orthopedics")</f>
        <v>119</v>
      </c>
      <c r="W9" s="15">
        <f>SUMIF($C$2:$C$1001, "orthopedics", $P$2:$P$1001)</f>
        <v>3212250</v>
      </c>
      <c r="X9" s="15">
        <f>AVERAGEIF($C$2:$C$1001, "orthopedics", $J$2:$J$1001)</f>
        <v>5132.9663865546217</v>
      </c>
      <c r="Y9" s="16">
        <f>AVERAGEIF($C$2:$C$1001, "orthopedics", $S$2:$S$1001)</f>
        <v>0.62574709825782482</v>
      </c>
    </row>
    <row r="10" spans="1:25" x14ac:dyDescent="0.25">
      <c r="A10" t="s">
        <v>44</v>
      </c>
      <c r="B10" t="s">
        <v>45</v>
      </c>
      <c r="C10" t="s">
        <v>46</v>
      </c>
      <c r="D10" t="s">
        <v>16</v>
      </c>
      <c r="E10">
        <v>14</v>
      </c>
      <c r="F10" t="str">
        <f>IF(MediCare_Data[[#This Row],[Patient_Age]]&lt;=18,"0-18",IF(MediCare_Data[[#This Row],[Patient_Age]]&lt;=35,"19-35",IF(MediCare_Data[[#This Row],[Patient_Age]]&lt;=60,"36-60","60+")))</f>
        <v>0-18</v>
      </c>
      <c r="G10" t="s">
        <v>26</v>
      </c>
      <c r="H10" t="s">
        <v>47</v>
      </c>
      <c r="I10" s="2">
        <v>72</v>
      </c>
      <c r="J10" s="11">
        <v>9852</v>
      </c>
      <c r="K10" s="3">
        <v>14.67091293</v>
      </c>
      <c r="L10" s="3">
        <f t="shared" si="0"/>
        <v>0.14670912929999999</v>
      </c>
      <c r="M10">
        <v>44</v>
      </c>
      <c r="N10" s="6">
        <f>MediCare_Data[[#This Row],[Average_Wait_Time (mins)]]/1440</f>
        <v>3.0555555555555555E-2</v>
      </c>
      <c r="O10" s="2">
        <v>1</v>
      </c>
      <c r="P10" s="10">
        <v>3773</v>
      </c>
      <c r="Q10" s="17" t="str">
        <f>IF(AND(MediCare_Data[[#This Row],[Patient_Gender]]="Male", MediCare_Data[[#This Row],[Treatment_Type]]="Maternity"), "Gender-Treatment Mismatch", "Fine")</f>
        <v>Fine</v>
      </c>
      <c r="R10" s="10">
        <f>MediCare_Data[[#This Row],[Revenue_Generated]]-MediCare_Data[[#This Row],[Average_Treatment_Cost]]</f>
        <v>-6079</v>
      </c>
      <c r="S10" s="3">
        <f>(MediCare_Data[[#This Row],[Profit]]/MediCare_Data[[#This Row],[Revenue_Generated]])</f>
        <v>-1.6111847336337133</v>
      </c>
      <c r="U10" s="13" t="str">
        <v>General Surgery</v>
      </c>
      <c r="V10" s="14">
        <f>COUNTIF($C$2:$C$1001, "general surgery")</f>
        <v>122</v>
      </c>
      <c r="W10" s="15">
        <f>SUMIF($C$2:$C$1001, "general surgery", $P$2:$P$1001)</f>
        <v>3112176</v>
      </c>
      <c r="X10" s="15">
        <f>AVERAGEIF($C$2:$C$1001, "general surgery", $J$2:$J$1001)</f>
        <v>5589.7868852459014</v>
      </c>
      <c r="Y10" s="16">
        <f>AVERAGEIF($C$2:$C$1001, "general surgery", $S$2:$S$1001)</f>
        <v>0.54117707432746687</v>
      </c>
    </row>
    <row r="11" spans="1:25" x14ac:dyDescent="0.25">
      <c r="A11" t="s">
        <v>48</v>
      </c>
      <c r="B11" t="s">
        <v>49</v>
      </c>
      <c r="C11" t="s">
        <v>29</v>
      </c>
      <c r="D11" t="s">
        <v>32</v>
      </c>
      <c r="E11">
        <v>71</v>
      </c>
      <c r="F11" t="str">
        <f>IF(MediCare_Data[[#This Row],[Patient_Age]]&lt;=18,"0-18",IF(MediCare_Data[[#This Row],[Patient_Age]]&lt;=35,"19-35",IF(MediCare_Data[[#This Row],[Patient_Age]]&lt;=60,"36-60","60+")))</f>
        <v>60+</v>
      </c>
      <c r="G11" t="s">
        <v>43</v>
      </c>
      <c r="H11" t="s">
        <v>18</v>
      </c>
      <c r="I11" s="2">
        <v>60</v>
      </c>
      <c r="J11" s="11">
        <v>8934</v>
      </c>
      <c r="K11" s="3">
        <v>21.119851000000001</v>
      </c>
      <c r="L11" s="3">
        <f t="shared" si="0"/>
        <v>0.21119851000000001</v>
      </c>
      <c r="M11">
        <v>113</v>
      </c>
      <c r="N11" s="6">
        <f>MediCare_Data[[#This Row],[Average_Wait_Time (mins)]]/1440</f>
        <v>7.8472222222222221E-2</v>
      </c>
      <c r="O11" s="2">
        <v>1</v>
      </c>
      <c r="P11" s="10">
        <v>46927</v>
      </c>
      <c r="Q11" s="17" t="str">
        <f>IF(AND(MediCare_Data[[#This Row],[Patient_Gender]]="Male", MediCare_Data[[#This Row],[Treatment_Type]]="Maternity"), "Gender-Treatment Mismatch", "Fine")</f>
        <v>Fine</v>
      </c>
      <c r="R11" s="10">
        <f>MediCare_Data[[#This Row],[Revenue_Generated]]-MediCare_Data[[#This Row],[Average_Treatment_Cost]]</f>
        <v>37993</v>
      </c>
      <c r="S11" s="3">
        <f>(MediCare_Data[[#This Row],[Profit]]/MediCare_Data[[#This Row],[Revenue_Generated]])</f>
        <v>0.8096191957721568</v>
      </c>
      <c r="U11" s="13" t="str">
        <v>Cardiology</v>
      </c>
      <c r="V11" s="14">
        <f>COUNTIF($C$2:$C$1002, "cardiology")</f>
        <v>113</v>
      </c>
      <c r="W11" s="15">
        <f>SUMIF($C$2:$C$1001, "cardiology", $P$2:$P$1001)</f>
        <v>2982972</v>
      </c>
      <c r="X11" s="15">
        <f>AVERAGEIF($C$2:$C$1001, "cardiology", $J$2:$J$1001)</f>
        <v>5489.6017699115046</v>
      </c>
      <c r="Y11" s="16">
        <f>AVERAGEIF($C$2:$C$1001, "cardiology", $S$2:$S$1001)</f>
        <v>0.65816973113987454</v>
      </c>
    </row>
    <row r="12" spans="1:25" x14ac:dyDescent="0.25">
      <c r="A12" t="s">
        <v>50</v>
      </c>
      <c r="B12" t="s">
        <v>49</v>
      </c>
      <c r="C12" t="s">
        <v>42</v>
      </c>
      <c r="D12" t="s">
        <v>32</v>
      </c>
      <c r="E12">
        <v>79</v>
      </c>
      <c r="F12" t="str">
        <f>IF(MediCare_Data[[#This Row],[Patient_Age]]&lt;=18,"0-18",IF(MediCare_Data[[#This Row],[Patient_Age]]&lt;=35,"19-35",IF(MediCare_Data[[#This Row],[Patient_Age]]&lt;=60,"36-60","60+")))</f>
        <v>60+</v>
      </c>
      <c r="G12" t="s">
        <v>22</v>
      </c>
      <c r="H12" t="s">
        <v>51</v>
      </c>
      <c r="I12" s="2">
        <v>60</v>
      </c>
      <c r="J12" s="11">
        <v>3090</v>
      </c>
      <c r="K12" s="3">
        <v>16.004530840000001</v>
      </c>
      <c r="L12" s="3">
        <f t="shared" si="0"/>
        <v>0.1600453084</v>
      </c>
      <c r="M12">
        <v>32</v>
      </c>
      <c r="N12" s="6">
        <f>MediCare_Data[[#This Row],[Average_Wait_Time (mins)]]/1440</f>
        <v>2.2222222222222223E-2</v>
      </c>
      <c r="O12" s="2">
        <v>2</v>
      </c>
      <c r="P12" s="10">
        <v>10878</v>
      </c>
      <c r="Q12" s="17" t="str">
        <f>IF(AND(MediCare_Data[[#This Row],[Patient_Gender]]="Male", MediCare_Data[[#This Row],[Treatment_Type]]="Maternity"), "Gender-Treatment Mismatch", "Fine")</f>
        <v>Fine</v>
      </c>
      <c r="R12" s="10">
        <f>MediCare_Data[[#This Row],[Revenue_Generated]]-MediCare_Data[[#This Row],[Average_Treatment_Cost]]</f>
        <v>7788</v>
      </c>
      <c r="S12" s="3">
        <f>(MediCare_Data[[#This Row],[Profit]]/MediCare_Data[[#This Row],[Revenue_Generated]])</f>
        <v>0.71594043022614451</v>
      </c>
      <c r="U12" s="13" t="str">
        <v>Neurology</v>
      </c>
      <c r="V12" s="14">
        <f>COUNTIF($C$2:$C$1001, "neurology")</f>
        <v>134</v>
      </c>
      <c r="W12" s="15">
        <f>SUMIF($C$2:$C$1001, "neurology", $P$2:$P$1001)</f>
        <v>3232409</v>
      </c>
      <c r="X12" s="15">
        <f>AVERAGEIF($C$2:$C$1001, "neurology", $J$2:$J$1001)</f>
        <v>5033.5746268656712</v>
      </c>
      <c r="Y12" s="16">
        <f>AVERAGEIF($C$2:$C$1001, "neurology", $S$2:$S$1001)</f>
        <v>0.57567617157230799</v>
      </c>
    </row>
    <row r="13" spans="1:25" x14ac:dyDescent="0.25">
      <c r="A13" t="s">
        <v>52</v>
      </c>
      <c r="B13" t="s">
        <v>53</v>
      </c>
      <c r="C13" t="s">
        <v>54</v>
      </c>
      <c r="D13" t="s">
        <v>32</v>
      </c>
      <c r="E13">
        <v>3</v>
      </c>
      <c r="F13" t="str">
        <f>IF(MediCare_Data[[#This Row],[Patient_Age]]&lt;=18,"0-18",IF(MediCare_Data[[#This Row],[Patient_Age]]&lt;=35,"19-35",IF(MediCare_Data[[#This Row],[Patient_Age]]&lt;=60,"36-60","60+")))</f>
        <v>0-18</v>
      </c>
      <c r="G13" t="s">
        <v>22</v>
      </c>
      <c r="H13" t="s">
        <v>18</v>
      </c>
      <c r="I13" s="2">
        <v>73</v>
      </c>
      <c r="J13" s="11">
        <v>1563</v>
      </c>
      <c r="K13" s="3">
        <v>5.8682506569999999</v>
      </c>
      <c r="L13" s="3">
        <f t="shared" si="0"/>
        <v>5.8682506570000001E-2</v>
      </c>
      <c r="M13">
        <v>18</v>
      </c>
      <c r="N13" s="6">
        <f>MediCare_Data[[#This Row],[Average_Wait_Time (mins)]]/1440</f>
        <v>1.2500000000000001E-2</v>
      </c>
      <c r="O13" s="2">
        <v>4</v>
      </c>
      <c r="P13" s="10">
        <v>43946</v>
      </c>
      <c r="Q13" s="17" t="str">
        <f>IF(AND(MediCare_Data[[#This Row],[Patient_Gender]]="Male", MediCare_Data[[#This Row],[Treatment_Type]]="Maternity"), "Gender-Treatment Mismatch", "Fine")</f>
        <v>Fine</v>
      </c>
      <c r="R13" s="10">
        <f>MediCare_Data[[#This Row],[Revenue_Generated]]-MediCare_Data[[#This Row],[Average_Treatment_Cost]]</f>
        <v>42383</v>
      </c>
      <c r="S13" s="3">
        <f>(MediCare_Data[[#This Row],[Profit]]/MediCare_Data[[#This Row],[Revenue_Generated]])</f>
        <v>0.96443362308287439</v>
      </c>
      <c r="U13" s="13" t="str">
        <v>Oncology</v>
      </c>
      <c r="V13" s="14">
        <f>COUNTIF($C$2:$C$1001, "oncology")</f>
        <v>126</v>
      </c>
      <c r="W13" s="15">
        <f>SUMIF($C$2:$C$1001, "oncology", $P$2:$P$1001)</f>
        <v>3494334</v>
      </c>
      <c r="X13" s="15">
        <f>AVERAGEIF($C$2:$C$1001, "oncology", $J$2:$J$1001)</f>
        <v>5298.436507936508</v>
      </c>
      <c r="Y13" s="16">
        <f>AVERAGEIF($C$2:$C$1001, "oncology", $S$2:$S$1001)</f>
        <v>0.63899577606252311</v>
      </c>
    </row>
    <row r="14" spans="1:25" x14ac:dyDescent="0.25">
      <c r="A14" t="s">
        <v>55</v>
      </c>
      <c r="B14" t="s">
        <v>56</v>
      </c>
      <c r="C14" t="s">
        <v>15</v>
      </c>
      <c r="D14" t="s">
        <v>21</v>
      </c>
      <c r="E14">
        <v>15</v>
      </c>
      <c r="F14" t="str">
        <f>IF(MediCare_Data[[#This Row],[Patient_Age]]&lt;=18,"0-18",IF(MediCare_Data[[#This Row],[Patient_Age]]&lt;=35,"19-35",IF(MediCare_Data[[#This Row],[Patient_Age]]&lt;=60,"36-60","60+")))</f>
        <v>0-18</v>
      </c>
      <c r="G14" t="s">
        <v>17</v>
      </c>
      <c r="H14" t="s">
        <v>18</v>
      </c>
      <c r="I14" s="2">
        <v>85</v>
      </c>
      <c r="J14" s="11">
        <v>4824</v>
      </c>
      <c r="K14" s="3">
        <v>17.663027509999999</v>
      </c>
      <c r="L14" s="3">
        <f t="shared" si="0"/>
        <v>0.17663027509999998</v>
      </c>
      <c r="M14">
        <v>43</v>
      </c>
      <c r="N14" s="6">
        <f>MediCare_Data[[#This Row],[Average_Wait_Time (mins)]]/1440</f>
        <v>2.9861111111111113E-2</v>
      </c>
      <c r="O14" s="2">
        <v>1</v>
      </c>
      <c r="P14" s="10">
        <v>11377</v>
      </c>
      <c r="Q14" s="17" t="str">
        <f>IF(AND(MediCare_Data[[#This Row],[Patient_Gender]]="Male", MediCare_Data[[#This Row],[Treatment_Type]]="Maternity"), "Gender-Treatment Mismatch", "Fine")</f>
        <v>Fine</v>
      </c>
      <c r="R14" s="10">
        <f>MediCare_Data[[#This Row],[Revenue_Generated]]-MediCare_Data[[#This Row],[Average_Treatment_Cost]]</f>
        <v>6553</v>
      </c>
      <c r="S14" s="3">
        <f>(MediCare_Data[[#This Row],[Profit]]/MediCare_Data[[#This Row],[Revenue_Generated]])</f>
        <v>0.57598663971169906</v>
      </c>
    </row>
    <row r="15" spans="1:25" x14ac:dyDescent="0.25">
      <c r="A15" t="s">
        <v>57</v>
      </c>
      <c r="B15" t="s">
        <v>58</v>
      </c>
      <c r="C15" t="s">
        <v>54</v>
      </c>
      <c r="D15" t="s">
        <v>16</v>
      </c>
      <c r="E15">
        <v>21</v>
      </c>
      <c r="F15" t="str">
        <f>IF(MediCare_Data[[#This Row],[Patient_Age]]&lt;=18,"0-18",IF(MediCare_Data[[#This Row],[Patient_Age]]&lt;=35,"19-35",IF(MediCare_Data[[#This Row],[Patient_Age]]&lt;=60,"36-60","60+")))</f>
        <v>19-35</v>
      </c>
      <c r="G15" t="s">
        <v>43</v>
      </c>
      <c r="H15" t="s">
        <v>51</v>
      </c>
      <c r="I15" s="2">
        <v>89</v>
      </c>
      <c r="J15" s="11">
        <v>9611</v>
      </c>
      <c r="K15" s="3">
        <v>24.028066840000001</v>
      </c>
      <c r="L15" s="3">
        <f t="shared" si="0"/>
        <v>0.24028066840000001</v>
      </c>
      <c r="M15">
        <v>137</v>
      </c>
      <c r="N15" s="6">
        <f>MediCare_Data[[#This Row],[Average_Wait_Time (mins)]]/1440</f>
        <v>9.5138888888888884E-2</v>
      </c>
      <c r="O15" s="2">
        <v>3</v>
      </c>
      <c r="P15" s="10">
        <v>8347</v>
      </c>
      <c r="Q15" s="17" t="str">
        <f>IF(AND(MediCare_Data[[#This Row],[Patient_Gender]]="Male", MediCare_Data[[#This Row],[Treatment_Type]]="Maternity"), "Gender-Treatment Mismatch", "Fine")</f>
        <v>Fine</v>
      </c>
      <c r="R15" s="10">
        <f>MediCare_Data[[#This Row],[Revenue_Generated]]-MediCare_Data[[#This Row],[Average_Treatment_Cost]]</f>
        <v>-1264</v>
      </c>
      <c r="S15" s="3">
        <f>(MediCare_Data[[#This Row],[Profit]]/MediCare_Data[[#This Row],[Revenue_Generated]])</f>
        <v>-0.15143165209057147</v>
      </c>
    </row>
    <row r="16" spans="1:25" x14ac:dyDescent="0.25">
      <c r="A16" t="s">
        <v>59</v>
      </c>
      <c r="B16" t="s">
        <v>39</v>
      </c>
      <c r="C16" t="s">
        <v>42</v>
      </c>
      <c r="D16" t="s">
        <v>32</v>
      </c>
      <c r="E16">
        <v>29</v>
      </c>
      <c r="F16" t="str">
        <f>IF(MediCare_Data[[#This Row],[Patient_Age]]&lt;=18,"0-18",IF(MediCare_Data[[#This Row],[Patient_Age]]&lt;=35,"19-35",IF(MediCare_Data[[#This Row],[Patient_Age]]&lt;=60,"36-60","60+")))</f>
        <v>19-35</v>
      </c>
      <c r="G16" t="s">
        <v>17</v>
      </c>
      <c r="H16" t="s">
        <v>33</v>
      </c>
      <c r="I16" s="2">
        <v>73</v>
      </c>
      <c r="J16" s="11">
        <v>5842</v>
      </c>
      <c r="K16" s="3">
        <v>17.032236399999999</v>
      </c>
      <c r="L16" s="3">
        <f t="shared" si="0"/>
        <v>0.17032236399999998</v>
      </c>
      <c r="M16">
        <v>13</v>
      </c>
      <c r="N16" s="6">
        <f>MediCare_Data[[#This Row],[Average_Wait_Time (mins)]]/1440</f>
        <v>9.0277777777777769E-3</v>
      </c>
      <c r="O16" s="2">
        <v>4</v>
      </c>
      <c r="P16" s="10">
        <v>34776</v>
      </c>
      <c r="Q16" s="17" t="str">
        <f>IF(AND(MediCare_Data[[#This Row],[Patient_Gender]]="Male", MediCare_Data[[#This Row],[Treatment_Type]]="Maternity"), "Gender-Treatment Mismatch", "Fine")</f>
        <v>Fine</v>
      </c>
      <c r="R16" s="10">
        <f>MediCare_Data[[#This Row],[Revenue_Generated]]-MediCare_Data[[#This Row],[Average_Treatment_Cost]]</f>
        <v>28934</v>
      </c>
      <c r="S16" s="3">
        <f>(MediCare_Data[[#This Row],[Profit]]/MediCare_Data[[#This Row],[Revenue_Generated]])</f>
        <v>0.83201058201058198</v>
      </c>
    </row>
    <row r="17" spans="1:25" x14ac:dyDescent="0.25">
      <c r="A17" t="s">
        <v>60</v>
      </c>
      <c r="B17" t="s">
        <v>61</v>
      </c>
      <c r="C17" t="s">
        <v>15</v>
      </c>
      <c r="D17" t="s">
        <v>32</v>
      </c>
      <c r="E17">
        <v>50</v>
      </c>
      <c r="F17" t="str">
        <f>IF(MediCare_Data[[#This Row],[Patient_Age]]&lt;=18,"0-18",IF(MediCare_Data[[#This Row],[Patient_Age]]&lt;=35,"19-35",IF(MediCare_Data[[#This Row],[Patient_Age]]&lt;=60,"36-60","60+")))</f>
        <v>36-60</v>
      </c>
      <c r="G17" t="s">
        <v>17</v>
      </c>
      <c r="H17" t="s">
        <v>18</v>
      </c>
      <c r="I17" s="2">
        <v>52</v>
      </c>
      <c r="J17" s="11">
        <v>505</v>
      </c>
      <c r="K17" s="3">
        <v>21.38377719</v>
      </c>
      <c r="L17" s="3">
        <f t="shared" si="0"/>
        <v>0.2138377719</v>
      </c>
      <c r="M17">
        <v>167</v>
      </c>
      <c r="N17" s="6">
        <f>MediCare_Data[[#This Row],[Average_Wait_Time (mins)]]/1440</f>
        <v>0.11597222222222223</v>
      </c>
      <c r="O17" s="2">
        <v>3</v>
      </c>
      <c r="P17" s="10">
        <v>4783</v>
      </c>
      <c r="Q17" s="17" t="str">
        <f>IF(AND(MediCare_Data[[#This Row],[Patient_Gender]]="Male", MediCare_Data[[#This Row],[Treatment_Type]]="Maternity"), "Gender-Treatment Mismatch", "Fine")</f>
        <v>Fine</v>
      </c>
      <c r="R17" s="10">
        <f>MediCare_Data[[#This Row],[Revenue_Generated]]-MediCare_Data[[#This Row],[Average_Treatment_Cost]]</f>
        <v>4278</v>
      </c>
      <c r="S17" s="3">
        <f>(MediCare_Data[[#This Row],[Profit]]/MediCare_Data[[#This Row],[Revenue_Generated]])</f>
        <v>0.89441772945849884</v>
      </c>
    </row>
    <row r="18" spans="1:25" x14ac:dyDescent="0.25">
      <c r="A18" t="s">
        <v>62</v>
      </c>
      <c r="B18" t="s">
        <v>39</v>
      </c>
      <c r="C18" t="s">
        <v>20</v>
      </c>
      <c r="D18" t="s">
        <v>21</v>
      </c>
      <c r="E18">
        <v>27</v>
      </c>
      <c r="F18" t="str">
        <f>IF(MediCare_Data[[#This Row],[Patient_Age]]&lt;=18,"0-18",IF(MediCare_Data[[#This Row],[Patient_Age]]&lt;=35,"19-35",IF(MediCare_Data[[#This Row],[Patient_Age]]&lt;=60,"36-60","60+")))</f>
        <v>19-35</v>
      </c>
      <c r="G18" t="s">
        <v>22</v>
      </c>
      <c r="H18" t="s">
        <v>18</v>
      </c>
      <c r="I18" s="2">
        <v>71</v>
      </c>
      <c r="J18" s="11">
        <v>7989</v>
      </c>
      <c r="K18" s="3">
        <v>22.68412927</v>
      </c>
      <c r="L18" s="3">
        <f t="shared" si="0"/>
        <v>0.2268412927</v>
      </c>
      <c r="M18">
        <v>111</v>
      </c>
      <c r="N18" s="6">
        <f>MediCare_Data[[#This Row],[Average_Wait_Time (mins)]]/1440</f>
        <v>7.7083333333333337E-2</v>
      </c>
      <c r="O18" s="2">
        <v>2</v>
      </c>
      <c r="P18" s="10">
        <v>5298</v>
      </c>
      <c r="Q18" s="17" t="str">
        <f>IF(AND(MediCare_Data[[#This Row],[Patient_Gender]]="Male", MediCare_Data[[#This Row],[Treatment_Type]]="Maternity"), "Gender-Treatment Mismatch", "Fine")</f>
        <v>Fine</v>
      </c>
      <c r="R18" s="10">
        <f>MediCare_Data[[#This Row],[Revenue_Generated]]-MediCare_Data[[#This Row],[Average_Treatment_Cost]]</f>
        <v>-2691</v>
      </c>
      <c r="S18" s="3">
        <f>(MediCare_Data[[#This Row],[Profit]]/MediCare_Data[[#This Row],[Revenue_Generated]])</f>
        <v>-0.50792751981879958</v>
      </c>
      <c r="U18" s="5" t="s">
        <v>1065</v>
      </c>
      <c r="V18" s="15">
        <f>MAX(W6:W13)</f>
        <v>3566297</v>
      </c>
      <c r="W18" t="str">
        <f>INDEX(U6:U13, MATCH(MAX(W6:W13), W6:W13, 0))</f>
        <v>Emergency</v>
      </c>
    </row>
    <row r="19" spans="1:25" x14ac:dyDescent="0.25">
      <c r="A19" t="s">
        <v>63</v>
      </c>
      <c r="B19" t="s">
        <v>64</v>
      </c>
      <c r="C19" t="s">
        <v>54</v>
      </c>
      <c r="D19" t="s">
        <v>32</v>
      </c>
      <c r="E19">
        <v>21</v>
      </c>
      <c r="F19" t="str">
        <f>IF(MediCare_Data[[#This Row],[Patient_Age]]&lt;=18,"0-18",IF(MediCare_Data[[#This Row],[Patient_Age]]&lt;=35,"19-35",IF(MediCare_Data[[#This Row],[Patient_Age]]&lt;=60,"36-60","60+")))</f>
        <v>19-35</v>
      </c>
      <c r="G19" t="s">
        <v>26</v>
      </c>
      <c r="H19" t="s">
        <v>18</v>
      </c>
      <c r="I19" s="2">
        <v>51</v>
      </c>
      <c r="J19" s="11">
        <v>9159</v>
      </c>
      <c r="K19" s="3">
        <v>9.5615954389999995</v>
      </c>
      <c r="L19" s="3">
        <f t="shared" si="0"/>
        <v>9.5615954389999994E-2</v>
      </c>
      <c r="M19">
        <v>84</v>
      </c>
      <c r="N19" s="6">
        <f>MediCare_Data[[#This Row],[Average_Wait_Time (mins)]]/1440</f>
        <v>5.8333333333333334E-2</v>
      </c>
      <c r="O19" s="2">
        <v>1</v>
      </c>
      <c r="P19" s="10">
        <v>5668</v>
      </c>
      <c r="Q19" s="17" t="str">
        <f>IF(AND(MediCare_Data[[#This Row],[Patient_Gender]]="Male", MediCare_Data[[#This Row],[Treatment_Type]]="Maternity"), "Gender-Treatment Mismatch", "Fine")</f>
        <v>Fine</v>
      </c>
      <c r="R19" s="10">
        <f>MediCare_Data[[#This Row],[Revenue_Generated]]-MediCare_Data[[#This Row],[Average_Treatment_Cost]]</f>
        <v>-3491</v>
      </c>
      <c r="S19" s="3">
        <f>(MediCare_Data[[#This Row],[Profit]]/MediCare_Data[[#This Row],[Revenue_Generated]])</f>
        <v>-0.61591390261115031</v>
      </c>
      <c r="V19" s="17"/>
      <c r="Y19" s="5"/>
    </row>
    <row r="20" spans="1:25" x14ac:dyDescent="0.25">
      <c r="A20" t="s">
        <v>65</v>
      </c>
      <c r="B20" t="s">
        <v>45</v>
      </c>
      <c r="C20" t="s">
        <v>31</v>
      </c>
      <c r="D20" t="s">
        <v>32</v>
      </c>
      <c r="E20">
        <v>27</v>
      </c>
      <c r="F20" t="str">
        <f>IF(MediCare_Data[[#This Row],[Patient_Age]]&lt;=18,"0-18",IF(MediCare_Data[[#This Row],[Patient_Age]]&lt;=35,"19-35",IF(MediCare_Data[[#This Row],[Patient_Age]]&lt;=60,"36-60","60+")))</f>
        <v>19-35</v>
      </c>
      <c r="G20" t="s">
        <v>22</v>
      </c>
      <c r="H20" t="s">
        <v>37</v>
      </c>
      <c r="I20" s="2">
        <v>73</v>
      </c>
      <c r="J20" s="11">
        <v>8695</v>
      </c>
      <c r="K20" s="3">
        <v>9.2408967979999996</v>
      </c>
      <c r="L20" s="3">
        <f t="shared" si="0"/>
        <v>9.2408967979999992E-2</v>
      </c>
      <c r="M20">
        <v>108</v>
      </c>
      <c r="N20" s="6">
        <f>MediCare_Data[[#This Row],[Average_Wait_Time (mins)]]/1440</f>
        <v>7.4999999999999997E-2</v>
      </c>
      <c r="O20" s="2">
        <v>3</v>
      </c>
      <c r="P20" s="10">
        <v>21671</v>
      </c>
      <c r="Q20" s="17" t="str">
        <f>IF(AND(MediCare_Data[[#This Row],[Patient_Gender]]="Male", MediCare_Data[[#This Row],[Treatment_Type]]="Maternity"), "Gender-Treatment Mismatch", "Fine")</f>
        <v>Fine</v>
      </c>
      <c r="R20" s="10">
        <f>MediCare_Data[[#This Row],[Revenue_Generated]]-MediCare_Data[[#This Row],[Average_Treatment_Cost]]</f>
        <v>12976</v>
      </c>
      <c r="S20" s="3">
        <f>(MediCare_Data[[#This Row],[Profit]]/MediCare_Data[[#This Row],[Revenue_Generated]])</f>
        <v>0.59877255318167133</v>
      </c>
      <c r="U20" s="5" t="s">
        <v>1064</v>
      </c>
      <c r="V20" s="15">
        <f>MIN(W6:W13)</f>
        <v>2982972</v>
      </c>
      <c r="W20" t="str">
        <f>INDEX(U6:U13, MATCH(MIN(W6:W13), W6:W13, 0))</f>
        <v>Cardiology</v>
      </c>
      <c r="Y20" s="5"/>
    </row>
    <row r="21" spans="1:25" x14ac:dyDescent="0.25">
      <c r="A21" t="s">
        <v>66</v>
      </c>
      <c r="B21" t="s">
        <v>25</v>
      </c>
      <c r="C21" t="s">
        <v>42</v>
      </c>
      <c r="D21" t="s">
        <v>16</v>
      </c>
      <c r="E21">
        <v>21</v>
      </c>
      <c r="F21" t="str">
        <f>IF(MediCare_Data[[#This Row],[Patient_Age]]&lt;=18,"0-18",IF(MediCare_Data[[#This Row],[Patient_Age]]&lt;=35,"19-35",IF(MediCare_Data[[#This Row],[Patient_Age]]&lt;=60,"36-60","60+")))</f>
        <v>19-35</v>
      </c>
      <c r="G21" t="s">
        <v>22</v>
      </c>
      <c r="H21" t="s">
        <v>23</v>
      </c>
      <c r="I21" s="2">
        <v>93</v>
      </c>
      <c r="J21" s="11">
        <v>6466</v>
      </c>
      <c r="K21" s="3">
        <v>17.219619779999999</v>
      </c>
      <c r="L21" s="3">
        <f t="shared" si="0"/>
        <v>0.17219619779999998</v>
      </c>
      <c r="M21">
        <v>81</v>
      </c>
      <c r="N21" s="6">
        <f>MediCare_Data[[#This Row],[Average_Wait_Time (mins)]]/1440</f>
        <v>5.6250000000000001E-2</v>
      </c>
      <c r="O21" s="2">
        <v>2</v>
      </c>
      <c r="P21" s="10">
        <v>35820</v>
      </c>
      <c r="Q21" s="17" t="str">
        <f>IF(AND(MediCare_Data[[#This Row],[Patient_Gender]]="Male", MediCare_Data[[#This Row],[Treatment_Type]]="Maternity"), "Gender-Treatment Mismatch", "Fine")</f>
        <v>Fine</v>
      </c>
      <c r="R21" s="10">
        <f>MediCare_Data[[#This Row],[Revenue_Generated]]-MediCare_Data[[#This Row],[Average_Treatment_Cost]]</f>
        <v>29354</v>
      </c>
      <c r="S21" s="3">
        <f>(MediCare_Data[[#This Row],[Profit]]/MediCare_Data[[#This Row],[Revenue_Generated]])</f>
        <v>0.81948632049134562</v>
      </c>
      <c r="Y21" s="5"/>
    </row>
    <row r="22" spans="1:25" x14ac:dyDescent="0.25">
      <c r="A22" t="s">
        <v>67</v>
      </c>
      <c r="B22" t="s">
        <v>35</v>
      </c>
      <c r="C22" t="s">
        <v>42</v>
      </c>
      <c r="D22" t="s">
        <v>21</v>
      </c>
      <c r="E22">
        <v>56</v>
      </c>
      <c r="F22" t="str">
        <f>IF(MediCare_Data[[#This Row],[Patient_Age]]&lt;=18,"0-18",IF(MediCare_Data[[#This Row],[Patient_Age]]&lt;=35,"19-35",IF(MediCare_Data[[#This Row],[Patient_Age]]&lt;=60,"36-60","60+")))</f>
        <v>36-60</v>
      </c>
      <c r="G22" t="s">
        <v>26</v>
      </c>
      <c r="H22" t="s">
        <v>37</v>
      </c>
      <c r="I22" s="2">
        <v>79</v>
      </c>
      <c r="J22" s="11">
        <v>9337</v>
      </c>
      <c r="K22" s="3">
        <v>13.2205694</v>
      </c>
      <c r="L22" s="3">
        <f t="shared" si="0"/>
        <v>0.13220569400000001</v>
      </c>
      <c r="M22">
        <v>12</v>
      </c>
      <c r="N22" s="6">
        <f>MediCare_Data[[#This Row],[Average_Wait_Time (mins)]]/1440</f>
        <v>8.3333333333333332E-3</v>
      </c>
      <c r="O22" s="2">
        <v>1</v>
      </c>
      <c r="P22" s="10">
        <v>35484</v>
      </c>
      <c r="Q22" s="17" t="str">
        <f>IF(AND(MediCare_Data[[#This Row],[Patient_Gender]]="Male", MediCare_Data[[#This Row],[Treatment_Type]]="Maternity"), "Gender-Treatment Mismatch", "Fine")</f>
        <v>Fine</v>
      </c>
      <c r="R22" s="10">
        <f>MediCare_Data[[#This Row],[Revenue_Generated]]-MediCare_Data[[#This Row],[Average_Treatment_Cost]]</f>
        <v>26147</v>
      </c>
      <c r="S22" s="3">
        <f>(MediCare_Data[[#This Row],[Profit]]/MediCare_Data[[#This Row],[Revenue_Generated]])</f>
        <v>0.73686732048247094</v>
      </c>
      <c r="Y22" s="5"/>
    </row>
    <row r="23" spans="1:25" x14ac:dyDescent="0.25">
      <c r="A23" t="s">
        <v>68</v>
      </c>
      <c r="B23" t="s">
        <v>56</v>
      </c>
      <c r="C23" t="s">
        <v>31</v>
      </c>
      <c r="D23" t="s">
        <v>21</v>
      </c>
      <c r="E23">
        <v>44</v>
      </c>
      <c r="F23" t="str">
        <f>IF(MediCare_Data[[#This Row],[Patient_Age]]&lt;=18,"0-18",IF(MediCare_Data[[#This Row],[Patient_Age]]&lt;=35,"19-35",IF(MediCare_Data[[#This Row],[Patient_Age]]&lt;=60,"36-60","60+")))</f>
        <v>36-60</v>
      </c>
      <c r="G23" t="s">
        <v>43</v>
      </c>
      <c r="H23" t="s">
        <v>23</v>
      </c>
      <c r="I23" s="2">
        <v>87</v>
      </c>
      <c r="J23" s="11">
        <v>617</v>
      </c>
      <c r="K23" s="3">
        <v>21.79722606</v>
      </c>
      <c r="L23" s="3">
        <f t="shared" si="0"/>
        <v>0.2179722606</v>
      </c>
      <c r="M23">
        <v>151</v>
      </c>
      <c r="N23" s="6">
        <f>MediCare_Data[[#This Row],[Average_Wait_Time (mins)]]/1440</f>
        <v>0.10486111111111111</v>
      </c>
      <c r="O23" s="2">
        <v>3</v>
      </c>
      <c r="P23" s="10">
        <v>34078</v>
      </c>
      <c r="Q23" s="17" t="str">
        <f>IF(AND(MediCare_Data[[#This Row],[Patient_Gender]]="Male", MediCare_Data[[#This Row],[Treatment_Type]]="Maternity"), "Gender-Treatment Mismatch", "Fine")</f>
        <v>Fine</v>
      </c>
      <c r="R23" s="10">
        <f>MediCare_Data[[#This Row],[Revenue_Generated]]-MediCare_Data[[#This Row],[Average_Treatment_Cost]]</f>
        <v>33461</v>
      </c>
      <c r="S23" s="3">
        <f>(MediCare_Data[[#This Row],[Profit]]/MediCare_Data[[#This Row],[Revenue_Generated]])</f>
        <v>0.98189447737543278</v>
      </c>
      <c r="U23" s="5" t="s">
        <v>1052</v>
      </c>
      <c r="V23" s="10">
        <f>SUM(MediCare_Data[Average_Treatment_Cost])</f>
        <v>5229424</v>
      </c>
      <c r="Y23" s="5"/>
    </row>
    <row r="24" spans="1:25" x14ac:dyDescent="0.25">
      <c r="A24" t="s">
        <v>69</v>
      </c>
      <c r="B24" t="s">
        <v>39</v>
      </c>
      <c r="C24" t="s">
        <v>46</v>
      </c>
      <c r="D24" t="s">
        <v>21</v>
      </c>
      <c r="E24">
        <v>66</v>
      </c>
      <c r="F24" t="str">
        <f>IF(MediCare_Data[[#This Row],[Patient_Age]]&lt;=18,"0-18",IF(MediCare_Data[[#This Row],[Patient_Age]]&lt;=35,"19-35",IF(MediCare_Data[[#This Row],[Patient_Age]]&lt;=60,"36-60","60+")))</f>
        <v>60+</v>
      </c>
      <c r="G24" t="s">
        <v>43</v>
      </c>
      <c r="H24" t="s">
        <v>23</v>
      </c>
      <c r="I24" s="2">
        <v>51</v>
      </c>
      <c r="J24" s="11">
        <v>3051</v>
      </c>
      <c r="K24" s="3">
        <v>23.000462469999999</v>
      </c>
      <c r="L24" s="3">
        <f t="shared" si="0"/>
        <v>0.23000462469999999</v>
      </c>
      <c r="M24">
        <v>43</v>
      </c>
      <c r="N24" s="6">
        <f>MediCare_Data[[#This Row],[Average_Wait_Time (mins)]]/1440</f>
        <v>2.9861111111111113E-2</v>
      </c>
      <c r="O24" s="2">
        <v>3</v>
      </c>
      <c r="P24" s="10">
        <v>48159</v>
      </c>
      <c r="Q24" s="17" t="str">
        <f>IF(AND(MediCare_Data[[#This Row],[Patient_Gender]]="Male", MediCare_Data[[#This Row],[Treatment_Type]]="Maternity"), "Gender-Treatment Mismatch", "Fine")</f>
        <v>Fine</v>
      </c>
      <c r="R24" s="10">
        <f>MediCare_Data[[#This Row],[Revenue_Generated]]-MediCare_Data[[#This Row],[Average_Treatment_Cost]]</f>
        <v>45108</v>
      </c>
      <c r="S24" s="3">
        <f>(MediCare_Data[[#This Row],[Profit]]/MediCare_Data[[#This Row],[Revenue_Generated]])</f>
        <v>0.93664735563446089</v>
      </c>
      <c r="Y24" s="5"/>
    </row>
    <row r="25" spans="1:25" x14ac:dyDescent="0.25">
      <c r="A25" t="s">
        <v>70</v>
      </c>
      <c r="B25" t="s">
        <v>58</v>
      </c>
      <c r="C25" t="s">
        <v>36</v>
      </c>
      <c r="D25" t="s">
        <v>32</v>
      </c>
      <c r="E25">
        <v>14</v>
      </c>
      <c r="F25" t="str">
        <f>IF(MediCare_Data[[#This Row],[Patient_Age]]&lt;=18,"0-18",IF(MediCare_Data[[#This Row],[Patient_Age]]&lt;=35,"19-35",IF(MediCare_Data[[#This Row],[Patient_Age]]&lt;=60,"36-60","60+")))</f>
        <v>0-18</v>
      </c>
      <c r="G25" t="s">
        <v>26</v>
      </c>
      <c r="H25" t="s">
        <v>33</v>
      </c>
      <c r="I25" s="2">
        <v>70</v>
      </c>
      <c r="J25" s="11">
        <v>6060</v>
      </c>
      <c r="K25" s="3">
        <v>12.068427590000001</v>
      </c>
      <c r="L25" s="3">
        <f t="shared" si="0"/>
        <v>0.12068427590000001</v>
      </c>
      <c r="M25">
        <v>54</v>
      </c>
      <c r="N25" s="6">
        <f>MediCare_Data[[#This Row],[Average_Wait_Time (mins)]]/1440</f>
        <v>3.7499999999999999E-2</v>
      </c>
      <c r="O25" s="2">
        <v>2</v>
      </c>
      <c r="P25" s="10">
        <v>21922</v>
      </c>
      <c r="Q25" s="17" t="str">
        <f>IF(AND(MediCare_Data[[#This Row],[Patient_Gender]]="Male", MediCare_Data[[#This Row],[Treatment_Type]]="Maternity"), "Gender-Treatment Mismatch", "Fine")</f>
        <v>Fine</v>
      </c>
      <c r="R25" s="10">
        <f>MediCare_Data[[#This Row],[Revenue_Generated]]-MediCare_Data[[#This Row],[Average_Treatment_Cost]]</f>
        <v>15862</v>
      </c>
      <c r="S25" s="3">
        <f>(MediCare_Data[[#This Row],[Profit]]/MediCare_Data[[#This Row],[Revenue_Generated]])</f>
        <v>0.72356536812334638</v>
      </c>
      <c r="U25" s="5" t="s">
        <v>1053</v>
      </c>
      <c r="V25" s="10">
        <f>SUM(MediCare_Data[Profit])</f>
        <v>20606317</v>
      </c>
      <c r="Y25" s="5"/>
    </row>
    <row r="26" spans="1:25" x14ac:dyDescent="0.25">
      <c r="A26" t="s">
        <v>71</v>
      </c>
      <c r="B26" t="s">
        <v>41</v>
      </c>
      <c r="C26" t="s">
        <v>31</v>
      </c>
      <c r="D26" t="s">
        <v>21</v>
      </c>
      <c r="E26">
        <v>22</v>
      </c>
      <c r="F26" t="str">
        <f>IF(MediCare_Data[[#This Row],[Patient_Age]]&lt;=18,"0-18",IF(MediCare_Data[[#This Row],[Patient_Age]]&lt;=35,"19-35",IF(MediCare_Data[[#This Row],[Patient_Age]]&lt;=60,"36-60","60+")))</f>
        <v>19-35</v>
      </c>
      <c r="G26" t="s">
        <v>26</v>
      </c>
      <c r="H26" t="s">
        <v>51</v>
      </c>
      <c r="I26" s="2">
        <v>82</v>
      </c>
      <c r="J26" s="11">
        <v>4789</v>
      </c>
      <c r="K26" s="3">
        <v>9.7374111790000004</v>
      </c>
      <c r="L26" s="3">
        <f t="shared" si="0"/>
        <v>9.7374111790000009E-2</v>
      </c>
      <c r="M26">
        <v>70</v>
      </c>
      <c r="N26" s="6">
        <f>MediCare_Data[[#This Row],[Average_Wait_Time (mins)]]/1440</f>
        <v>4.8611111111111112E-2</v>
      </c>
      <c r="O26" s="2">
        <v>1</v>
      </c>
      <c r="P26" s="10">
        <v>35028</v>
      </c>
      <c r="Q26" s="17" t="str">
        <f>IF(AND(MediCare_Data[[#This Row],[Patient_Gender]]="Male", MediCare_Data[[#This Row],[Treatment_Type]]="Maternity"), "Gender-Treatment Mismatch", "Fine")</f>
        <v>Fine</v>
      </c>
      <c r="R26" s="10">
        <f>MediCare_Data[[#This Row],[Revenue_Generated]]-MediCare_Data[[#This Row],[Average_Treatment_Cost]]</f>
        <v>30239</v>
      </c>
      <c r="S26" s="3">
        <f>(MediCare_Data[[#This Row],[Profit]]/MediCare_Data[[#This Row],[Revenue_Generated]])</f>
        <v>0.86328080392828599</v>
      </c>
      <c r="Y26" s="8"/>
    </row>
    <row r="27" spans="1:25" x14ac:dyDescent="0.25">
      <c r="A27" t="s">
        <v>72</v>
      </c>
      <c r="B27" t="s">
        <v>25</v>
      </c>
      <c r="C27" t="s">
        <v>20</v>
      </c>
      <c r="D27" t="s">
        <v>32</v>
      </c>
      <c r="E27">
        <v>57</v>
      </c>
      <c r="F27" t="str">
        <f>IF(MediCare_Data[[#This Row],[Patient_Age]]&lt;=18,"0-18",IF(MediCare_Data[[#This Row],[Patient_Age]]&lt;=35,"19-35",IF(MediCare_Data[[#This Row],[Patient_Age]]&lt;=60,"36-60","60+")))</f>
        <v>36-60</v>
      </c>
      <c r="G27" t="s">
        <v>17</v>
      </c>
      <c r="H27" t="s">
        <v>18</v>
      </c>
      <c r="I27" s="2">
        <v>61</v>
      </c>
      <c r="J27" s="11">
        <v>1346</v>
      </c>
      <c r="K27" s="3">
        <v>20.610510300000001</v>
      </c>
      <c r="L27" s="3">
        <f t="shared" si="0"/>
        <v>0.20610510300000001</v>
      </c>
      <c r="M27">
        <v>92</v>
      </c>
      <c r="N27" s="6">
        <f>MediCare_Data[[#This Row],[Average_Wait_Time (mins)]]/1440</f>
        <v>6.3888888888888884E-2</v>
      </c>
      <c r="O27" s="2">
        <v>1</v>
      </c>
      <c r="P27" s="10">
        <v>46925</v>
      </c>
      <c r="Q27" s="17" t="str">
        <f>IF(AND(MediCare_Data[[#This Row],[Patient_Gender]]="Male", MediCare_Data[[#This Row],[Treatment_Type]]="Maternity"), "Gender-Treatment Mismatch", "Fine")</f>
        <v>Fine</v>
      </c>
      <c r="R27" s="10">
        <f>MediCare_Data[[#This Row],[Revenue_Generated]]-MediCare_Data[[#This Row],[Average_Treatment_Cost]]</f>
        <v>45579</v>
      </c>
      <c r="S27" s="3">
        <f>(MediCare_Data[[#This Row],[Profit]]/MediCare_Data[[#This Row],[Revenue_Generated]])</f>
        <v>0.97131592967501335</v>
      </c>
      <c r="U27" s="5" t="s">
        <v>1054</v>
      </c>
      <c r="V27" s="9">
        <f>AVERAGE(MediCare_Data[Patient_Satisfaction_Score])</f>
        <v>74.83</v>
      </c>
    </row>
    <row r="28" spans="1:25" x14ac:dyDescent="0.25">
      <c r="A28" t="s">
        <v>73</v>
      </c>
      <c r="B28" t="s">
        <v>74</v>
      </c>
      <c r="C28" t="s">
        <v>20</v>
      </c>
      <c r="D28" t="s">
        <v>16</v>
      </c>
      <c r="E28">
        <v>18</v>
      </c>
      <c r="F28" t="str">
        <f>IF(MediCare_Data[[#This Row],[Patient_Age]]&lt;=18,"0-18",IF(MediCare_Data[[#This Row],[Patient_Age]]&lt;=35,"19-35",IF(MediCare_Data[[#This Row],[Patient_Age]]&lt;=60,"36-60","60+")))</f>
        <v>0-18</v>
      </c>
      <c r="G28" t="s">
        <v>26</v>
      </c>
      <c r="H28" t="s">
        <v>18</v>
      </c>
      <c r="I28" s="2">
        <v>71</v>
      </c>
      <c r="J28" s="11">
        <v>6816</v>
      </c>
      <c r="K28" s="3">
        <v>10.49612071</v>
      </c>
      <c r="L28" s="3">
        <f t="shared" si="0"/>
        <v>0.1049612071</v>
      </c>
      <c r="M28">
        <v>132</v>
      </c>
      <c r="N28" s="6">
        <f>MediCare_Data[[#This Row],[Average_Wait_Time (mins)]]/1440</f>
        <v>9.166666666666666E-2</v>
      </c>
      <c r="O28" s="2">
        <v>3</v>
      </c>
      <c r="P28" s="10">
        <v>21316</v>
      </c>
      <c r="Q28" s="17" t="str">
        <f>IF(AND(MediCare_Data[[#This Row],[Patient_Gender]]="Male", MediCare_Data[[#This Row],[Treatment_Type]]="Maternity"), "Gender-Treatment Mismatch", "Fine")</f>
        <v>Fine</v>
      </c>
      <c r="R28" s="10">
        <f>MediCare_Data[[#This Row],[Revenue_Generated]]-MediCare_Data[[#This Row],[Average_Treatment_Cost]]</f>
        <v>14500</v>
      </c>
      <c r="S28" s="3">
        <f>(MediCare_Data[[#This Row],[Profit]]/MediCare_Data[[#This Row],[Revenue_Generated]])</f>
        <v>0.68024019515856637</v>
      </c>
    </row>
    <row r="29" spans="1:25" x14ac:dyDescent="0.25">
      <c r="A29" t="s">
        <v>75</v>
      </c>
      <c r="B29" t="s">
        <v>61</v>
      </c>
      <c r="C29" t="s">
        <v>54</v>
      </c>
      <c r="D29" t="s">
        <v>16</v>
      </c>
      <c r="E29">
        <v>44</v>
      </c>
      <c r="F29" t="str">
        <f>IF(MediCare_Data[[#This Row],[Patient_Age]]&lt;=18,"0-18",IF(MediCare_Data[[#This Row],[Patient_Age]]&lt;=35,"19-35",IF(MediCare_Data[[#This Row],[Patient_Age]]&lt;=60,"36-60","60+")))</f>
        <v>36-60</v>
      </c>
      <c r="G29" t="s">
        <v>26</v>
      </c>
      <c r="H29" t="s">
        <v>23</v>
      </c>
      <c r="I29" s="2">
        <v>93</v>
      </c>
      <c r="J29" s="11">
        <v>6969</v>
      </c>
      <c r="K29" s="3">
        <v>21.452286369999999</v>
      </c>
      <c r="L29" s="3">
        <f t="shared" si="0"/>
        <v>0.21452286369999998</v>
      </c>
      <c r="M29">
        <v>111</v>
      </c>
      <c r="N29" s="6">
        <f>MediCare_Data[[#This Row],[Average_Wait_Time (mins)]]/1440</f>
        <v>7.7083333333333337E-2</v>
      </c>
      <c r="O29" s="2">
        <v>3</v>
      </c>
      <c r="P29" s="10">
        <v>12460</v>
      </c>
      <c r="Q29" s="17" t="str">
        <f>IF(AND(MediCare_Data[[#This Row],[Patient_Gender]]="Male", MediCare_Data[[#This Row],[Treatment_Type]]="Maternity"), "Gender-Treatment Mismatch", "Fine")</f>
        <v>Fine</v>
      </c>
      <c r="R29" s="10">
        <f>MediCare_Data[[#This Row],[Revenue_Generated]]-MediCare_Data[[#This Row],[Average_Treatment_Cost]]</f>
        <v>5491</v>
      </c>
      <c r="S29" s="3">
        <f>(MediCare_Data[[#This Row],[Profit]]/MediCare_Data[[#This Row],[Revenue_Generated]])</f>
        <v>0.44069020866773678</v>
      </c>
      <c r="U29" s="5" t="s">
        <v>1055</v>
      </c>
      <c r="V29" s="9">
        <f>AVERAGE(MediCare_Data[Staff_Rating])</f>
        <v>2.5739999999999998</v>
      </c>
    </row>
    <row r="30" spans="1:25" x14ac:dyDescent="0.25">
      <c r="A30" t="s">
        <v>76</v>
      </c>
      <c r="B30" t="s">
        <v>56</v>
      </c>
      <c r="C30" t="s">
        <v>20</v>
      </c>
      <c r="D30" t="s">
        <v>32</v>
      </c>
      <c r="E30">
        <v>81</v>
      </c>
      <c r="F30" t="str">
        <f>IF(MediCare_Data[[#This Row],[Patient_Age]]&lt;=18,"0-18",IF(MediCare_Data[[#This Row],[Patient_Age]]&lt;=35,"19-35",IF(MediCare_Data[[#This Row],[Patient_Age]]&lt;=60,"36-60","60+")))</f>
        <v>60+</v>
      </c>
      <c r="G30" t="s">
        <v>17</v>
      </c>
      <c r="H30" t="s">
        <v>33</v>
      </c>
      <c r="I30" s="2">
        <v>74</v>
      </c>
      <c r="J30" s="11">
        <v>9833</v>
      </c>
      <c r="K30" s="3">
        <v>13.47476507</v>
      </c>
      <c r="L30" s="3">
        <f t="shared" si="0"/>
        <v>0.1347476507</v>
      </c>
      <c r="M30">
        <v>25</v>
      </c>
      <c r="N30" s="6">
        <f>MediCare_Data[[#This Row],[Average_Wait_Time (mins)]]/1440</f>
        <v>1.7361111111111112E-2</v>
      </c>
      <c r="O30" s="2">
        <v>3</v>
      </c>
      <c r="P30" s="10">
        <v>17968</v>
      </c>
      <c r="Q30" s="17" t="str">
        <f>IF(AND(MediCare_Data[[#This Row],[Patient_Gender]]="Male", MediCare_Data[[#This Row],[Treatment_Type]]="Maternity"), "Gender-Treatment Mismatch", "Fine")</f>
        <v>Fine</v>
      </c>
      <c r="R30" s="10">
        <f>MediCare_Data[[#This Row],[Revenue_Generated]]-MediCare_Data[[#This Row],[Average_Treatment_Cost]]</f>
        <v>8135</v>
      </c>
      <c r="S30" s="3">
        <f>(MediCare_Data[[#This Row],[Profit]]/MediCare_Data[[#This Row],[Revenue_Generated]])</f>
        <v>0.45274933214603741</v>
      </c>
    </row>
    <row r="31" spans="1:25" x14ac:dyDescent="0.25">
      <c r="A31" t="s">
        <v>77</v>
      </c>
      <c r="B31" t="s">
        <v>64</v>
      </c>
      <c r="C31" t="s">
        <v>31</v>
      </c>
      <c r="D31" t="s">
        <v>21</v>
      </c>
      <c r="E31">
        <v>55</v>
      </c>
      <c r="F31" t="str">
        <f>IF(MediCare_Data[[#This Row],[Patient_Age]]&lt;=18,"0-18",IF(MediCare_Data[[#This Row],[Patient_Age]]&lt;=35,"19-35",IF(MediCare_Data[[#This Row],[Patient_Age]]&lt;=60,"36-60","60+")))</f>
        <v>36-60</v>
      </c>
      <c r="G31" t="s">
        <v>43</v>
      </c>
      <c r="H31" t="s">
        <v>51</v>
      </c>
      <c r="I31" s="2">
        <v>98</v>
      </c>
      <c r="J31" s="11">
        <v>9415</v>
      </c>
      <c r="K31" s="3">
        <v>18.35099799</v>
      </c>
      <c r="L31" s="3">
        <f t="shared" si="0"/>
        <v>0.18350997990000001</v>
      </c>
      <c r="M31">
        <v>75</v>
      </c>
      <c r="N31" s="6">
        <f>MediCare_Data[[#This Row],[Average_Wait_Time (mins)]]/1440</f>
        <v>5.2083333333333336E-2</v>
      </c>
      <c r="O31" s="2">
        <v>1</v>
      </c>
      <c r="P31" s="10">
        <v>31266</v>
      </c>
      <c r="Q31" s="17" t="str">
        <f>IF(AND(MediCare_Data[[#This Row],[Patient_Gender]]="Male", MediCare_Data[[#This Row],[Treatment_Type]]="Maternity"), "Gender-Treatment Mismatch", "Fine")</f>
        <v>Fine</v>
      </c>
      <c r="R31" s="10">
        <f>MediCare_Data[[#This Row],[Revenue_Generated]]-MediCare_Data[[#This Row],[Average_Treatment_Cost]]</f>
        <v>21851</v>
      </c>
      <c r="S31" s="3">
        <f>(MediCare_Data[[#This Row],[Profit]]/MediCare_Data[[#This Row],[Revenue_Generated]])</f>
        <v>0.69887417642167216</v>
      </c>
      <c r="U31" s="5" t="s">
        <v>1056</v>
      </c>
      <c r="V31" s="3">
        <f>AVERAGE(MediCare_Data[Readmission_Rate (%)2])</f>
        <v>0.1504103477070198</v>
      </c>
    </row>
    <row r="32" spans="1:25" x14ac:dyDescent="0.25">
      <c r="A32" t="s">
        <v>78</v>
      </c>
      <c r="B32" t="s">
        <v>35</v>
      </c>
      <c r="C32" t="s">
        <v>29</v>
      </c>
      <c r="D32" t="s">
        <v>16</v>
      </c>
      <c r="E32">
        <v>19</v>
      </c>
      <c r="F32" t="str">
        <f>IF(MediCare_Data[[#This Row],[Patient_Age]]&lt;=18,"0-18",IF(MediCare_Data[[#This Row],[Patient_Age]]&lt;=35,"19-35",IF(MediCare_Data[[#This Row],[Patient_Age]]&lt;=60,"36-60","60+")))</f>
        <v>19-35</v>
      </c>
      <c r="G32" t="s">
        <v>26</v>
      </c>
      <c r="H32" t="s">
        <v>37</v>
      </c>
      <c r="I32" s="2">
        <v>76</v>
      </c>
      <c r="J32" s="11">
        <v>724</v>
      </c>
      <c r="K32" s="3">
        <v>6.9107062770000001</v>
      </c>
      <c r="L32" s="3">
        <f t="shared" si="0"/>
        <v>6.9107062770000005E-2</v>
      </c>
      <c r="M32">
        <v>177</v>
      </c>
      <c r="N32" s="6">
        <f>MediCare_Data[[#This Row],[Average_Wait_Time (mins)]]/1440</f>
        <v>0.12291666666666666</v>
      </c>
      <c r="O32" s="2">
        <v>2</v>
      </c>
      <c r="P32" s="10">
        <v>31209</v>
      </c>
      <c r="Q32" s="17" t="str">
        <f>IF(AND(MediCare_Data[[#This Row],[Patient_Gender]]="Male", MediCare_Data[[#This Row],[Treatment_Type]]="Maternity"), "Gender-Treatment Mismatch", "Fine")</f>
        <v>Gender-Treatment Mismatch</v>
      </c>
      <c r="R32" s="10">
        <f>MediCare_Data[[#This Row],[Revenue_Generated]]-MediCare_Data[[#This Row],[Average_Treatment_Cost]]</f>
        <v>30485</v>
      </c>
      <c r="S32" s="3">
        <f>(MediCare_Data[[#This Row],[Profit]]/MediCare_Data[[#This Row],[Revenue_Generated]])</f>
        <v>0.97680156365151083</v>
      </c>
    </row>
    <row r="33" spans="1:22" x14ac:dyDescent="0.25">
      <c r="A33" t="s">
        <v>79</v>
      </c>
      <c r="B33" t="s">
        <v>35</v>
      </c>
      <c r="C33" t="s">
        <v>46</v>
      </c>
      <c r="D33" t="s">
        <v>32</v>
      </c>
      <c r="E33">
        <v>41</v>
      </c>
      <c r="F33" t="str">
        <f>IF(MediCare_Data[[#This Row],[Patient_Age]]&lt;=18,"0-18",IF(MediCare_Data[[#This Row],[Patient_Age]]&lt;=35,"19-35",IF(MediCare_Data[[#This Row],[Patient_Age]]&lt;=60,"36-60","60+")))</f>
        <v>36-60</v>
      </c>
      <c r="G33" t="s">
        <v>26</v>
      </c>
      <c r="H33" t="s">
        <v>51</v>
      </c>
      <c r="I33" s="2">
        <v>91</v>
      </c>
      <c r="J33" s="11">
        <v>4708</v>
      </c>
      <c r="K33" s="3">
        <v>17.477186490000001</v>
      </c>
      <c r="L33" s="3">
        <f t="shared" si="0"/>
        <v>0.17477186490000002</v>
      </c>
      <c r="M33">
        <v>154</v>
      </c>
      <c r="N33" s="6">
        <f>MediCare_Data[[#This Row],[Average_Wait_Time (mins)]]/1440</f>
        <v>0.10694444444444444</v>
      </c>
      <c r="O33" s="2">
        <v>2</v>
      </c>
      <c r="P33" s="10">
        <v>25000</v>
      </c>
      <c r="Q33" s="17" t="str">
        <f>IF(AND(MediCare_Data[[#This Row],[Patient_Gender]]="Male", MediCare_Data[[#This Row],[Treatment_Type]]="Maternity"), "Gender-Treatment Mismatch", "Fine")</f>
        <v>Fine</v>
      </c>
      <c r="R33" s="10">
        <f>MediCare_Data[[#This Row],[Revenue_Generated]]-MediCare_Data[[#This Row],[Average_Treatment_Cost]]</f>
        <v>20292</v>
      </c>
      <c r="S33" s="3">
        <f>(MediCare_Data[[#This Row],[Profit]]/MediCare_Data[[#This Row],[Revenue_Generated]])</f>
        <v>0.81167999999999996</v>
      </c>
      <c r="U33" s="5" t="s">
        <v>1057</v>
      </c>
      <c r="V33" s="3">
        <f>AVERAGE(MediCare_Data[Profit_Margin])</f>
        <v>0.60389880597527845</v>
      </c>
    </row>
    <row r="34" spans="1:22" x14ac:dyDescent="0.25">
      <c r="A34" t="s">
        <v>80</v>
      </c>
      <c r="B34" t="s">
        <v>58</v>
      </c>
      <c r="C34" t="s">
        <v>36</v>
      </c>
      <c r="D34" t="s">
        <v>21</v>
      </c>
      <c r="E34">
        <v>85</v>
      </c>
      <c r="F34" t="str">
        <f>IF(MediCare_Data[[#This Row],[Patient_Age]]&lt;=18,"0-18",IF(MediCare_Data[[#This Row],[Patient_Age]]&lt;=35,"19-35",IF(MediCare_Data[[#This Row],[Patient_Age]]&lt;=60,"36-60","60+")))</f>
        <v>60+</v>
      </c>
      <c r="G34" t="s">
        <v>17</v>
      </c>
      <c r="H34" t="s">
        <v>51</v>
      </c>
      <c r="I34" s="2">
        <v>77</v>
      </c>
      <c r="J34" s="11">
        <v>6783</v>
      </c>
      <c r="K34" s="3">
        <v>14.03535357</v>
      </c>
      <c r="L34" s="3">
        <f t="shared" si="0"/>
        <v>0.1403535357</v>
      </c>
      <c r="M34">
        <v>128</v>
      </c>
      <c r="N34" s="6">
        <f>MediCare_Data[[#This Row],[Average_Wait_Time (mins)]]/1440</f>
        <v>8.8888888888888892E-2</v>
      </c>
      <c r="O34" s="2">
        <v>1</v>
      </c>
      <c r="P34" s="10">
        <v>15011</v>
      </c>
      <c r="Q34" s="17" t="str">
        <f>IF(AND(MediCare_Data[[#This Row],[Patient_Gender]]="Male", MediCare_Data[[#This Row],[Treatment_Type]]="Maternity"), "Gender-Treatment Mismatch", "Fine")</f>
        <v>Fine</v>
      </c>
      <c r="R34" s="10">
        <f>MediCare_Data[[#This Row],[Revenue_Generated]]-MediCare_Data[[#This Row],[Average_Treatment_Cost]]</f>
        <v>8228</v>
      </c>
      <c r="S34" s="3">
        <f>(MediCare_Data[[#This Row],[Profit]]/MediCare_Data[[#This Row],[Revenue_Generated]])</f>
        <v>0.54813137032842585</v>
      </c>
    </row>
    <row r="35" spans="1:22" x14ac:dyDescent="0.25">
      <c r="A35" t="s">
        <v>81</v>
      </c>
      <c r="B35" t="s">
        <v>82</v>
      </c>
      <c r="C35" t="s">
        <v>54</v>
      </c>
      <c r="D35" t="s">
        <v>16</v>
      </c>
      <c r="E35">
        <v>54</v>
      </c>
      <c r="F35" t="str">
        <f>IF(MediCare_Data[[#This Row],[Patient_Age]]&lt;=18,"0-18",IF(MediCare_Data[[#This Row],[Patient_Age]]&lt;=35,"19-35",IF(MediCare_Data[[#This Row],[Patient_Age]]&lt;=60,"36-60","60+")))</f>
        <v>36-60</v>
      </c>
      <c r="G35" t="s">
        <v>26</v>
      </c>
      <c r="H35" t="s">
        <v>23</v>
      </c>
      <c r="I35" s="2">
        <v>65</v>
      </c>
      <c r="J35" s="11">
        <v>2548</v>
      </c>
      <c r="K35" s="3">
        <v>16.732169259999999</v>
      </c>
      <c r="L35" s="3">
        <f t="shared" si="0"/>
        <v>0.16732169259999999</v>
      </c>
      <c r="M35">
        <v>171</v>
      </c>
      <c r="N35" s="6">
        <f>MediCare_Data[[#This Row],[Average_Wait_Time (mins)]]/1440</f>
        <v>0.11874999999999999</v>
      </c>
      <c r="O35" s="2">
        <v>4</v>
      </c>
      <c r="P35" s="10">
        <v>3866</v>
      </c>
      <c r="Q35" s="17" t="str">
        <f>IF(AND(MediCare_Data[[#This Row],[Patient_Gender]]="Male", MediCare_Data[[#This Row],[Treatment_Type]]="Maternity"), "Gender-Treatment Mismatch", "Fine")</f>
        <v>Fine</v>
      </c>
      <c r="R35" s="10">
        <f>MediCare_Data[[#This Row],[Revenue_Generated]]-MediCare_Data[[#This Row],[Average_Treatment_Cost]]</f>
        <v>1318</v>
      </c>
      <c r="S35" s="3">
        <f>(MediCare_Data[[#This Row],[Profit]]/MediCare_Data[[#This Row],[Revenue_Generated]])</f>
        <v>0.34092084842214176</v>
      </c>
      <c r="U35" s="5" t="s">
        <v>1058</v>
      </c>
      <c r="V35">
        <f>AVERAGE(MediCare_Data[Average_Wait_Time (mins)])</f>
        <v>96.100999999999999</v>
      </c>
    </row>
    <row r="36" spans="1:22" x14ac:dyDescent="0.25">
      <c r="A36" t="s">
        <v>83</v>
      </c>
      <c r="B36" t="s">
        <v>74</v>
      </c>
      <c r="C36" t="s">
        <v>20</v>
      </c>
      <c r="D36" t="s">
        <v>32</v>
      </c>
      <c r="E36">
        <v>2</v>
      </c>
      <c r="F36" t="str">
        <f>IF(MediCare_Data[[#This Row],[Patient_Age]]&lt;=18,"0-18",IF(MediCare_Data[[#This Row],[Patient_Age]]&lt;=35,"19-35",IF(MediCare_Data[[#This Row],[Patient_Age]]&lt;=60,"36-60","60+")))</f>
        <v>0-18</v>
      </c>
      <c r="G36" t="s">
        <v>17</v>
      </c>
      <c r="H36" t="s">
        <v>37</v>
      </c>
      <c r="I36" s="2">
        <v>64</v>
      </c>
      <c r="J36" s="11">
        <v>6733</v>
      </c>
      <c r="K36" s="3">
        <v>8.3602841550000004</v>
      </c>
      <c r="L36" s="3">
        <f t="shared" si="0"/>
        <v>8.3602841550000001E-2</v>
      </c>
      <c r="M36">
        <v>133</v>
      </c>
      <c r="N36" s="6">
        <f>MediCare_Data[[#This Row],[Average_Wait_Time (mins)]]/1440</f>
        <v>9.2361111111111116E-2</v>
      </c>
      <c r="O36" s="2">
        <v>2</v>
      </c>
      <c r="P36" s="10">
        <v>48133</v>
      </c>
      <c r="Q36" s="17" t="str">
        <f>IF(AND(MediCare_Data[[#This Row],[Patient_Gender]]="Male", MediCare_Data[[#This Row],[Treatment_Type]]="Maternity"), "Gender-Treatment Mismatch", "Fine")</f>
        <v>Fine</v>
      </c>
      <c r="R36" s="10">
        <f>MediCare_Data[[#This Row],[Revenue_Generated]]-MediCare_Data[[#This Row],[Average_Treatment_Cost]]</f>
        <v>41400</v>
      </c>
      <c r="S36" s="3">
        <f>(MediCare_Data[[#This Row],[Profit]]/MediCare_Data[[#This Row],[Revenue_Generated]])</f>
        <v>0.86011675981135605</v>
      </c>
    </row>
    <row r="37" spans="1:22" x14ac:dyDescent="0.25">
      <c r="A37" t="s">
        <v>84</v>
      </c>
      <c r="B37" t="s">
        <v>56</v>
      </c>
      <c r="C37" t="s">
        <v>31</v>
      </c>
      <c r="D37" t="s">
        <v>32</v>
      </c>
      <c r="E37">
        <v>83</v>
      </c>
      <c r="F37" t="str">
        <f>IF(MediCare_Data[[#This Row],[Patient_Age]]&lt;=18,"0-18",IF(MediCare_Data[[#This Row],[Patient_Age]]&lt;=35,"19-35",IF(MediCare_Data[[#This Row],[Patient_Age]]&lt;=60,"36-60","60+")))</f>
        <v>60+</v>
      </c>
      <c r="G37" t="s">
        <v>22</v>
      </c>
      <c r="H37" t="s">
        <v>33</v>
      </c>
      <c r="I37" s="2">
        <v>96</v>
      </c>
      <c r="J37" s="11">
        <v>2328</v>
      </c>
      <c r="K37" s="3">
        <v>19.737474899999999</v>
      </c>
      <c r="L37" s="3">
        <f t="shared" si="0"/>
        <v>0.19737474899999999</v>
      </c>
      <c r="M37">
        <v>153</v>
      </c>
      <c r="N37" s="6">
        <f>MediCare_Data[[#This Row],[Average_Wait_Time (mins)]]/1440</f>
        <v>0.10625</v>
      </c>
      <c r="O37" s="2">
        <v>3</v>
      </c>
      <c r="P37" s="10">
        <v>6898</v>
      </c>
      <c r="Q37" s="17" t="str">
        <f>IF(AND(MediCare_Data[[#This Row],[Patient_Gender]]="Male", MediCare_Data[[#This Row],[Treatment_Type]]="Maternity"), "Gender-Treatment Mismatch", "Fine")</f>
        <v>Fine</v>
      </c>
      <c r="R37" s="10">
        <f>MediCare_Data[[#This Row],[Revenue_Generated]]-MediCare_Data[[#This Row],[Average_Treatment_Cost]]</f>
        <v>4570</v>
      </c>
      <c r="S37" s="3">
        <f>(MediCare_Data[[#This Row],[Profit]]/MediCare_Data[[#This Row],[Revenue_Generated]])</f>
        <v>0.66251087271672948</v>
      </c>
      <c r="U37" s="5" t="s">
        <v>1058</v>
      </c>
      <c r="V37" s="12" t="str">
        <f>TEXT(V35/1440, "h:mm")</f>
        <v>1:36</v>
      </c>
    </row>
    <row r="38" spans="1:22" x14ac:dyDescent="0.25">
      <c r="A38" t="s">
        <v>85</v>
      </c>
      <c r="B38" t="s">
        <v>25</v>
      </c>
      <c r="C38" t="s">
        <v>54</v>
      </c>
      <c r="D38" t="s">
        <v>32</v>
      </c>
      <c r="E38">
        <v>52</v>
      </c>
      <c r="F38" t="str">
        <f>IF(MediCare_Data[[#This Row],[Patient_Age]]&lt;=18,"0-18",IF(MediCare_Data[[#This Row],[Patient_Age]]&lt;=35,"19-35",IF(MediCare_Data[[#This Row],[Patient_Age]]&lt;=60,"36-60","60+")))</f>
        <v>36-60</v>
      </c>
      <c r="G38" t="s">
        <v>17</v>
      </c>
      <c r="H38" t="s">
        <v>37</v>
      </c>
      <c r="I38" s="2">
        <v>93</v>
      </c>
      <c r="J38" s="11">
        <v>2417</v>
      </c>
      <c r="K38" s="3">
        <v>22.255941549999999</v>
      </c>
      <c r="L38" s="3">
        <f t="shared" si="0"/>
        <v>0.2225594155</v>
      </c>
      <c r="M38">
        <v>111</v>
      </c>
      <c r="N38" s="6">
        <f>MediCare_Data[[#This Row],[Average_Wait_Time (mins)]]/1440</f>
        <v>7.7083333333333337E-2</v>
      </c>
      <c r="O38" s="2">
        <v>4</v>
      </c>
      <c r="P38" s="10">
        <v>19395</v>
      </c>
      <c r="Q38" s="17" t="str">
        <f>IF(AND(MediCare_Data[[#This Row],[Patient_Gender]]="Male", MediCare_Data[[#This Row],[Treatment_Type]]="Maternity"), "Gender-Treatment Mismatch", "Fine")</f>
        <v>Fine</v>
      </c>
      <c r="R38" s="10">
        <f>MediCare_Data[[#This Row],[Revenue_Generated]]-MediCare_Data[[#This Row],[Average_Treatment_Cost]]</f>
        <v>16978</v>
      </c>
      <c r="S38" s="3">
        <f>(MediCare_Data[[#This Row],[Profit]]/MediCare_Data[[#This Row],[Revenue_Generated]])</f>
        <v>0.87538025264243358</v>
      </c>
    </row>
    <row r="39" spans="1:22" x14ac:dyDescent="0.25">
      <c r="A39" t="s">
        <v>86</v>
      </c>
      <c r="B39" t="s">
        <v>82</v>
      </c>
      <c r="C39" t="s">
        <v>42</v>
      </c>
      <c r="D39" t="s">
        <v>32</v>
      </c>
      <c r="E39">
        <v>50</v>
      </c>
      <c r="F39" t="str">
        <f>IF(MediCare_Data[[#This Row],[Patient_Age]]&lt;=18,"0-18",IF(MediCare_Data[[#This Row],[Patient_Age]]&lt;=35,"19-35",IF(MediCare_Data[[#This Row],[Patient_Age]]&lt;=60,"36-60","60+")))</f>
        <v>36-60</v>
      </c>
      <c r="G39" t="s">
        <v>22</v>
      </c>
      <c r="H39" t="s">
        <v>23</v>
      </c>
      <c r="I39" s="2">
        <v>52</v>
      </c>
      <c r="J39" s="11">
        <v>4734</v>
      </c>
      <c r="K39" s="3">
        <v>9.3347960019999991</v>
      </c>
      <c r="L39" s="3">
        <f t="shared" si="0"/>
        <v>9.3347960019999995E-2</v>
      </c>
      <c r="M39">
        <v>75</v>
      </c>
      <c r="N39" s="6">
        <f>MediCare_Data[[#This Row],[Average_Wait_Time (mins)]]/1440</f>
        <v>5.2083333333333336E-2</v>
      </c>
      <c r="O39" s="2">
        <v>4</v>
      </c>
      <c r="P39" s="10">
        <v>40019</v>
      </c>
      <c r="Q39" s="17" t="str">
        <f>IF(AND(MediCare_Data[[#This Row],[Patient_Gender]]="Male", MediCare_Data[[#This Row],[Treatment_Type]]="Maternity"), "Gender-Treatment Mismatch", "Fine")</f>
        <v>Fine</v>
      </c>
      <c r="R39" s="10">
        <f>MediCare_Data[[#This Row],[Revenue_Generated]]-MediCare_Data[[#This Row],[Average_Treatment_Cost]]</f>
        <v>35285</v>
      </c>
      <c r="S39" s="3">
        <f>(MediCare_Data[[#This Row],[Profit]]/MediCare_Data[[#This Row],[Revenue_Generated]])</f>
        <v>0.88170618955995905</v>
      </c>
    </row>
    <row r="40" spans="1:22" x14ac:dyDescent="0.25">
      <c r="A40" t="s">
        <v>87</v>
      </c>
      <c r="B40" t="s">
        <v>64</v>
      </c>
      <c r="C40" t="s">
        <v>36</v>
      </c>
      <c r="D40" t="s">
        <v>21</v>
      </c>
      <c r="E40">
        <v>66</v>
      </c>
      <c r="F40" t="str">
        <f>IF(MediCare_Data[[#This Row],[Patient_Age]]&lt;=18,"0-18",IF(MediCare_Data[[#This Row],[Patient_Age]]&lt;=35,"19-35",IF(MediCare_Data[[#This Row],[Patient_Age]]&lt;=60,"36-60","60+")))</f>
        <v>60+</v>
      </c>
      <c r="G40" t="s">
        <v>22</v>
      </c>
      <c r="H40" t="s">
        <v>37</v>
      </c>
      <c r="I40" s="2">
        <v>86</v>
      </c>
      <c r="J40" s="11">
        <v>7488</v>
      </c>
      <c r="K40" s="3">
        <v>6.9142911099999997</v>
      </c>
      <c r="L40" s="3">
        <f t="shared" si="0"/>
        <v>6.9142911099999996E-2</v>
      </c>
      <c r="M40">
        <v>22</v>
      </c>
      <c r="N40" s="6">
        <f>MediCare_Data[[#This Row],[Average_Wait_Time (mins)]]/1440</f>
        <v>1.5277777777777777E-2</v>
      </c>
      <c r="O40" s="2">
        <v>2</v>
      </c>
      <c r="P40" s="10">
        <v>38707</v>
      </c>
      <c r="Q40" s="17" t="str">
        <f>IF(AND(MediCare_Data[[#This Row],[Patient_Gender]]="Male", MediCare_Data[[#This Row],[Treatment_Type]]="Maternity"), "Gender-Treatment Mismatch", "Fine")</f>
        <v>Fine</v>
      </c>
      <c r="R40" s="10">
        <f>MediCare_Data[[#This Row],[Revenue_Generated]]-MediCare_Data[[#This Row],[Average_Treatment_Cost]]</f>
        <v>31219</v>
      </c>
      <c r="S40" s="3">
        <f>(MediCare_Data[[#This Row],[Profit]]/MediCare_Data[[#This Row],[Revenue_Generated]])</f>
        <v>0.80654661947451367</v>
      </c>
    </row>
    <row r="41" spans="1:22" x14ac:dyDescent="0.25">
      <c r="A41" t="s">
        <v>88</v>
      </c>
      <c r="B41" t="s">
        <v>53</v>
      </c>
      <c r="C41" t="s">
        <v>31</v>
      </c>
      <c r="D41" t="s">
        <v>32</v>
      </c>
      <c r="E41">
        <v>76</v>
      </c>
      <c r="F41" t="str">
        <f>IF(MediCare_Data[[#This Row],[Patient_Age]]&lt;=18,"0-18",IF(MediCare_Data[[#This Row],[Patient_Age]]&lt;=35,"19-35",IF(MediCare_Data[[#This Row],[Patient_Age]]&lt;=60,"36-60","60+")))</f>
        <v>60+</v>
      </c>
      <c r="G41" t="s">
        <v>17</v>
      </c>
      <c r="H41" t="s">
        <v>37</v>
      </c>
      <c r="I41" s="2">
        <v>56</v>
      </c>
      <c r="J41" s="11">
        <v>2526</v>
      </c>
      <c r="K41" s="3">
        <v>5.472771721</v>
      </c>
      <c r="L41" s="3">
        <f t="shared" si="0"/>
        <v>5.4727717209999999E-2</v>
      </c>
      <c r="M41">
        <v>120</v>
      </c>
      <c r="N41" s="6">
        <f>MediCare_Data[[#This Row],[Average_Wait_Time (mins)]]/1440</f>
        <v>8.3333333333333329E-2</v>
      </c>
      <c r="O41" s="2">
        <v>4</v>
      </c>
      <c r="P41" s="10">
        <v>5006</v>
      </c>
      <c r="Q41" s="17" t="str">
        <f>IF(AND(MediCare_Data[[#This Row],[Patient_Gender]]="Male", MediCare_Data[[#This Row],[Treatment_Type]]="Maternity"), "Gender-Treatment Mismatch", "Fine")</f>
        <v>Fine</v>
      </c>
      <c r="R41" s="10">
        <f>MediCare_Data[[#This Row],[Revenue_Generated]]-MediCare_Data[[#This Row],[Average_Treatment_Cost]]</f>
        <v>2480</v>
      </c>
      <c r="S41" s="3">
        <f>(MediCare_Data[[#This Row],[Profit]]/MediCare_Data[[#This Row],[Revenue_Generated]])</f>
        <v>0.49540551338393929</v>
      </c>
    </row>
    <row r="42" spans="1:22" x14ac:dyDescent="0.25">
      <c r="A42" t="s">
        <v>89</v>
      </c>
      <c r="B42" t="s">
        <v>41</v>
      </c>
      <c r="C42" t="s">
        <v>29</v>
      </c>
      <c r="D42" t="s">
        <v>32</v>
      </c>
      <c r="E42">
        <v>8</v>
      </c>
      <c r="F42" t="str">
        <f>IF(MediCare_Data[[#This Row],[Patient_Age]]&lt;=18,"0-18",IF(MediCare_Data[[#This Row],[Patient_Age]]&lt;=35,"19-35",IF(MediCare_Data[[#This Row],[Patient_Age]]&lt;=60,"36-60","60+")))</f>
        <v>0-18</v>
      </c>
      <c r="G42" t="s">
        <v>17</v>
      </c>
      <c r="H42" t="s">
        <v>18</v>
      </c>
      <c r="I42" s="2">
        <v>70</v>
      </c>
      <c r="J42" s="11">
        <v>4244</v>
      </c>
      <c r="K42" s="3">
        <v>17.839430010000001</v>
      </c>
      <c r="L42" s="3">
        <f t="shared" si="0"/>
        <v>0.17839430010000001</v>
      </c>
      <c r="M42">
        <v>168</v>
      </c>
      <c r="N42" s="6">
        <f>MediCare_Data[[#This Row],[Average_Wait_Time (mins)]]/1440</f>
        <v>0.11666666666666667</v>
      </c>
      <c r="O42" s="2">
        <v>4</v>
      </c>
      <c r="P42" s="10">
        <v>35393</v>
      </c>
      <c r="Q42" s="17" t="str">
        <f>IF(AND(MediCare_Data[[#This Row],[Patient_Gender]]="Male", MediCare_Data[[#This Row],[Treatment_Type]]="Maternity"), "Gender-Treatment Mismatch", "Fine")</f>
        <v>Fine</v>
      </c>
      <c r="R42" s="10">
        <f>MediCare_Data[[#This Row],[Revenue_Generated]]-MediCare_Data[[#This Row],[Average_Treatment_Cost]]</f>
        <v>31149</v>
      </c>
      <c r="S42" s="3">
        <f>(MediCare_Data[[#This Row],[Profit]]/MediCare_Data[[#This Row],[Revenue_Generated]])</f>
        <v>0.88008928319159152</v>
      </c>
    </row>
    <row r="43" spans="1:22" x14ac:dyDescent="0.25">
      <c r="A43" t="s">
        <v>90</v>
      </c>
      <c r="B43" t="s">
        <v>28</v>
      </c>
      <c r="C43" t="s">
        <v>54</v>
      </c>
      <c r="D43" t="s">
        <v>32</v>
      </c>
      <c r="E43">
        <v>84</v>
      </c>
      <c r="F43" t="str">
        <f>IF(MediCare_Data[[#This Row],[Patient_Age]]&lt;=18,"0-18",IF(MediCare_Data[[#This Row],[Patient_Age]]&lt;=35,"19-35",IF(MediCare_Data[[#This Row],[Patient_Age]]&lt;=60,"36-60","60+")))</f>
        <v>60+</v>
      </c>
      <c r="G43" t="s">
        <v>17</v>
      </c>
      <c r="H43" t="s">
        <v>18</v>
      </c>
      <c r="I43" s="2">
        <v>58</v>
      </c>
      <c r="J43" s="11">
        <v>9593</v>
      </c>
      <c r="K43" s="3">
        <v>17.14188072</v>
      </c>
      <c r="L43" s="3">
        <f t="shared" si="0"/>
        <v>0.1714188072</v>
      </c>
      <c r="M43">
        <v>43</v>
      </c>
      <c r="N43" s="6">
        <f>MediCare_Data[[#This Row],[Average_Wait_Time (mins)]]/1440</f>
        <v>2.9861111111111113E-2</v>
      </c>
      <c r="O43" s="2">
        <v>2</v>
      </c>
      <c r="P43" s="10">
        <v>11956</v>
      </c>
      <c r="Q43" s="17" t="str">
        <f>IF(AND(MediCare_Data[[#This Row],[Patient_Gender]]="Male", MediCare_Data[[#This Row],[Treatment_Type]]="Maternity"), "Gender-Treatment Mismatch", "Fine")</f>
        <v>Fine</v>
      </c>
      <c r="R43" s="10">
        <f>MediCare_Data[[#This Row],[Revenue_Generated]]-MediCare_Data[[#This Row],[Average_Treatment_Cost]]</f>
        <v>2363</v>
      </c>
      <c r="S43" s="3">
        <f>(MediCare_Data[[#This Row],[Profit]]/MediCare_Data[[#This Row],[Revenue_Generated]])</f>
        <v>0.19764135162261626</v>
      </c>
    </row>
    <row r="44" spans="1:22" x14ac:dyDescent="0.25">
      <c r="A44" t="s">
        <v>91</v>
      </c>
      <c r="B44" t="s">
        <v>56</v>
      </c>
      <c r="C44" t="s">
        <v>15</v>
      </c>
      <c r="D44" t="s">
        <v>32</v>
      </c>
      <c r="E44">
        <v>31</v>
      </c>
      <c r="F44" t="str">
        <f>IF(MediCare_Data[[#This Row],[Patient_Age]]&lt;=18,"0-18",IF(MediCare_Data[[#This Row],[Patient_Age]]&lt;=35,"19-35",IF(MediCare_Data[[#This Row],[Patient_Age]]&lt;=60,"36-60","60+")))</f>
        <v>19-35</v>
      </c>
      <c r="G44" t="s">
        <v>43</v>
      </c>
      <c r="H44" t="s">
        <v>37</v>
      </c>
      <c r="I44" s="2">
        <v>88</v>
      </c>
      <c r="J44" s="11">
        <v>509</v>
      </c>
      <c r="K44" s="3">
        <v>15.93394825</v>
      </c>
      <c r="L44" s="3">
        <f t="shared" si="0"/>
        <v>0.15933948249999999</v>
      </c>
      <c r="M44">
        <v>48</v>
      </c>
      <c r="N44" s="6">
        <f>MediCare_Data[[#This Row],[Average_Wait_Time (mins)]]/1440</f>
        <v>3.3333333333333333E-2</v>
      </c>
      <c r="O44" s="2">
        <v>2</v>
      </c>
      <c r="P44" s="10">
        <v>31663</v>
      </c>
      <c r="Q44" s="17" t="str">
        <f>IF(AND(MediCare_Data[[#This Row],[Patient_Gender]]="Male", MediCare_Data[[#This Row],[Treatment_Type]]="Maternity"), "Gender-Treatment Mismatch", "Fine")</f>
        <v>Fine</v>
      </c>
      <c r="R44" s="10">
        <f>MediCare_Data[[#This Row],[Revenue_Generated]]-MediCare_Data[[#This Row],[Average_Treatment_Cost]]</f>
        <v>31154</v>
      </c>
      <c r="S44" s="3">
        <f>(MediCare_Data[[#This Row],[Profit]]/MediCare_Data[[#This Row],[Revenue_Generated]])</f>
        <v>0.98392445441051068</v>
      </c>
    </row>
    <row r="45" spans="1:22" x14ac:dyDescent="0.25">
      <c r="A45" t="s">
        <v>92</v>
      </c>
      <c r="B45" t="s">
        <v>74</v>
      </c>
      <c r="C45" t="s">
        <v>15</v>
      </c>
      <c r="D45" t="s">
        <v>16</v>
      </c>
      <c r="E45">
        <v>37</v>
      </c>
      <c r="F45" t="str">
        <f>IF(MediCare_Data[[#This Row],[Patient_Age]]&lt;=18,"0-18",IF(MediCare_Data[[#This Row],[Patient_Age]]&lt;=35,"19-35",IF(MediCare_Data[[#This Row],[Patient_Age]]&lt;=60,"36-60","60+")))</f>
        <v>36-60</v>
      </c>
      <c r="G45" t="s">
        <v>26</v>
      </c>
      <c r="H45" t="s">
        <v>18</v>
      </c>
      <c r="I45" s="2">
        <v>67</v>
      </c>
      <c r="J45" s="11">
        <v>760</v>
      </c>
      <c r="K45" s="3">
        <v>9.6389419220000008</v>
      </c>
      <c r="L45" s="3">
        <f t="shared" si="0"/>
        <v>9.6389419220000008E-2</v>
      </c>
      <c r="M45">
        <v>145</v>
      </c>
      <c r="N45" s="6">
        <f>MediCare_Data[[#This Row],[Average_Wait_Time (mins)]]/1440</f>
        <v>0.10069444444444445</v>
      </c>
      <c r="O45" s="2">
        <v>4</v>
      </c>
      <c r="P45" s="10">
        <v>7078</v>
      </c>
      <c r="Q45" s="17" t="str">
        <f>IF(AND(MediCare_Data[[#This Row],[Patient_Gender]]="Male", MediCare_Data[[#This Row],[Treatment_Type]]="Maternity"), "Gender-Treatment Mismatch", "Fine")</f>
        <v>Fine</v>
      </c>
      <c r="R45" s="10">
        <f>MediCare_Data[[#This Row],[Revenue_Generated]]-MediCare_Data[[#This Row],[Average_Treatment_Cost]]</f>
        <v>6318</v>
      </c>
      <c r="S45" s="3">
        <f>(MediCare_Data[[#This Row],[Profit]]/MediCare_Data[[#This Row],[Revenue_Generated]])</f>
        <v>0.89262503532071202</v>
      </c>
    </row>
    <row r="46" spans="1:22" x14ac:dyDescent="0.25">
      <c r="A46" t="s">
        <v>93</v>
      </c>
      <c r="B46" t="s">
        <v>14</v>
      </c>
      <c r="C46" t="s">
        <v>36</v>
      </c>
      <c r="D46" t="s">
        <v>32</v>
      </c>
      <c r="E46">
        <v>32</v>
      </c>
      <c r="F46" t="str">
        <f>IF(MediCare_Data[[#This Row],[Patient_Age]]&lt;=18,"0-18",IF(MediCare_Data[[#This Row],[Patient_Age]]&lt;=35,"19-35",IF(MediCare_Data[[#This Row],[Patient_Age]]&lt;=60,"36-60","60+")))</f>
        <v>19-35</v>
      </c>
      <c r="G46" t="s">
        <v>17</v>
      </c>
      <c r="H46" t="s">
        <v>37</v>
      </c>
      <c r="I46" s="2">
        <v>53</v>
      </c>
      <c r="J46" s="11">
        <v>6538</v>
      </c>
      <c r="K46" s="3">
        <v>12.818119920000001</v>
      </c>
      <c r="L46" s="3">
        <f t="shared" si="0"/>
        <v>0.12818119920000001</v>
      </c>
      <c r="M46">
        <v>129</v>
      </c>
      <c r="N46" s="6">
        <f>MediCare_Data[[#This Row],[Average_Wait_Time (mins)]]/1440</f>
        <v>8.9583333333333334E-2</v>
      </c>
      <c r="O46" s="2">
        <v>3</v>
      </c>
      <c r="P46" s="10">
        <v>30631</v>
      </c>
      <c r="Q46" s="17" t="str">
        <f>IF(AND(MediCare_Data[[#This Row],[Patient_Gender]]="Male", MediCare_Data[[#This Row],[Treatment_Type]]="Maternity"), "Gender-Treatment Mismatch", "Fine")</f>
        <v>Fine</v>
      </c>
      <c r="R46" s="10">
        <f>MediCare_Data[[#This Row],[Revenue_Generated]]-MediCare_Data[[#This Row],[Average_Treatment_Cost]]</f>
        <v>24093</v>
      </c>
      <c r="S46" s="3">
        <f>(MediCare_Data[[#This Row],[Profit]]/MediCare_Data[[#This Row],[Revenue_Generated]])</f>
        <v>0.78655610329404846</v>
      </c>
    </row>
    <row r="47" spans="1:22" x14ac:dyDescent="0.25">
      <c r="A47" t="s">
        <v>94</v>
      </c>
      <c r="B47" t="s">
        <v>58</v>
      </c>
      <c r="C47" t="s">
        <v>46</v>
      </c>
      <c r="D47" t="s">
        <v>16</v>
      </c>
      <c r="E47">
        <v>19</v>
      </c>
      <c r="F47" t="str">
        <f>IF(MediCare_Data[[#This Row],[Patient_Age]]&lt;=18,"0-18",IF(MediCare_Data[[#This Row],[Patient_Age]]&lt;=35,"19-35",IF(MediCare_Data[[#This Row],[Patient_Age]]&lt;=60,"36-60","60+")))</f>
        <v>19-35</v>
      </c>
      <c r="G47" t="s">
        <v>22</v>
      </c>
      <c r="H47" t="s">
        <v>23</v>
      </c>
      <c r="I47" s="2">
        <v>74</v>
      </c>
      <c r="J47" s="11">
        <v>2719</v>
      </c>
      <c r="K47" s="3">
        <v>16.889526700000001</v>
      </c>
      <c r="L47" s="3">
        <f t="shared" si="0"/>
        <v>0.16889526700000002</v>
      </c>
      <c r="M47">
        <v>135</v>
      </c>
      <c r="N47" s="6">
        <f>MediCare_Data[[#This Row],[Average_Wait_Time (mins)]]/1440</f>
        <v>9.375E-2</v>
      </c>
      <c r="O47" s="2">
        <v>1</v>
      </c>
      <c r="P47" s="10">
        <v>31140</v>
      </c>
      <c r="Q47" s="17" t="str">
        <f>IF(AND(MediCare_Data[[#This Row],[Patient_Gender]]="Male", MediCare_Data[[#This Row],[Treatment_Type]]="Maternity"), "Gender-Treatment Mismatch", "Fine")</f>
        <v>Fine</v>
      </c>
      <c r="R47" s="10">
        <f>MediCare_Data[[#This Row],[Revenue_Generated]]-MediCare_Data[[#This Row],[Average_Treatment_Cost]]</f>
        <v>28421</v>
      </c>
      <c r="S47" s="3">
        <f>(MediCare_Data[[#This Row],[Profit]]/MediCare_Data[[#This Row],[Revenue_Generated]])</f>
        <v>0.91268464996788701</v>
      </c>
    </row>
    <row r="48" spans="1:22" x14ac:dyDescent="0.25">
      <c r="A48" t="s">
        <v>95</v>
      </c>
      <c r="B48" t="s">
        <v>35</v>
      </c>
      <c r="C48" t="s">
        <v>15</v>
      </c>
      <c r="D48" t="s">
        <v>21</v>
      </c>
      <c r="E48">
        <v>17</v>
      </c>
      <c r="F48" t="str">
        <f>IF(MediCare_Data[[#This Row],[Patient_Age]]&lt;=18,"0-18",IF(MediCare_Data[[#This Row],[Patient_Age]]&lt;=35,"19-35",IF(MediCare_Data[[#This Row],[Patient_Age]]&lt;=60,"36-60","60+")))</f>
        <v>0-18</v>
      </c>
      <c r="G48" t="s">
        <v>22</v>
      </c>
      <c r="H48" t="s">
        <v>33</v>
      </c>
      <c r="I48" s="2">
        <v>63</v>
      </c>
      <c r="J48" s="11">
        <v>7541</v>
      </c>
      <c r="K48" s="3">
        <v>14.935337179999999</v>
      </c>
      <c r="L48" s="3">
        <f t="shared" si="0"/>
        <v>0.1493533718</v>
      </c>
      <c r="M48">
        <v>64</v>
      </c>
      <c r="N48" s="6">
        <f>MediCare_Data[[#This Row],[Average_Wait_Time (mins)]]/1440</f>
        <v>4.4444444444444446E-2</v>
      </c>
      <c r="O48" s="2">
        <v>4</v>
      </c>
      <c r="P48" s="10">
        <v>42691</v>
      </c>
      <c r="Q48" s="17" t="str">
        <f>IF(AND(MediCare_Data[[#This Row],[Patient_Gender]]="Male", MediCare_Data[[#This Row],[Treatment_Type]]="Maternity"), "Gender-Treatment Mismatch", "Fine")</f>
        <v>Fine</v>
      </c>
      <c r="R48" s="10">
        <f>MediCare_Data[[#This Row],[Revenue_Generated]]-MediCare_Data[[#This Row],[Average_Treatment_Cost]]</f>
        <v>35150</v>
      </c>
      <c r="S48" s="3">
        <f>(MediCare_Data[[#This Row],[Profit]]/MediCare_Data[[#This Row],[Revenue_Generated]])</f>
        <v>0.82335855332505681</v>
      </c>
    </row>
    <row r="49" spans="1:19" x14ac:dyDescent="0.25">
      <c r="A49" t="s">
        <v>96</v>
      </c>
      <c r="B49" t="s">
        <v>49</v>
      </c>
      <c r="C49" t="s">
        <v>46</v>
      </c>
      <c r="D49" t="s">
        <v>21</v>
      </c>
      <c r="E49">
        <v>67</v>
      </c>
      <c r="F49" t="str">
        <f>IF(MediCare_Data[[#This Row],[Patient_Age]]&lt;=18,"0-18",IF(MediCare_Data[[#This Row],[Patient_Age]]&lt;=35,"19-35",IF(MediCare_Data[[#This Row],[Patient_Age]]&lt;=60,"36-60","60+")))</f>
        <v>60+</v>
      </c>
      <c r="G49" t="s">
        <v>17</v>
      </c>
      <c r="H49" t="s">
        <v>23</v>
      </c>
      <c r="I49" s="2">
        <v>99</v>
      </c>
      <c r="J49" s="11">
        <v>2560</v>
      </c>
      <c r="K49" s="3">
        <v>24.755710400000002</v>
      </c>
      <c r="L49" s="3">
        <f t="shared" si="0"/>
        <v>0.24755710400000003</v>
      </c>
      <c r="M49">
        <v>36</v>
      </c>
      <c r="N49" s="6">
        <f>MediCare_Data[[#This Row],[Average_Wait_Time (mins)]]/1440</f>
        <v>2.5000000000000001E-2</v>
      </c>
      <c r="O49" s="2">
        <v>4</v>
      </c>
      <c r="P49" s="10">
        <v>4961</v>
      </c>
      <c r="Q49" s="17" t="str">
        <f>IF(AND(MediCare_Data[[#This Row],[Patient_Gender]]="Male", MediCare_Data[[#This Row],[Treatment_Type]]="Maternity"), "Gender-Treatment Mismatch", "Fine")</f>
        <v>Fine</v>
      </c>
      <c r="R49" s="10">
        <f>MediCare_Data[[#This Row],[Revenue_Generated]]-MediCare_Data[[#This Row],[Average_Treatment_Cost]]</f>
        <v>2401</v>
      </c>
      <c r="S49" s="3">
        <f>(MediCare_Data[[#This Row],[Profit]]/MediCare_Data[[#This Row],[Revenue_Generated]])</f>
        <v>0.48397500503930657</v>
      </c>
    </row>
    <row r="50" spans="1:19" x14ac:dyDescent="0.25">
      <c r="A50" t="s">
        <v>97</v>
      </c>
      <c r="B50" t="s">
        <v>56</v>
      </c>
      <c r="C50" t="s">
        <v>54</v>
      </c>
      <c r="D50" t="s">
        <v>16</v>
      </c>
      <c r="E50">
        <v>89</v>
      </c>
      <c r="F50" t="str">
        <f>IF(MediCare_Data[[#This Row],[Patient_Age]]&lt;=18,"0-18",IF(MediCare_Data[[#This Row],[Patient_Age]]&lt;=35,"19-35",IF(MediCare_Data[[#This Row],[Patient_Age]]&lt;=60,"36-60","60+")))</f>
        <v>60+</v>
      </c>
      <c r="G50" t="s">
        <v>26</v>
      </c>
      <c r="H50" t="s">
        <v>51</v>
      </c>
      <c r="I50" s="2">
        <v>58</v>
      </c>
      <c r="J50" s="11">
        <v>5787</v>
      </c>
      <c r="K50" s="3">
        <v>7.7287950509999996</v>
      </c>
      <c r="L50" s="3">
        <f t="shared" si="0"/>
        <v>7.7287950509999995E-2</v>
      </c>
      <c r="M50">
        <v>127</v>
      </c>
      <c r="N50" s="6">
        <f>MediCare_Data[[#This Row],[Average_Wait_Time (mins)]]/1440</f>
        <v>8.819444444444445E-2</v>
      </c>
      <c r="O50" s="2">
        <v>3</v>
      </c>
      <c r="P50" s="10">
        <v>30277</v>
      </c>
      <c r="Q50" s="17" t="str">
        <f>IF(AND(MediCare_Data[[#This Row],[Patient_Gender]]="Male", MediCare_Data[[#This Row],[Treatment_Type]]="Maternity"), "Gender-Treatment Mismatch", "Fine")</f>
        <v>Fine</v>
      </c>
      <c r="R50" s="10">
        <f>MediCare_Data[[#This Row],[Revenue_Generated]]-MediCare_Data[[#This Row],[Average_Treatment_Cost]]</f>
        <v>24490</v>
      </c>
      <c r="S50" s="3">
        <f>(MediCare_Data[[#This Row],[Profit]]/MediCare_Data[[#This Row],[Revenue_Generated]])</f>
        <v>0.8088648148759785</v>
      </c>
    </row>
    <row r="51" spans="1:19" x14ac:dyDescent="0.25">
      <c r="A51" t="s">
        <v>98</v>
      </c>
      <c r="B51" t="s">
        <v>39</v>
      </c>
      <c r="C51" t="s">
        <v>54</v>
      </c>
      <c r="D51" t="s">
        <v>32</v>
      </c>
      <c r="E51">
        <v>17</v>
      </c>
      <c r="F51" t="str">
        <f>IF(MediCare_Data[[#This Row],[Patient_Age]]&lt;=18,"0-18",IF(MediCare_Data[[#This Row],[Patient_Age]]&lt;=35,"19-35",IF(MediCare_Data[[#This Row],[Patient_Age]]&lt;=60,"36-60","60+")))</f>
        <v>0-18</v>
      </c>
      <c r="G51" t="s">
        <v>26</v>
      </c>
      <c r="H51" t="s">
        <v>23</v>
      </c>
      <c r="I51" s="2">
        <v>75</v>
      </c>
      <c r="J51" s="11">
        <v>2119</v>
      </c>
      <c r="K51" s="3">
        <v>18.90289108</v>
      </c>
      <c r="L51" s="3">
        <f t="shared" si="0"/>
        <v>0.18902891080000001</v>
      </c>
      <c r="M51">
        <v>62</v>
      </c>
      <c r="N51" s="6">
        <f>MediCare_Data[[#This Row],[Average_Wait_Time (mins)]]/1440</f>
        <v>4.3055555555555555E-2</v>
      </c>
      <c r="O51" s="2">
        <v>4</v>
      </c>
      <c r="P51" s="10">
        <v>42574</v>
      </c>
      <c r="Q51" s="17" t="str">
        <f>IF(AND(MediCare_Data[[#This Row],[Patient_Gender]]="Male", MediCare_Data[[#This Row],[Treatment_Type]]="Maternity"), "Gender-Treatment Mismatch", "Fine")</f>
        <v>Fine</v>
      </c>
      <c r="R51" s="10">
        <f>MediCare_Data[[#This Row],[Revenue_Generated]]-MediCare_Data[[#This Row],[Average_Treatment_Cost]]</f>
        <v>40455</v>
      </c>
      <c r="S51" s="3">
        <f>(MediCare_Data[[#This Row],[Profit]]/MediCare_Data[[#This Row],[Revenue_Generated]])</f>
        <v>0.95022783858693094</v>
      </c>
    </row>
    <row r="52" spans="1:19" x14ac:dyDescent="0.25">
      <c r="A52" t="s">
        <v>99</v>
      </c>
      <c r="B52" t="s">
        <v>61</v>
      </c>
      <c r="C52" t="s">
        <v>20</v>
      </c>
      <c r="D52" t="s">
        <v>16</v>
      </c>
      <c r="E52">
        <v>61</v>
      </c>
      <c r="F52" t="str">
        <f>IF(MediCare_Data[[#This Row],[Patient_Age]]&lt;=18,"0-18",IF(MediCare_Data[[#This Row],[Patient_Age]]&lt;=35,"19-35",IF(MediCare_Data[[#This Row],[Patient_Age]]&lt;=60,"36-60","60+")))</f>
        <v>60+</v>
      </c>
      <c r="G52" t="s">
        <v>26</v>
      </c>
      <c r="H52" t="s">
        <v>37</v>
      </c>
      <c r="I52" s="2">
        <v>51</v>
      </c>
      <c r="J52" s="11">
        <v>9012</v>
      </c>
      <c r="K52" s="3">
        <v>13.08637536</v>
      </c>
      <c r="L52" s="3">
        <f t="shared" si="0"/>
        <v>0.13086375359999999</v>
      </c>
      <c r="M52">
        <v>48</v>
      </c>
      <c r="N52" s="6">
        <f>MediCare_Data[[#This Row],[Average_Wait_Time (mins)]]/1440</f>
        <v>3.3333333333333333E-2</v>
      </c>
      <c r="O52" s="2">
        <v>4</v>
      </c>
      <c r="P52" s="10">
        <v>32417</v>
      </c>
      <c r="Q52" s="17" t="str">
        <f>IF(AND(MediCare_Data[[#This Row],[Patient_Gender]]="Male", MediCare_Data[[#This Row],[Treatment_Type]]="Maternity"), "Gender-Treatment Mismatch", "Fine")</f>
        <v>Gender-Treatment Mismatch</v>
      </c>
      <c r="R52" s="10">
        <f>MediCare_Data[[#This Row],[Revenue_Generated]]-MediCare_Data[[#This Row],[Average_Treatment_Cost]]</f>
        <v>23405</v>
      </c>
      <c r="S52" s="3">
        <f>(MediCare_Data[[#This Row],[Profit]]/MediCare_Data[[#This Row],[Revenue_Generated]])</f>
        <v>0.72199771724712347</v>
      </c>
    </row>
    <row r="53" spans="1:19" x14ac:dyDescent="0.25">
      <c r="A53" t="s">
        <v>100</v>
      </c>
      <c r="B53" t="s">
        <v>53</v>
      </c>
      <c r="C53" t="s">
        <v>36</v>
      </c>
      <c r="D53" t="s">
        <v>16</v>
      </c>
      <c r="E53">
        <v>53</v>
      </c>
      <c r="F53" t="str">
        <f>IF(MediCare_Data[[#This Row],[Patient_Age]]&lt;=18,"0-18",IF(MediCare_Data[[#This Row],[Patient_Age]]&lt;=35,"19-35",IF(MediCare_Data[[#This Row],[Patient_Age]]&lt;=60,"36-60","60+")))</f>
        <v>36-60</v>
      </c>
      <c r="G53" t="s">
        <v>22</v>
      </c>
      <c r="H53" t="s">
        <v>18</v>
      </c>
      <c r="I53" s="2">
        <v>69</v>
      </c>
      <c r="J53" s="11">
        <v>1842</v>
      </c>
      <c r="K53" s="3">
        <v>13.563992300000001</v>
      </c>
      <c r="L53" s="3">
        <f t="shared" si="0"/>
        <v>0.135639923</v>
      </c>
      <c r="M53">
        <v>74</v>
      </c>
      <c r="N53" s="6">
        <f>MediCare_Data[[#This Row],[Average_Wait_Time (mins)]]/1440</f>
        <v>5.1388888888888887E-2</v>
      </c>
      <c r="O53" s="2">
        <v>1</v>
      </c>
      <c r="P53" s="10">
        <v>23484</v>
      </c>
      <c r="Q53" s="17" t="str">
        <f>IF(AND(MediCare_Data[[#This Row],[Patient_Gender]]="Male", MediCare_Data[[#This Row],[Treatment_Type]]="Maternity"), "Gender-Treatment Mismatch", "Fine")</f>
        <v>Fine</v>
      </c>
      <c r="R53" s="10">
        <f>MediCare_Data[[#This Row],[Revenue_Generated]]-MediCare_Data[[#This Row],[Average_Treatment_Cost]]</f>
        <v>21642</v>
      </c>
      <c r="S53" s="3">
        <f>(MediCare_Data[[#This Row],[Profit]]/MediCare_Data[[#This Row],[Revenue_Generated]])</f>
        <v>0.92156361778231988</v>
      </c>
    </row>
    <row r="54" spans="1:19" x14ac:dyDescent="0.25">
      <c r="A54" t="s">
        <v>101</v>
      </c>
      <c r="B54" t="s">
        <v>41</v>
      </c>
      <c r="C54" t="s">
        <v>29</v>
      </c>
      <c r="D54" t="s">
        <v>16</v>
      </c>
      <c r="E54">
        <v>16</v>
      </c>
      <c r="F54" t="str">
        <f>IF(MediCare_Data[[#This Row],[Patient_Age]]&lt;=18,"0-18",IF(MediCare_Data[[#This Row],[Patient_Age]]&lt;=35,"19-35",IF(MediCare_Data[[#This Row],[Patient_Age]]&lt;=60,"36-60","60+")))</f>
        <v>0-18</v>
      </c>
      <c r="G54" t="s">
        <v>17</v>
      </c>
      <c r="H54" t="s">
        <v>33</v>
      </c>
      <c r="I54" s="2">
        <v>77</v>
      </c>
      <c r="J54" s="11">
        <v>3332</v>
      </c>
      <c r="K54" s="3">
        <v>19.351955310000001</v>
      </c>
      <c r="L54" s="3">
        <f t="shared" si="0"/>
        <v>0.19351955310000002</v>
      </c>
      <c r="M54">
        <v>154</v>
      </c>
      <c r="N54" s="6">
        <f>MediCare_Data[[#This Row],[Average_Wait_Time (mins)]]/1440</f>
        <v>0.10694444444444444</v>
      </c>
      <c r="O54" s="2">
        <v>1</v>
      </c>
      <c r="P54" s="10">
        <v>19103</v>
      </c>
      <c r="Q54" s="17" t="str">
        <f>IF(AND(MediCare_Data[[#This Row],[Patient_Gender]]="Male", MediCare_Data[[#This Row],[Treatment_Type]]="Maternity"), "Gender-Treatment Mismatch", "Fine")</f>
        <v>Fine</v>
      </c>
      <c r="R54" s="10">
        <f>MediCare_Data[[#This Row],[Revenue_Generated]]-MediCare_Data[[#This Row],[Average_Treatment_Cost]]</f>
        <v>15771</v>
      </c>
      <c r="S54" s="3">
        <f>(MediCare_Data[[#This Row],[Profit]]/MediCare_Data[[#This Row],[Revenue_Generated]])</f>
        <v>0.82557713448149506</v>
      </c>
    </row>
    <row r="55" spans="1:19" x14ac:dyDescent="0.25">
      <c r="A55" t="s">
        <v>102</v>
      </c>
      <c r="B55" t="s">
        <v>58</v>
      </c>
      <c r="C55" t="s">
        <v>42</v>
      </c>
      <c r="D55" t="s">
        <v>32</v>
      </c>
      <c r="E55">
        <v>19</v>
      </c>
      <c r="F55" t="str">
        <f>IF(MediCare_Data[[#This Row],[Patient_Age]]&lt;=18,"0-18",IF(MediCare_Data[[#This Row],[Patient_Age]]&lt;=35,"19-35",IF(MediCare_Data[[#This Row],[Patient_Age]]&lt;=60,"36-60","60+")))</f>
        <v>19-35</v>
      </c>
      <c r="G55" t="s">
        <v>17</v>
      </c>
      <c r="H55" t="s">
        <v>18</v>
      </c>
      <c r="I55" s="2">
        <v>96</v>
      </c>
      <c r="J55" s="11">
        <v>3324</v>
      </c>
      <c r="K55" s="3">
        <v>18.848723029999999</v>
      </c>
      <c r="L55" s="3">
        <f t="shared" si="0"/>
        <v>0.18848723029999997</v>
      </c>
      <c r="M55">
        <v>167</v>
      </c>
      <c r="N55" s="6">
        <f>MediCare_Data[[#This Row],[Average_Wait_Time (mins)]]/1440</f>
        <v>0.11597222222222223</v>
      </c>
      <c r="O55" s="2">
        <v>1</v>
      </c>
      <c r="P55" s="10">
        <v>30345</v>
      </c>
      <c r="Q55" s="17" t="str">
        <f>IF(AND(MediCare_Data[[#This Row],[Patient_Gender]]="Male", MediCare_Data[[#This Row],[Treatment_Type]]="Maternity"), "Gender-Treatment Mismatch", "Fine")</f>
        <v>Fine</v>
      </c>
      <c r="R55" s="10">
        <f>MediCare_Data[[#This Row],[Revenue_Generated]]-MediCare_Data[[#This Row],[Average_Treatment_Cost]]</f>
        <v>27021</v>
      </c>
      <c r="S55" s="3">
        <f>(MediCare_Data[[#This Row],[Profit]]/MediCare_Data[[#This Row],[Revenue_Generated]])</f>
        <v>0.89045971329708351</v>
      </c>
    </row>
    <row r="56" spans="1:19" x14ac:dyDescent="0.25">
      <c r="A56" t="s">
        <v>103</v>
      </c>
      <c r="B56" t="s">
        <v>45</v>
      </c>
      <c r="C56" t="s">
        <v>31</v>
      </c>
      <c r="D56" t="s">
        <v>32</v>
      </c>
      <c r="E56">
        <v>24</v>
      </c>
      <c r="F56" t="str">
        <f>IF(MediCare_Data[[#This Row],[Patient_Age]]&lt;=18,"0-18",IF(MediCare_Data[[#This Row],[Patient_Age]]&lt;=35,"19-35",IF(MediCare_Data[[#This Row],[Patient_Age]]&lt;=60,"36-60","60+")))</f>
        <v>19-35</v>
      </c>
      <c r="G56" t="s">
        <v>17</v>
      </c>
      <c r="H56" t="s">
        <v>23</v>
      </c>
      <c r="I56" s="2">
        <v>56</v>
      </c>
      <c r="J56" s="11">
        <v>2494</v>
      </c>
      <c r="K56" s="3">
        <v>24.825119870000002</v>
      </c>
      <c r="L56" s="3">
        <f t="shared" si="0"/>
        <v>0.24825119870000001</v>
      </c>
      <c r="M56">
        <v>22</v>
      </c>
      <c r="N56" s="6">
        <f>MediCare_Data[[#This Row],[Average_Wait_Time (mins)]]/1440</f>
        <v>1.5277777777777777E-2</v>
      </c>
      <c r="O56" s="2">
        <v>2</v>
      </c>
      <c r="P56" s="10">
        <v>47326</v>
      </c>
      <c r="Q56" s="17" t="str">
        <f>IF(AND(MediCare_Data[[#This Row],[Patient_Gender]]="Male", MediCare_Data[[#This Row],[Treatment_Type]]="Maternity"), "Gender-Treatment Mismatch", "Fine")</f>
        <v>Fine</v>
      </c>
      <c r="R56" s="10">
        <f>MediCare_Data[[#This Row],[Revenue_Generated]]-MediCare_Data[[#This Row],[Average_Treatment_Cost]]</f>
        <v>44832</v>
      </c>
      <c r="S56" s="3">
        <f>(MediCare_Data[[#This Row],[Profit]]/MediCare_Data[[#This Row],[Revenue_Generated]])</f>
        <v>0.94730169462874525</v>
      </c>
    </row>
    <row r="57" spans="1:19" x14ac:dyDescent="0.25">
      <c r="A57" t="s">
        <v>104</v>
      </c>
      <c r="B57" t="s">
        <v>28</v>
      </c>
      <c r="C57" t="s">
        <v>15</v>
      </c>
      <c r="D57" t="s">
        <v>16</v>
      </c>
      <c r="E57">
        <v>54</v>
      </c>
      <c r="F57" t="str">
        <f>IF(MediCare_Data[[#This Row],[Patient_Age]]&lt;=18,"0-18",IF(MediCare_Data[[#This Row],[Patient_Age]]&lt;=35,"19-35",IF(MediCare_Data[[#This Row],[Patient_Age]]&lt;=60,"36-60","60+")))</f>
        <v>36-60</v>
      </c>
      <c r="G57" t="s">
        <v>22</v>
      </c>
      <c r="H57" t="s">
        <v>37</v>
      </c>
      <c r="I57" s="2">
        <v>93</v>
      </c>
      <c r="J57" s="11">
        <v>3990</v>
      </c>
      <c r="K57" s="3">
        <v>7.567885789</v>
      </c>
      <c r="L57" s="3">
        <f t="shared" si="0"/>
        <v>7.5678857890000006E-2</v>
      </c>
      <c r="M57">
        <v>30</v>
      </c>
      <c r="N57" s="6">
        <f>MediCare_Data[[#This Row],[Average_Wait_Time (mins)]]/1440</f>
        <v>2.0833333333333332E-2</v>
      </c>
      <c r="O57" s="2">
        <v>2</v>
      </c>
      <c r="P57" s="10">
        <v>40454</v>
      </c>
      <c r="Q57" s="17" t="str">
        <f>IF(AND(MediCare_Data[[#This Row],[Patient_Gender]]="Male", MediCare_Data[[#This Row],[Treatment_Type]]="Maternity"), "Gender-Treatment Mismatch", "Fine")</f>
        <v>Gender-Treatment Mismatch</v>
      </c>
      <c r="R57" s="10">
        <f>MediCare_Data[[#This Row],[Revenue_Generated]]-MediCare_Data[[#This Row],[Average_Treatment_Cost]]</f>
        <v>36464</v>
      </c>
      <c r="S57" s="3">
        <f>(MediCare_Data[[#This Row],[Profit]]/MediCare_Data[[#This Row],[Revenue_Generated]])</f>
        <v>0.90136945666683144</v>
      </c>
    </row>
    <row r="58" spans="1:19" x14ac:dyDescent="0.25">
      <c r="A58" t="s">
        <v>105</v>
      </c>
      <c r="B58" t="s">
        <v>56</v>
      </c>
      <c r="C58" t="s">
        <v>29</v>
      </c>
      <c r="D58" t="s">
        <v>21</v>
      </c>
      <c r="E58">
        <v>78</v>
      </c>
      <c r="F58" t="str">
        <f>IF(MediCare_Data[[#This Row],[Patient_Age]]&lt;=18,"0-18",IF(MediCare_Data[[#This Row],[Patient_Age]]&lt;=35,"19-35",IF(MediCare_Data[[#This Row],[Patient_Age]]&lt;=60,"36-60","60+")))</f>
        <v>60+</v>
      </c>
      <c r="G58" t="s">
        <v>17</v>
      </c>
      <c r="H58" t="s">
        <v>33</v>
      </c>
      <c r="I58" s="2">
        <v>57</v>
      </c>
      <c r="J58" s="11">
        <v>9810</v>
      </c>
      <c r="K58" s="3">
        <v>7.0821929880000001</v>
      </c>
      <c r="L58" s="3">
        <f t="shared" si="0"/>
        <v>7.0821929879999995E-2</v>
      </c>
      <c r="M58">
        <v>156</v>
      </c>
      <c r="N58" s="6">
        <f>MediCare_Data[[#This Row],[Average_Wait_Time (mins)]]/1440</f>
        <v>0.10833333333333334</v>
      </c>
      <c r="O58" s="2">
        <v>1</v>
      </c>
      <c r="P58" s="10">
        <v>2587</v>
      </c>
      <c r="Q58" s="17" t="str">
        <f>IF(AND(MediCare_Data[[#This Row],[Patient_Gender]]="Male", MediCare_Data[[#This Row],[Treatment_Type]]="Maternity"), "Gender-Treatment Mismatch", "Fine")</f>
        <v>Fine</v>
      </c>
      <c r="R58" s="10">
        <f>MediCare_Data[[#This Row],[Revenue_Generated]]-MediCare_Data[[#This Row],[Average_Treatment_Cost]]</f>
        <v>-7223</v>
      </c>
      <c r="S58" s="3">
        <f>(MediCare_Data[[#This Row],[Profit]]/MediCare_Data[[#This Row],[Revenue_Generated]])</f>
        <v>-2.7920371086200233</v>
      </c>
    </row>
    <row r="59" spans="1:19" x14ac:dyDescent="0.25">
      <c r="A59" t="s">
        <v>106</v>
      </c>
      <c r="B59" t="s">
        <v>58</v>
      </c>
      <c r="C59" t="s">
        <v>20</v>
      </c>
      <c r="D59" t="s">
        <v>16</v>
      </c>
      <c r="E59">
        <v>42</v>
      </c>
      <c r="F59" t="str">
        <f>IF(MediCare_Data[[#This Row],[Patient_Age]]&lt;=18,"0-18",IF(MediCare_Data[[#This Row],[Patient_Age]]&lt;=35,"19-35",IF(MediCare_Data[[#This Row],[Patient_Age]]&lt;=60,"36-60","60+")))</f>
        <v>36-60</v>
      </c>
      <c r="G59" t="s">
        <v>22</v>
      </c>
      <c r="H59" t="s">
        <v>47</v>
      </c>
      <c r="I59" s="2">
        <v>96</v>
      </c>
      <c r="J59" s="11">
        <v>8484</v>
      </c>
      <c r="K59" s="3">
        <v>19.486776339999999</v>
      </c>
      <c r="L59" s="3">
        <f t="shared" si="0"/>
        <v>0.19486776339999998</v>
      </c>
      <c r="M59">
        <v>62</v>
      </c>
      <c r="N59" s="6">
        <f>MediCare_Data[[#This Row],[Average_Wait_Time (mins)]]/1440</f>
        <v>4.3055555555555555E-2</v>
      </c>
      <c r="O59" s="2">
        <v>1</v>
      </c>
      <c r="P59" s="10">
        <v>43571</v>
      </c>
      <c r="Q59" s="17" t="str">
        <f>IF(AND(MediCare_Data[[#This Row],[Patient_Gender]]="Male", MediCare_Data[[#This Row],[Treatment_Type]]="Maternity"), "Gender-Treatment Mismatch", "Fine")</f>
        <v>Fine</v>
      </c>
      <c r="R59" s="10">
        <f>MediCare_Data[[#This Row],[Revenue_Generated]]-MediCare_Data[[#This Row],[Average_Treatment_Cost]]</f>
        <v>35087</v>
      </c>
      <c r="S59" s="3">
        <f>(MediCare_Data[[#This Row],[Profit]]/MediCare_Data[[#This Row],[Revenue_Generated]])</f>
        <v>0.80528333065571134</v>
      </c>
    </row>
    <row r="60" spans="1:19" x14ac:dyDescent="0.25">
      <c r="A60" t="s">
        <v>107</v>
      </c>
      <c r="B60" t="s">
        <v>58</v>
      </c>
      <c r="C60" t="s">
        <v>31</v>
      </c>
      <c r="D60" t="s">
        <v>21</v>
      </c>
      <c r="E60">
        <v>51</v>
      </c>
      <c r="F60" t="str">
        <f>IF(MediCare_Data[[#This Row],[Patient_Age]]&lt;=18,"0-18",IF(MediCare_Data[[#This Row],[Patient_Age]]&lt;=35,"19-35",IF(MediCare_Data[[#This Row],[Patient_Age]]&lt;=60,"36-60","60+")))</f>
        <v>36-60</v>
      </c>
      <c r="G60" t="s">
        <v>22</v>
      </c>
      <c r="H60" t="s">
        <v>51</v>
      </c>
      <c r="I60" s="2">
        <v>84</v>
      </c>
      <c r="J60" s="11">
        <v>2104</v>
      </c>
      <c r="K60" s="3">
        <v>16.567738339999998</v>
      </c>
      <c r="L60" s="3">
        <f t="shared" si="0"/>
        <v>0.16567738339999999</v>
      </c>
      <c r="M60">
        <v>28</v>
      </c>
      <c r="N60" s="6">
        <f>MediCare_Data[[#This Row],[Average_Wait_Time (mins)]]/1440</f>
        <v>1.9444444444444445E-2</v>
      </c>
      <c r="O60" s="2">
        <v>2</v>
      </c>
      <c r="P60" s="10">
        <v>22031</v>
      </c>
      <c r="Q60" s="17" t="str">
        <f>IF(AND(MediCare_Data[[#This Row],[Patient_Gender]]="Male", MediCare_Data[[#This Row],[Treatment_Type]]="Maternity"), "Gender-Treatment Mismatch", "Fine")</f>
        <v>Fine</v>
      </c>
      <c r="R60" s="10">
        <f>MediCare_Data[[#This Row],[Revenue_Generated]]-MediCare_Data[[#This Row],[Average_Treatment_Cost]]</f>
        <v>19927</v>
      </c>
      <c r="S60" s="3">
        <f>(MediCare_Data[[#This Row],[Profit]]/MediCare_Data[[#This Row],[Revenue_Generated]])</f>
        <v>0.90449820707185324</v>
      </c>
    </row>
    <row r="61" spans="1:19" x14ac:dyDescent="0.25">
      <c r="A61" t="s">
        <v>108</v>
      </c>
      <c r="B61" t="s">
        <v>28</v>
      </c>
      <c r="C61" t="s">
        <v>36</v>
      </c>
      <c r="D61" t="s">
        <v>21</v>
      </c>
      <c r="E61">
        <v>4</v>
      </c>
      <c r="F61" t="str">
        <f>IF(MediCare_Data[[#This Row],[Patient_Age]]&lt;=18,"0-18",IF(MediCare_Data[[#This Row],[Patient_Age]]&lt;=35,"19-35",IF(MediCare_Data[[#This Row],[Patient_Age]]&lt;=60,"36-60","60+")))</f>
        <v>0-18</v>
      </c>
      <c r="G61" t="s">
        <v>26</v>
      </c>
      <c r="H61" t="s">
        <v>33</v>
      </c>
      <c r="I61" s="2">
        <v>63</v>
      </c>
      <c r="J61" s="11">
        <v>735</v>
      </c>
      <c r="K61" s="3">
        <v>10.48321333</v>
      </c>
      <c r="L61" s="3">
        <f t="shared" si="0"/>
        <v>0.1048321333</v>
      </c>
      <c r="M61">
        <v>66</v>
      </c>
      <c r="N61" s="6">
        <f>MediCare_Data[[#This Row],[Average_Wait_Time (mins)]]/1440</f>
        <v>4.583333333333333E-2</v>
      </c>
      <c r="O61" s="2">
        <v>3</v>
      </c>
      <c r="P61" s="10">
        <v>27212</v>
      </c>
      <c r="Q61" s="17" t="str">
        <f>IF(AND(MediCare_Data[[#This Row],[Patient_Gender]]="Male", MediCare_Data[[#This Row],[Treatment_Type]]="Maternity"), "Gender-Treatment Mismatch", "Fine")</f>
        <v>Fine</v>
      </c>
      <c r="R61" s="10">
        <f>MediCare_Data[[#This Row],[Revenue_Generated]]-MediCare_Data[[#This Row],[Average_Treatment_Cost]]</f>
        <v>26477</v>
      </c>
      <c r="S61" s="3">
        <f>(MediCare_Data[[#This Row],[Profit]]/MediCare_Data[[#This Row],[Revenue_Generated]])</f>
        <v>0.97298985741584598</v>
      </c>
    </row>
    <row r="62" spans="1:19" x14ac:dyDescent="0.25">
      <c r="A62" t="s">
        <v>109</v>
      </c>
      <c r="B62" t="s">
        <v>41</v>
      </c>
      <c r="C62" t="s">
        <v>31</v>
      </c>
      <c r="D62" t="s">
        <v>32</v>
      </c>
      <c r="E62">
        <v>25</v>
      </c>
      <c r="F62" t="str">
        <f>IF(MediCare_Data[[#This Row],[Patient_Age]]&lt;=18,"0-18",IF(MediCare_Data[[#This Row],[Patient_Age]]&lt;=35,"19-35",IF(MediCare_Data[[#This Row],[Patient_Age]]&lt;=60,"36-60","60+")))</f>
        <v>19-35</v>
      </c>
      <c r="G62" t="s">
        <v>17</v>
      </c>
      <c r="H62" t="s">
        <v>37</v>
      </c>
      <c r="I62" s="2">
        <v>66</v>
      </c>
      <c r="J62" s="11">
        <v>2408</v>
      </c>
      <c r="K62" s="3">
        <v>6.5883873800000003</v>
      </c>
      <c r="L62" s="3">
        <f t="shared" si="0"/>
        <v>6.5883873800000006E-2</v>
      </c>
      <c r="M62">
        <v>34</v>
      </c>
      <c r="N62" s="6">
        <f>MediCare_Data[[#This Row],[Average_Wait_Time (mins)]]/1440</f>
        <v>2.361111111111111E-2</v>
      </c>
      <c r="O62" s="2">
        <v>4</v>
      </c>
      <c r="P62" s="10">
        <v>11350</v>
      </c>
      <c r="Q62" s="17" t="str">
        <f>IF(AND(MediCare_Data[[#This Row],[Patient_Gender]]="Male", MediCare_Data[[#This Row],[Treatment_Type]]="Maternity"), "Gender-Treatment Mismatch", "Fine")</f>
        <v>Fine</v>
      </c>
      <c r="R62" s="10">
        <f>MediCare_Data[[#This Row],[Revenue_Generated]]-MediCare_Data[[#This Row],[Average_Treatment_Cost]]</f>
        <v>8942</v>
      </c>
      <c r="S62" s="3">
        <f>(MediCare_Data[[#This Row],[Profit]]/MediCare_Data[[#This Row],[Revenue_Generated]])</f>
        <v>0.78784140969162997</v>
      </c>
    </row>
    <row r="63" spans="1:19" x14ac:dyDescent="0.25">
      <c r="A63" t="s">
        <v>110</v>
      </c>
      <c r="B63" t="s">
        <v>14</v>
      </c>
      <c r="C63" t="s">
        <v>42</v>
      </c>
      <c r="D63" t="s">
        <v>21</v>
      </c>
      <c r="E63">
        <v>3</v>
      </c>
      <c r="F63" t="str">
        <f>IF(MediCare_Data[[#This Row],[Patient_Age]]&lt;=18,"0-18",IF(MediCare_Data[[#This Row],[Patient_Age]]&lt;=35,"19-35",IF(MediCare_Data[[#This Row],[Patient_Age]]&lt;=60,"36-60","60+")))</f>
        <v>0-18</v>
      </c>
      <c r="G63" t="s">
        <v>17</v>
      </c>
      <c r="H63" t="s">
        <v>23</v>
      </c>
      <c r="I63" s="2">
        <v>85</v>
      </c>
      <c r="J63" s="11">
        <v>9067</v>
      </c>
      <c r="K63" s="3">
        <v>6.7131649920000003</v>
      </c>
      <c r="L63" s="3">
        <f t="shared" si="0"/>
        <v>6.7131649920000008E-2</v>
      </c>
      <c r="M63">
        <v>40</v>
      </c>
      <c r="N63" s="6">
        <f>MediCare_Data[[#This Row],[Average_Wait_Time (mins)]]/1440</f>
        <v>2.7777777777777776E-2</v>
      </c>
      <c r="O63" s="2">
        <v>4</v>
      </c>
      <c r="P63" s="10">
        <v>19816</v>
      </c>
      <c r="Q63" s="17" t="str">
        <f>IF(AND(MediCare_Data[[#This Row],[Patient_Gender]]="Male", MediCare_Data[[#This Row],[Treatment_Type]]="Maternity"), "Gender-Treatment Mismatch", "Fine")</f>
        <v>Fine</v>
      </c>
      <c r="R63" s="10">
        <f>MediCare_Data[[#This Row],[Revenue_Generated]]-MediCare_Data[[#This Row],[Average_Treatment_Cost]]</f>
        <v>10749</v>
      </c>
      <c r="S63" s="3">
        <f>(MediCare_Data[[#This Row],[Profit]]/MediCare_Data[[#This Row],[Revenue_Generated]])</f>
        <v>0.5424404521598708</v>
      </c>
    </row>
    <row r="64" spans="1:19" x14ac:dyDescent="0.25">
      <c r="A64" t="s">
        <v>111</v>
      </c>
      <c r="B64" t="s">
        <v>45</v>
      </c>
      <c r="C64" t="s">
        <v>31</v>
      </c>
      <c r="D64" t="s">
        <v>16</v>
      </c>
      <c r="E64">
        <v>32</v>
      </c>
      <c r="F64" t="str">
        <f>IF(MediCare_Data[[#This Row],[Patient_Age]]&lt;=18,"0-18",IF(MediCare_Data[[#This Row],[Patient_Age]]&lt;=35,"19-35",IF(MediCare_Data[[#This Row],[Patient_Age]]&lt;=60,"36-60","60+")))</f>
        <v>19-35</v>
      </c>
      <c r="G64" t="s">
        <v>43</v>
      </c>
      <c r="H64" t="s">
        <v>47</v>
      </c>
      <c r="I64" s="2">
        <v>99</v>
      </c>
      <c r="J64" s="11">
        <v>4030</v>
      </c>
      <c r="K64" s="3">
        <v>22.883817489999998</v>
      </c>
      <c r="L64" s="3">
        <f t="shared" si="0"/>
        <v>0.2288381749</v>
      </c>
      <c r="M64">
        <v>90</v>
      </c>
      <c r="N64" s="6">
        <f>MediCare_Data[[#This Row],[Average_Wait_Time (mins)]]/1440</f>
        <v>6.25E-2</v>
      </c>
      <c r="O64" s="2">
        <v>1</v>
      </c>
      <c r="P64" s="10">
        <v>21288</v>
      </c>
      <c r="Q64" s="17" t="str">
        <f>IF(AND(MediCare_Data[[#This Row],[Patient_Gender]]="Male", MediCare_Data[[#This Row],[Treatment_Type]]="Maternity"), "Gender-Treatment Mismatch", "Fine")</f>
        <v>Fine</v>
      </c>
      <c r="R64" s="10">
        <f>MediCare_Data[[#This Row],[Revenue_Generated]]-MediCare_Data[[#This Row],[Average_Treatment_Cost]]</f>
        <v>17258</v>
      </c>
      <c r="S64" s="3">
        <f>(MediCare_Data[[#This Row],[Profit]]/MediCare_Data[[#This Row],[Revenue_Generated]])</f>
        <v>0.81069146937241643</v>
      </c>
    </row>
    <row r="65" spans="1:19" x14ac:dyDescent="0.25">
      <c r="A65" t="s">
        <v>112</v>
      </c>
      <c r="B65" t="s">
        <v>53</v>
      </c>
      <c r="C65" t="s">
        <v>36</v>
      </c>
      <c r="D65" t="s">
        <v>16</v>
      </c>
      <c r="E65">
        <v>78</v>
      </c>
      <c r="F65" t="str">
        <f>IF(MediCare_Data[[#This Row],[Patient_Age]]&lt;=18,"0-18",IF(MediCare_Data[[#This Row],[Patient_Age]]&lt;=35,"19-35",IF(MediCare_Data[[#This Row],[Patient_Age]]&lt;=60,"36-60","60+")))</f>
        <v>60+</v>
      </c>
      <c r="G65" t="s">
        <v>26</v>
      </c>
      <c r="H65" t="s">
        <v>33</v>
      </c>
      <c r="I65" s="2">
        <v>89</v>
      </c>
      <c r="J65" s="11">
        <v>5756</v>
      </c>
      <c r="K65" s="3">
        <v>8.8373464940000002</v>
      </c>
      <c r="L65" s="3">
        <f t="shared" si="0"/>
        <v>8.8373464940000007E-2</v>
      </c>
      <c r="M65">
        <v>32</v>
      </c>
      <c r="N65" s="6">
        <f>MediCare_Data[[#This Row],[Average_Wait_Time (mins)]]/1440</f>
        <v>2.2222222222222223E-2</v>
      </c>
      <c r="O65" s="2">
        <v>3</v>
      </c>
      <c r="P65" s="10">
        <v>30432</v>
      </c>
      <c r="Q65" s="17" t="str">
        <f>IF(AND(MediCare_Data[[#This Row],[Patient_Gender]]="Male", MediCare_Data[[#This Row],[Treatment_Type]]="Maternity"), "Gender-Treatment Mismatch", "Fine")</f>
        <v>Fine</v>
      </c>
      <c r="R65" s="10">
        <f>MediCare_Data[[#This Row],[Revenue_Generated]]-MediCare_Data[[#This Row],[Average_Treatment_Cost]]</f>
        <v>24676</v>
      </c>
      <c r="S65" s="3">
        <f>(MediCare_Data[[#This Row],[Profit]]/MediCare_Data[[#This Row],[Revenue_Generated]])</f>
        <v>0.81085699263932698</v>
      </c>
    </row>
    <row r="66" spans="1:19" x14ac:dyDescent="0.25">
      <c r="A66" t="s">
        <v>113</v>
      </c>
      <c r="B66" t="s">
        <v>74</v>
      </c>
      <c r="C66" t="s">
        <v>29</v>
      </c>
      <c r="D66" t="s">
        <v>32</v>
      </c>
      <c r="E66">
        <v>24</v>
      </c>
      <c r="F66" t="str">
        <f>IF(MediCare_Data[[#This Row],[Patient_Age]]&lt;=18,"0-18",IF(MediCare_Data[[#This Row],[Patient_Age]]&lt;=35,"19-35",IF(MediCare_Data[[#This Row],[Patient_Age]]&lt;=60,"36-60","60+")))</f>
        <v>19-35</v>
      </c>
      <c r="G66" t="s">
        <v>22</v>
      </c>
      <c r="H66" t="s">
        <v>18</v>
      </c>
      <c r="I66" s="2">
        <v>53</v>
      </c>
      <c r="J66" s="11">
        <v>3135</v>
      </c>
      <c r="K66" s="3">
        <v>11.46743124</v>
      </c>
      <c r="L66" s="3">
        <f t="shared" ref="L66:L129" si="1">K66/100</f>
        <v>0.11467431239999999</v>
      </c>
      <c r="M66">
        <v>41</v>
      </c>
      <c r="N66" s="6">
        <f>MediCare_Data[[#This Row],[Average_Wait_Time (mins)]]/1440</f>
        <v>2.8472222222222222E-2</v>
      </c>
      <c r="O66" s="2">
        <v>2</v>
      </c>
      <c r="P66" s="10">
        <v>45222</v>
      </c>
      <c r="Q66" s="17" t="str">
        <f>IF(AND(MediCare_Data[[#This Row],[Patient_Gender]]="Male", MediCare_Data[[#This Row],[Treatment_Type]]="Maternity"), "Gender-Treatment Mismatch", "Fine")</f>
        <v>Fine</v>
      </c>
      <c r="R66" s="10">
        <f>MediCare_Data[[#This Row],[Revenue_Generated]]-MediCare_Data[[#This Row],[Average_Treatment_Cost]]</f>
        <v>42087</v>
      </c>
      <c r="S66" s="3">
        <f>(MediCare_Data[[#This Row],[Profit]]/MediCare_Data[[#This Row],[Revenue_Generated]])</f>
        <v>0.93067533501393129</v>
      </c>
    </row>
    <row r="67" spans="1:19" x14ac:dyDescent="0.25">
      <c r="A67" t="s">
        <v>114</v>
      </c>
      <c r="B67" t="s">
        <v>45</v>
      </c>
      <c r="C67" t="s">
        <v>42</v>
      </c>
      <c r="D67" t="s">
        <v>21</v>
      </c>
      <c r="E67">
        <v>15</v>
      </c>
      <c r="F67" t="str">
        <f>IF(MediCare_Data[[#This Row],[Patient_Age]]&lt;=18,"0-18",IF(MediCare_Data[[#This Row],[Patient_Age]]&lt;=35,"19-35",IF(MediCare_Data[[#This Row],[Patient_Age]]&lt;=60,"36-60","60+")))</f>
        <v>0-18</v>
      </c>
      <c r="G67" t="s">
        <v>26</v>
      </c>
      <c r="H67" t="s">
        <v>23</v>
      </c>
      <c r="I67" s="2">
        <v>51</v>
      </c>
      <c r="J67" s="11">
        <v>8662</v>
      </c>
      <c r="K67" s="3">
        <v>9.5331280449999998</v>
      </c>
      <c r="L67" s="3">
        <f t="shared" si="1"/>
        <v>9.533128045E-2</v>
      </c>
      <c r="M67">
        <v>83</v>
      </c>
      <c r="N67" s="6">
        <f>MediCare_Data[[#This Row],[Average_Wait_Time (mins)]]/1440</f>
        <v>5.7638888888888892E-2</v>
      </c>
      <c r="O67" s="2">
        <v>1</v>
      </c>
      <c r="P67" s="10">
        <v>49617</v>
      </c>
      <c r="Q67" s="17" t="str">
        <f>IF(AND(MediCare_Data[[#This Row],[Patient_Gender]]="Male", MediCare_Data[[#This Row],[Treatment_Type]]="Maternity"), "Gender-Treatment Mismatch", "Fine")</f>
        <v>Fine</v>
      </c>
      <c r="R67" s="10">
        <f>MediCare_Data[[#This Row],[Revenue_Generated]]-MediCare_Data[[#This Row],[Average_Treatment_Cost]]</f>
        <v>40955</v>
      </c>
      <c r="S67" s="3">
        <f>(MediCare_Data[[#This Row],[Profit]]/MediCare_Data[[#This Row],[Revenue_Generated]])</f>
        <v>0.82542273817441603</v>
      </c>
    </row>
    <row r="68" spans="1:19" x14ac:dyDescent="0.25">
      <c r="A68" t="s">
        <v>115</v>
      </c>
      <c r="B68" t="s">
        <v>61</v>
      </c>
      <c r="C68" t="s">
        <v>46</v>
      </c>
      <c r="D68" t="s">
        <v>16</v>
      </c>
      <c r="E68">
        <v>12</v>
      </c>
      <c r="F68" t="str">
        <f>IF(MediCare_Data[[#This Row],[Patient_Age]]&lt;=18,"0-18",IF(MediCare_Data[[#This Row],[Patient_Age]]&lt;=35,"19-35",IF(MediCare_Data[[#This Row],[Patient_Age]]&lt;=60,"36-60","60+")))</f>
        <v>0-18</v>
      </c>
      <c r="G68" t="s">
        <v>43</v>
      </c>
      <c r="H68" t="s">
        <v>51</v>
      </c>
      <c r="I68" s="2">
        <v>55</v>
      </c>
      <c r="J68" s="11">
        <v>3060</v>
      </c>
      <c r="K68" s="3">
        <v>12.099926119999999</v>
      </c>
      <c r="L68" s="3">
        <f t="shared" si="1"/>
        <v>0.12099926119999999</v>
      </c>
      <c r="M68">
        <v>19</v>
      </c>
      <c r="N68" s="6">
        <f>MediCare_Data[[#This Row],[Average_Wait_Time (mins)]]/1440</f>
        <v>1.3194444444444444E-2</v>
      </c>
      <c r="O68" s="2">
        <v>3</v>
      </c>
      <c r="P68" s="10">
        <v>7837</v>
      </c>
      <c r="Q68" s="17" t="str">
        <f>IF(AND(MediCare_Data[[#This Row],[Patient_Gender]]="Male", MediCare_Data[[#This Row],[Treatment_Type]]="Maternity"), "Gender-Treatment Mismatch", "Fine")</f>
        <v>Fine</v>
      </c>
      <c r="R68" s="10">
        <f>MediCare_Data[[#This Row],[Revenue_Generated]]-MediCare_Data[[#This Row],[Average_Treatment_Cost]]</f>
        <v>4777</v>
      </c>
      <c r="S68" s="3">
        <f>(MediCare_Data[[#This Row],[Profit]]/MediCare_Data[[#This Row],[Revenue_Generated]])</f>
        <v>0.6095444685466378</v>
      </c>
    </row>
    <row r="69" spans="1:19" x14ac:dyDescent="0.25">
      <c r="A69" t="s">
        <v>116</v>
      </c>
      <c r="B69" t="s">
        <v>82</v>
      </c>
      <c r="C69" t="s">
        <v>20</v>
      </c>
      <c r="D69" t="s">
        <v>21</v>
      </c>
      <c r="E69">
        <v>24</v>
      </c>
      <c r="F69" t="str">
        <f>IF(MediCare_Data[[#This Row],[Patient_Age]]&lt;=18,"0-18",IF(MediCare_Data[[#This Row],[Patient_Age]]&lt;=35,"19-35",IF(MediCare_Data[[#This Row],[Patient_Age]]&lt;=60,"36-60","60+")))</f>
        <v>19-35</v>
      </c>
      <c r="G69" t="s">
        <v>26</v>
      </c>
      <c r="H69" t="s">
        <v>47</v>
      </c>
      <c r="I69" s="2">
        <v>91</v>
      </c>
      <c r="J69" s="11">
        <v>5915</v>
      </c>
      <c r="K69" s="3">
        <v>6.3884768550000004</v>
      </c>
      <c r="L69" s="3">
        <f t="shared" si="1"/>
        <v>6.3884768549999998E-2</v>
      </c>
      <c r="M69">
        <v>63</v>
      </c>
      <c r="N69" s="6">
        <f>MediCare_Data[[#This Row],[Average_Wait_Time (mins)]]/1440</f>
        <v>4.3749999999999997E-2</v>
      </c>
      <c r="O69" s="2">
        <v>3</v>
      </c>
      <c r="P69" s="10">
        <v>35217</v>
      </c>
      <c r="Q69" s="17" t="str">
        <f>IF(AND(MediCare_Data[[#This Row],[Patient_Gender]]="Male", MediCare_Data[[#This Row],[Treatment_Type]]="Maternity"), "Gender-Treatment Mismatch", "Fine")</f>
        <v>Fine</v>
      </c>
      <c r="R69" s="10">
        <f>MediCare_Data[[#This Row],[Revenue_Generated]]-MediCare_Data[[#This Row],[Average_Treatment_Cost]]</f>
        <v>29302</v>
      </c>
      <c r="S69" s="3">
        <f>(MediCare_Data[[#This Row],[Profit]]/MediCare_Data[[#This Row],[Revenue_Generated]])</f>
        <v>0.83204134366925064</v>
      </c>
    </row>
    <row r="70" spans="1:19" x14ac:dyDescent="0.25">
      <c r="A70" t="s">
        <v>117</v>
      </c>
      <c r="B70" t="s">
        <v>45</v>
      </c>
      <c r="C70" t="s">
        <v>31</v>
      </c>
      <c r="D70" t="s">
        <v>21</v>
      </c>
      <c r="E70">
        <v>53</v>
      </c>
      <c r="F70" t="str">
        <f>IF(MediCare_Data[[#This Row],[Patient_Age]]&lt;=18,"0-18",IF(MediCare_Data[[#This Row],[Patient_Age]]&lt;=35,"19-35",IF(MediCare_Data[[#This Row],[Patient_Age]]&lt;=60,"36-60","60+")))</f>
        <v>36-60</v>
      </c>
      <c r="G70" t="s">
        <v>26</v>
      </c>
      <c r="H70" t="s">
        <v>47</v>
      </c>
      <c r="I70" s="2">
        <v>53</v>
      </c>
      <c r="J70" s="11">
        <v>3891</v>
      </c>
      <c r="K70" s="3">
        <v>15.38119582</v>
      </c>
      <c r="L70" s="3">
        <f t="shared" si="1"/>
        <v>0.15381195820000002</v>
      </c>
      <c r="M70">
        <v>61</v>
      </c>
      <c r="N70" s="6">
        <f>MediCare_Data[[#This Row],[Average_Wait_Time (mins)]]/1440</f>
        <v>4.2361111111111113E-2</v>
      </c>
      <c r="O70" s="2">
        <v>3</v>
      </c>
      <c r="P70" s="10">
        <v>21884</v>
      </c>
      <c r="Q70" s="17" t="str">
        <f>IF(AND(MediCare_Data[[#This Row],[Patient_Gender]]="Male", MediCare_Data[[#This Row],[Treatment_Type]]="Maternity"), "Gender-Treatment Mismatch", "Fine")</f>
        <v>Fine</v>
      </c>
      <c r="R70" s="10">
        <f>MediCare_Data[[#This Row],[Revenue_Generated]]-MediCare_Data[[#This Row],[Average_Treatment_Cost]]</f>
        <v>17993</v>
      </c>
      <c r="S70" s="3">
        <f>(MediCare_Data[[#This Row],[Profit]]/MediCare_Data[[#This Row],[Revenue_Generated]])</f>
        <v>0.82219886675196485</v>
      </c>
    </row>
    <row r="71" spans="1:19" x14ac:dyDescent="0.25">
      <c r="A71" t="s">
        <v>118</v>
      </c>
      <c r="B71" t="s">
        <v>64</v>
      </c>
      <c r="C71" t="s">
        <v>54</v>
      </c>
      <c r="D71" t="s">
        <v>32</v>
      </c>
      <c r="E71">
        <v>77</v>
      </c>
      <c r="F71" t="str">
        <f>IF(MediCare_Data[[#This Row],[Patient_Age]]&lt;=18,"0-18",IF(MediCare_Data[[#This Row],[Patient_Age]]&lt;=35,"19-35",IF(MediCare_Data[[#This Row],[Patient_Age]]&lt;=60,"36-60","60+")))</f>
        <v>60+</v>
      </c>
      <c r="G71" t="s">
        <v>43</v>
      </c>
      <c r="H71" t="s">
        <v>23</v>
      </c>
      <c r="I71" s="2">
        <v>78</v>
      </c>
      <c r="J71" s="11">
        <v>6451</v>
      </c>
      <c r="K71" s="3">
        <v>6.3522512720000002</v>
      </c>
      <c r="L71" s="3">
        <f t="shared" si="1"/>
        <v>6.3522512720000007E-2</v>
      </c>
      <c r="M71">
        <v>157</v>
      </c>
      <c r="N71" s="6">
        <f>MediCare_Data[[#This Row],[Average_Wait_Time (mins)]]/1440</f>
        <v>0.10902777777777778</v>
      </c>
      <c r="O71" s="2">
        <v>2</v>
      </c>
      <c r="P71" s="10">
        <v>6454</v>
      </c>
      <c r="Q71" s="17" t="str">
        <f>IF(AND(MediCare_Data[[#This Row],[Patient_Gender]]="Male", MediCare_Data[[#This Row],[Treatment_Type]]="Maternity"), "Gender-Treatment Mismatch", "Fine")</f>
        <v>Fine</v>
      </c>
      <c r="R71" s="10">
        <f>MediCare_Data[[#This Row],[Revenue_Generated]]-MediCare_Data[[#This Row],[Average_Treatment_Cost]]</f>
        <v>3</v>
      </c>
      <c r="S71" s="3">
        <f>(MediCare_Data[[#This Row],[Profit]]/MediCare_Data[[#This Row],[Revenue_Generated]])</f>
        <v>4.6482801363495507E-4</v>
      </c>
    </row>
    <row r="72" spans="1:19" x14ac:dyDescent="0.25">
      <c r="A72" t="s">
        <v>119</v>
      </c>
      <c r="B72" t="s">
        <v>35</v>
      </c>
      <c r="C72" t="s">
        <v>15</v>
      </c>
      <c r="D72" t="s">
        <v>16</v>
      </c>
      <c r="E72">
        <v>8</v>
      </c>
      <c r="F72" t="str">
        <f>IF(MediCare_Data[[#This Row],[Patient_Age]]&lt;=18,"0-18",IF(MediCare_Data[[#This Row],[Patient_Age]]&lt;=35,"19-35",IF(MediCare_Data[[#This Row],[Patient_Age]]&lt;=60,"36-60","60+")))</f>
        <v>0-18</v>
      </c>
      <c r="G72" t="s">
        <v>26</v>
      </c>
      <c r="H72" t="s">
        <v>37</v>
      </c>
      <c r="I72" s="2">
        <v>67</v>
      </c>
      <c r="J72" s="11">
        <v>5968</v>
      </c>
      <c r="K72" s="3">
        <v>21.007130159999999</v>
      </c>
      <c r="L72" s="3">
        <f t="shared" si="1"/>
        <v>0.21007130159999998</v>
      </c>
      <c r="M72">
        <v>169</v>
      </c>
      <c r="N72" s="6">
        <f>MediCare_Data[[#This Row],[Average_Wait_Time (mins)]]/1440</f>
        <v>0.11736111111111111</v>
      </c>
      <c r="O72" s="2">
        <v>2</v>
      </c>
      <c r="P72" s="10">
        <v>10424</v>
      </c>
      <c r="Q72" s="17" t="str">
        <f>IF(AND(MediCare_Data[[#This Row],[Patient_Gender]]="Male", MediCare_Data[[#This Row],[Treatment_Type]]="Maternity"), "Gender-Treatment Mismatch", "Fine")</f>
        <v>Gender-Treatment Mismatch</v>
      </c>
      <c r="R72" s="10">
        <f>MediCare_Data[[#This Row],[Revenue_Generated]]-MediCare_Data[[#This Row],[Average_Treatment_Cost]]</f>
        <v>4456</v>
      </c>
      <c r="S72" s="3">
        <f>(MediCare_Data[[#This Row],[Profit]]/MediCare_Data[[#This Row],[Revenue_Generated]])</f>
        <v>0.42747505755947812</v>
      </c>
    </row>
    <row r="73" spans="1:19" x14ac:dyDescent="0.25">
      <c r="A73" t="s">
        <v>120</v>
      </c>
      <c r="B73" t="s">
        <v>35</v>
      </c>
      <c r="C73" t="s">
        <v>31</v>
      </c>
      <c r="D73" t="s">
        <v>16</v>
      </c>
      <c r="E73">
        <v>82</v>
      </c>
      <c r="F73" t="str">
        <f>IF(MediCare_Data[[#This Row],[Patient_Age]]&lt;=18,"0-18",IF(MediCare_Data[[#This Row],[Patient_Age]]&lt;=35,"19-35",IF(MediCare_Data[[#This Row],[Patient_Age]]&lt;=60,"36-60","60+")))</f>
        <v>60+</v>
      </c>
      <c r="G73" t="s">
        <v>26</v>
      </c>
      <c r="H73" t="s">
        <v>23</v>
      </c>
      <c r="I73" s="2">
        <v>75</v>
      </c>
      <c r="J73" s="11">
        <v>8507</v>
      </c>
      <c r="K73" s="3">
        <v>9.6742416379999998</v>
      </c>
      <c r="L73" s="3">
        <f t="shared" si="1"/>
        <v>9.6742416380000001E-2</v>
      </c>
      <c r="M73">
        <v>123</v>
      </c>
      <c r="N73" s="6">
        <f>MediCare_Data[[#This Row],[Average_Wait_Time (mins)]]/1440</f>
        <v>8.5416666666666669E-2</v>
      </c>
      <c r="O73" s="2">
        <v>4</v>
      </c>
      <c r="P73" s="10">
        <v>37885</v>
      </c>
      <c r="Q73" s="17" t="str">
        <f>IF(AND(MediCare_Data[[#This Row],[Patient_Gender]]="Male", MediCare_Data[[#This Row],[Treatment_Type]]="Maternity"), "Gender-Treatment Mismatch", "Fine")</f>
        <v>Fine</v>
      </c>
      <c r="R73" s="10">
        <f>MediCare_Data[[#This Row],[Revenue_Generated]]-MediCare_Data[[#This Row],[Average_Treatment_Cost]]</f>
        <v>29378</v>
      </c>
      <c r="S73" s="3">
        <f>(MediCare_Data[[#This Row],[Profit]]/MediCare_Data[[#This Row],[Revenue_Generated]])</f>
        <v>0.77545202586775763</v>
      </c>
    </row>
    <row r="74" spans="1:19" x14ac:dyDescent="0.25">
      <c r="A74" t="s">
        <v>121</v>
      </c>
      <c r="B74" t="s">
        <v>39</v>
      </c>
      <c r="C74" t="s">
        <v>46</v>
      </c>
      <c r="D74" t="s">
        <v>16</v>
      </c>
      <c r="E74">
        <v>84</v>
      </c>
      <c r="F74" t="str">
        <f>IF(MediCare_Data[[#This Row],[Patient_Age]]&lt;=18,"0-18",IF(MediCare_Data[[#This Row],[Patient_Age]]&lt;=35,"19-35",IF(MediCare_Data[[#This Row],[Patient_Age]]&lt;=60,"36-60","60+")))</f>
        <v>60+</v>
      </c>
      <c r="G74" t="s">
        <v>43</v>
      </c>
      <c r="H74" t="s">
        <v>47</v>
      </c>
      <c r="I74" s="2">
        <v>93</v>
      </c>
      <c r="J74" s="11">
        <v>9564</v>
      </c>
      <c r="K74" s="3">
        <v>15.800238289999999</v>
      </c>
      <c r="L74" s="3">
        <f t="shared" si="1"/>
        <v>0.15800238289999999</v>
      </c>
      <c r="M74">
        <v>23</v>
      </c>
      <c r="N74" s="6">
        <f>MediCare_Data[[#This Row],[Average_Wait_Time (mins)]]/1440</f>
        <v>1.5972222222222221E-2</v>
      </c>
      <c r="O74" s="2">
        <v>4</v>
      </c>
      <c r="P74" s="10">
        <v>42637</v>
      </c>
      <c r="Q74" s="17" t="str">
        <f>IF(AND(MediCare_Data[[#This Row],[Patient_Gender]]="Male", MediCare_Data[[#This Row],[Treatment_Type]]="Maternity"), "Gender-Treatment Mismatch", "Fine")</f>
        <v>Fine</v>
      </c>
      <c r="R74" s="10">
        <f>MediCare_Data[[#This Row],[Revenue_Generated]]-MediCare_Data[[#This Row],[Average_Treatment_Cost]]</f>
        <v>33073</v>
      </c>
      <c r="S74" s="3">
        <f>(MediCare_Data[[#This Row],[Profit]]/MediCare_Data[[#This Row],[Revenue_Generated]])</f>
        <v>0.77568778291155571</v>
      </c>
    </row>
    <row r="75" spans="1:19" x14ac:dyDescent="0.25">
      <c r="A75" t="s">
        <v>122</v>
      </c>
      <c r="B75" t="s">
        <v>53</v>
      </c>
      <c r="C75" t="s">
        <v>31</v>
      </c>
      <c r="D75" t="s">
        <v>21</v>
      </c>
      <c r="E75">
        <v>65</v>
      </c>
      <c r="F75" t="str">
        <f>IF(MediCare_Data[[#This Row],[Patient_Age]]&lt;=18,"0-18",IF(MediCare_Data[[#This Row],[Patient_Age]]&lt;=35,"19-35",IF(MediCare_Data[[#This Row],[Patient_Age]]&lt;=60,"36-60","60+")))</f>
        <v>60+</v>
      </c>
      <c r="G75" t="s">
        <v>43</v>
      </c>
      <c r="H75" t="s">
        <v>18</v>
      </c>
      <c r="I75" s="2">
        <v>83</v>
      </c>
      <c r="J75" s="11">
        <v>9944</v>
      </c>
      <c r="K75" s="3">
        <v>22.601581750000001</v>
      </c>
      <c r="L75" s="3">
        <f t="shared" si="1"/>
        <v>0.22601581750000002</v>
      </c>
      <c r="M75">
        <v>165</v>
      </c>
      <c r="N75" s="6">
        <f>MediCare_Data[[#This Row],[Average_Wait_Time (mins)]]/1440</f>
        <v>0.11458333333333333</v>
      </c>
      <c r="O75" s="2">
        <v>3</v>
      </c>
      <c r="P75" s="10">
        <v>44618</v>
      </c>
      <c r="Q75" s="17" t="str">
        <f>IF(AND(MediCare_Data[[#This Row],[Patient_Gender]]="Male", MediCare_Data[[#This Row],[Treatment_Type]]="Maternity"), "Gender-Treatment Mismatch", "Fine")</f>
        <v>Fine</v>
      </c>
      <c r="R75" s="10">
        <f>MediCare_Data[[#This Row],[Revenue_Generated]]-MediCare_Data[[#This Row],[Average_Treatment_Cost]]</f>
        <v>34674</v>
      </c>
      <c r="S75" s="3">
        <f>(MediCare_Data[[#This Row],[Profit]]/MediCare_Data[[#This Row],[Revenue_Generated]])</f>
        <v>0.77713030615446677</v>
      </c>
    </row>
    <row r="76" spans="1:19" x14ac:dyDescent="0.25">
      <c r="A76" t="s">
        <v>123</v>
      </c>
      <c r="B76" t="s">
        <v>39</v>
      </c>
      <c r="C76" t="s">
        <v>36</v>
      </c>
      <c r="D76" t="s">
        <v>32</v>
      </c>
      <c r="E76">
        <v>55</v>
      </c>
      <c r="F76" t="str">
        <f>IF(MediCare_Data[[#This Row],[Patient_Age]]&lt;=18,"0-18",IF(MediCare_Data[[#This Row],[Patient_Age]]&lt;=35,"19-35",IF(MediCare_Data[[#This Row],[Patient_Age]]&lt;=60,"36-60","60+")))</f>
        <v>36-60</v>
      </c>
      <c r="G76" t="s">
        <v>22</v>
      </c>
      <c r="H76" t="s">
        <v>51</v>
      </c>
      <c r="I76" s="2">
        <v>59</v>
      </c>
      <c r="J76" s="11">
        <v>6913</v>
      </c>
      <c r="K76" s="3">
        <v>18.01754738</v>
      </c>
      <c r="L76" s="3">
        <f t="shared" si="1"/>
        <v>0.18017547379999999</v>
      </c>
      <c r="M76">
        <v>119</v>
      </c>
      <c r="N76" s="6">
        <f>MediCare_Data[[#This Row],[Average_Wait_Time (mins)]]/1440</f>
        <v>8.2638888888888887E-2</v>
      </c>
      <c r="O76" s="2">
        <v>3</v>
      </c>
      <c r="P76" s="10">
        <v>19412</v>
      </c>
      <c r="Q76" s="17" t="str">
        <f>IF(AND(MediCare_Data[[#This Row],[Patient_Gender]]="Male", MediCare_Data[[#This Row],[Treatment_Type]]="Maternity"), "Gender-Treatment Mismatch", "Fine")</f>
        <v>Fine</v>
      </c>
      <c r="R76" s="10">
        <f>MediCare_Data[[#This Row],[Revenue_Generated]]-MediCare_Data[[#This Row],[Average_Treatment_Cost]]</f>
        <v>12499</v>
      </c>
      <c r="S76" s="3">
        <f>(MediCare_Data[[#This Row],[Profit]]/MediCare_Data[[#This Row],[Revenue_Generated]])</f>
        <v>0.64388007418091897</v>
      </c>
    </row>
    <row r="77" spans="1:19" x14ac:dyDescent="0.25">
      <c r="A77" t="s">
        <v>124</v>
      </c>
      <c r="B77" t="s">
        <v>14</v>
      </c>
      <c r="C77" t="s">
        <v>29</v>
      </c>
      <c r="D77" t="s">
        <v>16</v>
      </c>
      <c r="E77">
        <v>38</v>
      </c>
      <c r="F77" t="str">
        <f>IF(MediCare_Data[[#This Row],[Patient_Age]]&lt;=18,"0-18",IF(MediCare_Data[[#This Row],[Patient_Age]]&lt;=35,"19-35",IF(MediCare_Data[[#This Row],[Patient_Age]]&lt;=60,"36-60","60+")))</f>
        <v>36-60</v>
      </c>
      <c r="G77" t="s">
        <v>43</v>
      </c>
      <c r="H77" t="s">
        <v>18</v>
      </c>
      <c r="I77" s="2">
        <v>85</v>
      </c>
      <c r="J77" s="11">
        <v>7441</v>
      </c>
      <c r="K77" s="3">
        <v>15.65915573</v>
      </c>
      <c r="L77" s="3">
        <f t="shared" si="1"/>
        <v>0.15659155729999999</v>
      </c>
      <c r="M77">
        <v>62</v>
      </c>
      <c r="N77" s="6">
        <f>MediCare_Data[[#This Row],[Average_Wait_Time (mins)]]/1440</f>
        <v>4.3055555555555555E-2</v>
      </c>
      <c r="O77" s="2">
        <v>2</v>
      </c>
      <c r="P77" s="10">
        <v>48111</v>
      </c>
      <c r="Q77" s="17" t="str">
        <f>IF(AND(MediCare_Data[[#This Row],[Patient_Gender]]="Male", MediCare_Data[[#This Row],[Treatment_Type]]="Maternity"), "Gender-Treatment Mismatch", "Fine")</f>
        <v>Fine</v>
      </c>
      <c r="R77" s="10">
        <f>MediCare_Data[[#This Row],[Revenue_Generated]]-MediCare_Data[[#This Row],[Average_Treatment_Cost]]</f>
        <v>40670</v>
      </c>
      <c r="S77" s="3">
        <f>(MediCare_Data[[#This Row],[Profit]]/MediCare_Data[[#This Row],[Revenue_Generated]])</f>
        <v>0.84533682525825693</v>
      </c>
    </row>
    <row r="78" spans="1:19" x14ac:dyDescent="0.25">
      <c r="A78" t="s">
        <v>125</v>
      </c>
      <c r="B78" t="s">
        <v>25</v>
      </c>
      <c r="C78" t="s">
        <v>29</v>
      </c>
      <c r="D78" t="s">
        <v>32</v>
      </c>
      <c r="E78">
        <v>33</v>
      </c>
      <c r="F78" t="str">
        <f>IF(MediCare_Data[[#This Row],[Patient_Age]]&lt;=18,"0-18",IF(MediCare_Data[[#This Row],[Patient_Age]]&lt;=35,"19-35",IF(MediCare_Data[[#This Row],[Patient_Age]]&lt;=60,"36-60","60+")))</f>
        <v>19-35</v>
      </c>
      <c r="G78" t="s">
        <v>17</v>
      </c>
      <c r="H78" t="s">
        <v>47</v>
      </c>
      <c r="I78" s="2">
        <v>63</v>
      </c>
      <c r="J78" s="11">
        <v>5320</v>
      </c>
      <c r="K78" s="3">
        <v>11.48667506</v>
      </c>
      <c r="L78" s="3">
        <f t="shared" si="1"/>
        <v>0.1148667506</v>
      </c>
      <c r="M78">
        <v>161</v>
      </c>
      <c r="N78" s="6">
        <f>MediCare_Data[[#This Row],[Average_Wait_Time (mins)]]/1440</f>
        <v>0.11180555555555556</v>
      </c>
      <c r="O78" s="2">
        <v>4</v>
      </c>
      <c r="P78" s="10">
        <v>40613</v>
      </c>
      <c r="Q78" s="17" t="str">
        <f>IF(AND(MediCare_Data[[#This Row],[Patient_Gender]]="Male", MediCare_Data[[#This Row],[Treatment_Type]]="Maternity"), "Gender-Treatment Mismatch", "Fine")</f>
        <v>Fine</v>
      </c>
      <c r="R78" s="10">
        <f>MediCare_Data[[#This Row],[Revenue_Generated]]-MediCare_Data[[#This Row],[Average_Treatment_Cost]]</f>
        <v>35293</v>
      </c>
      <c r="S78" s="3">
        <f>(MediCare_Data[[#This Row],[Profit]]/MediCare_Data[[#This Row],[Revenue_Generated]])</f>
        <v>0.86900746066530421</v>
      </c>
    </row>
    <row r="79" spans="1:19" x14ac:dyDescent="0.25">
      <c r="A79" t="s">
        <v>126</v>
      </c>
      <c r="B79" t="s">
        <v>49</v>
      </c>
      <c r="C79" t="s">
        <v>54</v>
      </c>
      <c r="D79" t="s">
        <v>32</v>
      </c>
      <c r="E79">
        <v>37</v>
      </c>
      <c r="F79" t="str">
        <f>IF(MediCare_Data[[#This Row],[Patient_Age]]&lt;=18,"0-18",IF(MediCare_Data[[#This Row],[Patient_Age]]&lt;=35,"19-35",IF(MediCare_Data[[#This Row],[Patient_Age]]&lt;=60,"36-60","60+")))</f>
        <v>36-60</v>
      </c>
      <c r="G79" t="s">
        <v>17</v>
      </c>
      <c r="H79" t="s">
        <v>18</v>
      </c>
      <c r="I79" s="2">
        <v>80</v>
      </c>
      <c r="J79" s="11">
        <v>3398</v>
      </c>
      <c r="K79" s="3">
        <v>11.66003826</v>
      </c>
      <c r="L79" s="3">
        <f t="shared" si="1"/>
        <v>0.1166003826</v>
      </c>
      <c r="M79">
        <v>88</v>
      </c>
      <c r="N79" s="6">
        <f>MediCare_Data[[#This Row],[Average_Wait_Time (mins)]]/1440</f>
        <v>6.1111111111111109E-2</v>
      </c>
      <c r="O79" s="2">
        <v>3</v>
      </c>
      <c r="P79" s="10">
        <v>21142</v>
      </c>
      <c r="Q79" s="17" t="str">
        <f>IF(AND(MediCare_Data[[#This Row],[Patient_Gender]]="Male", MediCare_Data[[#This Row],[Treatment_Type]]="Maternity"), "Gender-Treatment Mismatch", "Fine")</f>
        <v>Fine</v>
      </c>
      <c r="R79" s="10">
        <f>MediCare_Data[[#This Row],[Revenue_Generated]]-MediCare_Data[[#This Row],[Average_Treatment_Cost]]</f>
        <v>17744</v>
      </c>
      <c r="S79" s="3">
        <f>(MediCare_Data[[#This Row],[Profit]]/MediCare_Data[[#This Row],[Revenue_Generated]])</f>
        <v>0.83927726799735125</v>
      </c>
    </row>
    <row r="80" spans="1:19" x14ac:dyDescent="0.25">
      <c r="A80" t="s">
        <v>127</v>
      </c>
      <c r="B80" t="s">
        <v>45</v>
      </c>
      <c r="C80" t="s">
        <v>20</v>
      </c>
      <c r="D80" t="s">
        <v>32</v>
      </c>
      <c r="E80">
        <v>51</v>
      </c>
      <c r="F80" t="str">
        <f>IF(MediCare_Data[[#This Row],[Patient_Age]]&lt;=18,"0-18",IF(MediCare_Data[[#This Row],[Patient_Age]]&lt;=35,"19-35",IF(MediCare_Data[[#This Row],[Patient_Age]]&lt;=60,"36-60","60+")))</f>
        <v>36-60</v>
      </c>
      <c r="G80" t="s">
        <v>17</v>
      </c>
      <c r="H80" t="s">
        <v>37</v>
      </c>
      <c r="I80" s="2">
        <v>97</v>
      </c>
      <c r="J80" s="11">
        <v>8046</v>
      </c>
      <c r="K80" s="3">
        <v>18.3897391</v>
      </c>
      <c r="L80" s="3">
        <f t="shared" si="1"/>
        <v>0.18389739099999999</v>
      </c>
      <c r="M80">
        <v>31</v>
      </c>
      <c r="N80" s="6">
        <f>MediCare_Data[[#This Row],[Average_Wait_Time (mins)]]/1440</f>
        <v>2.1527777777777778E-2</v>
      </c>
      <c r="O80" s="2">
        <v>4</v>
      </c>
      <c r="P80" s="10">
        <v>38392</v>
      </c>
      <c r="Q80" s="17" t="str">
        <f>IF(AND(MediCare_Data[[#This Row],[Patient_Gender]]="Male", MediCare_Data[[#This Row],[Treatment_Type]]="Maternity"), "Gender-Treatment Mismatch", "Fine")</f>
        <v>Fine</v>
      </c>
      <c r="R80" s="10">
        <f>MediCare_Data[[#This Row],[Revenue_Generated]]-MediCare_Data[[#This Row],[Average_Treatment_Cost]]</f>
        <v>30346</v>
      </c>
      <c r="S80" s="3">
        <f>(MediCare_Data[[#This Row],[Profit]]/MediCare_Data[[#This Row],[Revenue_Generated]])</f>
        <v>0.79042508856011673</v>
      </c>
    </row>
    <row r="81" spans="1:19" x14ac:dyDescent="0.25">
      <c r="A81" t="s">
        <v>128</v>
      </c>
      <c r="B81" t="s">
        <v>58</v>
      </c>
      <c r="C81" t="s">
        <v>54</v>
      </c>
      <c r="D81" t="s">
        <v>21</v>
      </c>
      <c r="E81">
        <v>79</v>
      </c>
      <c r="F81" t="str">
        <f>IF(MediCare_Data[[#This Row],[Patient_Age]]&lt;=18,"0-18",IF(MediCare_Data[[#This Row],[Patient_Age]]&lt;=35,"19-35",IF(MediCare_Data[[#This Row],[Patient_Age]]&lt;=60,"36-60","60+")))</f>
        <v>60+</v>
      </c>
      <c r="G81" t="s">
        <v>22</v>
      </c>
      <c r="H81" t="s">
        <v>23</v>
      </c>
      <c r="I81" s="2">
        <v>64</v>
      </c>
      <c r="J81" s="11">
        <v>577</v>
      </c>
      <c r="K81" s="3">
        <v>24.882787220000001</v>
      </c>
      <c r="L81" s="3">
        <f t="shared" si="1"/>
        <v>0.24882787220000002</v>
      </c>
      <c r="M81">
        <v>39</v>
      </c>
      <c r="N81" s="6">
        <f>MediCare_Data[[#This Row],[Average_Wait_Time (mins)]]/1440</f>
        <v>2.7083333333333334E-2</v>
      </c>
      <c r="O81" s="2">
        <v>4</v>
      </c>
      <c r="P81" s="10">
        <v>9848</v>
      </c>
      <c r="Q81" s="17" t="str">
        <f>IF(AND(MediCare_Data[[#This Row],[Patient_Gender]]="Male", MediCare_Data[[#This Row],[Treatment_Type]]="Maternity"), "Gender-Treatment Mismatch", "Fine")</f>
        <v>Fine</v>
      </c>
      <c r="R81" s="10">
        <f>MediCare_Data[[#This Row],[Revenue_Generated]]-MediCare_Data[[#This Row],[Average_Treatment_Cost]]</f>
        <v>9271</v>
      </c>
      <c r="S81" s="3">
        <f>(MediCare_Data[[#This Row],[Profit]]/MediCare_Data[[#This Row],[Revenue_Generated]])</f>
        <v>0.94140942323314381</v>
      </c>
    </row>
    <row r="82" spans="1:19" x14ac:dyDescent="0.25">
      <c r="A82" t="s">
        <v>129</v>
      </c>
      <c r="B82" t="s">
        <v>56</v>
      </c>
      <c r="C82" t="s">
        <v>20</v>
      </c>
      <c r="D82" t="s">
        <v>21</v>
      </c>
      <c r="E82">
        <v>32</v>
      </c>
      <c r="F82" t="str">
        <f>IF(MediCare_Data[[#This Row],[Patient_Age]]&lt;=18,"0-18",IF(MediCare_Data[[#This Row],[Patient_Age]]&lt;=35,"19-35",IF(MediCare_Data[[#This Row],[Patient_Age]]&lt;=60,"36-60","60+")))</f>
        <v>19-35</v>
      </c>
      <c r="G82" t="s">
        <v>26</v>
      </c>
      <c r="H82" t="s">
        <v>47</v>
      </c>
      <c r="I82" s="2">
        <v>57</v>
      </c>
      <c r="J82" s="11">
        <v>8077</v>
      </c>
      <c r="K82" s="3">
        <v>18.236783800000001</v>
      </c>
      <c r="L82" s="3">
        <f t="shared" si="1"/>
        <v>0.182367838</v>
      </c>
      <c r="M82">
        <v>13</v>
      </c>
      <c r="N82" s="6">
        <f>MediCare_Data[[#This Row],[Average_Wait_Time (mins)]]/1440</f>
        <v>9.0277777777777769E-3</v>
      </c>
      <c r="O82" s="2">
        <v>3</v>
      </c>
      <c r="P82" s="10">
        <v>14136</v>
      </c>
      <c r="Q82" s="17" t="str">
        <f>IF(AND(MediCare_Data[[#This Row],[Patient_Gender]]="Male", MediCare_Data[[#This Row],[Treatment_Type]]="Maternity"), "Gender-Treatment Mismatch", "Fine")</f>
        <v>Fine</v>
      </c>
      <c r="R82" s="10">
        <f>MediCare_Data[[#This Row],[Revenue_Generated]]-MediCare_Data[[#This Row],[Average_Treatment_Cost]]</f>
        <v>6059</v>
      </c>
      <c r="S82" s="3">
        <f>(MediCare_Data[[#This Row],[Profit]]/MediCare_Data[[#This Row],[Revenue_Generated]])</f>
        <v>0.4286219581211092</v>
      </c>
    </row>
    <row r="83" spans="1:19" x14ac:dyDescent="0.25">
      <c r="A83" t="s">
        <v>130</v>
      </c>
      <c r="B83" t="s">
        <v>82</v>
      </c>
      <c r="C83" t="s">
        <v>36</v>
      </c>
      <c r="D83" t="s">
        <v>32</v>
      </c>
      <c r="E83">
        <v>3</v>
      </c>
      <c r="F83" t="str">
        <f>IF(MediCare_Data[[#This Row],[Patient_Age]]&lt;=18,"0-18",IF(MediCare_Data[[#This Row],[Patient_Age]]&lt;=35,"19-35",IF(MediCare_Data[[#This Row],[Patient_Age]]&lt;=60,"36-60","60+")))</f>
        <v>0-18</v>
      </c>
      <c r="G83" t="s">
        <v>43</v>
      </c>
      <c r="H83" t="s">
        <v>51</v>
      </c>
      <c r="I83" s="2">
        <v>63</v>
      </c>
      <c r="J83" s="11">
        <v>4727</v>
      </c>
      <c r="K83" s="3">
        <v>16.155668349999999</v>
      </c>
      <c r="L83" s="3">
        <f t="shared" si="1"/>
        <v>0.16155668349999999</v>
      </c>
      <c r="M83">
        <v>68</v>
      </c>
      <c r="N83" s="6">
        <f>MediCare_Data[[#This Row],[Average_Wait_Time (mins)]]/1440</f>
        <v>4.7222222222222221E-2</v>
      </c>
      <c r="O83" s="2">
        <v>2</v>
      </c>
      <c r="P83" s="10">
        <v>1589</v>
      </c>
      <c r="Q83" s="17" t="str">
        <f>IF(AND(MediCare_Data[[#This Row],[Patient_Gender]]="Male", MediCare_Data[[#This Row],[Treatment_Type]]="Maternity"), "Gender-Treatment Mismatch", "Fine")</f>
        <v>Fine</v>
      </c>
      <c r="R83" s="10">
        <f>MediCare_Data[[#This Row],[Revenue_Generated]]-MediCare_Data[[#This Row],[Average_Treatment_Cost]]</f>
        <v>-3138</v>
      </c>
      <c r="S83" s="3">
        <f>(MediCare_Data[[#This Row],[Profit]]/MediCare_Data[[#This Row],[Revenue_Generated]])</f>
        <v>-1.9748269351793581</v>
      </c>
    </row>
    <row r="84" spans="1:19" x14ac:dyDescent="0.25">
      <c r="A84" t="s">
        <v>131</v>
      </c>
      <c r="B84" t="s">
        <v>28</v>
      </c>
      <c r="C84" t="s">
        <v>15</v>
      </c>
      <c r="D84" t="s">
        <v>32</v>
      </c>
      <c r="E84">
        <v>87</v>
      </c>
      <c r="F84" t="str">
        <f>IF(MediCare_Data[[#This Row],[Patient_Age]]&lt;=18,"0-18",IF(MediCare_Data[[#This Row],[Patient_Age]]&lt;=35,"19-35",IF(MediCare_Data[[#This Row],[Patient_Age]]&lt;=60,"36-60","60+")))</f>
        <v>60+</v>
      </c>
      <c r="G84" t="s">
        <v>22</v>
      </c>
      <c r="H84" t="s">
        <v>33</v>
      </c>
      <c r="I84" s="2">
        <v>72</v>
      </c>
      <c r="J84" s="11">
        <v>1100</v>
      </c>
      <c r="K84" s="3">
        <v>19.613010200000002</v>
      </c>
      <c r="L84" s="3">
        <f t="shared" si="1"/>
        <v>0.19613010200000003</v>
      </c>
      <c r="M84">
        <v>17</v>
      </c>
      <c r="N84" s="6">
        <f>MediCare_Data[[#This Row],[Average_Wait_Time (mins)]]/1440</f>
        <v>1.1805555555555555E-2</v>
      </c>
      <c r="O84" s="2">
        <v>3</v>
      </c>
      <c r="P84" s="10">
        <v>21908</v>
      </c>
      <c r="Q84" s="17" t="str">
        <f>IF(AND(MediCare_Data[[#This Row],[Patient_Gender]]="Male", MediCare_Data[[#This Row],[Treatment_Type]]="Maternity"), "Gender-Treatment Mismatch", "Fine")</f>
        <v>Fine</v>
      </c>
      <c r="R84" s="10">
        <f>MediCare_Data[[#This Row],[Revenue_Generated]]-MediCare_Data[[#This Row],[Average_Treatment_Cost]]</f>
        <v>20808</v>
      </c>
      <c r="S84" s="3">
        <f>(MediCare_Data[[#This Row],[Profit]]/MediCare_Data[[#This Row],[Revenue_Generated]])</f>
        <v>0.94979003103888993</v>
      </c>
    </row>
    <row r="85" spans="1:19" x14ac:dyDescent="0.25">
      <c r="A85" t="s">
        <v>132</v>
      </c>
      <c r="B85" t="s">
        <v>41</v>
      </c>
      <c r="C85" t="s">
        <v>20</v>
      </c>
      <c r="D85" t="s">
        <v>21</v>
      </c>
      <c r="E85">
        <v>84</v>
      </c>
      <c r="F85" t="str">
        <f>IF(MediCare_Data[[#This Row],[Patient_Age]]&lt;=18,"0-18",IF(MediCare_Data[[#This Row],[Patient_Age]]&lt;=35,"19-35",IF(MediCare_Data[[#This Row],[Patient_Age]]&lt;=60,"36-60","60+")))</f>
        <v>60+</v>
      </c>
      <c r="G85" t="s">
        <v>26</v>
      </c>
      <c r="H85" t="s">
        <v>51</v>
      </c>
      <c r="I85" s="2">
        <v>89</v>
      </c>
      <c r="J85" s="11">
        <v>1565</v>
      </c>
      <c r="K85" s="3">
        <v>14.304112249999999</v>
      </c>
      <c r="L85" s="3">
        <f t="shared" si="1"/>
        <v>0.14304112250000001</v>
      </c>
      <c r="M85">
        <v>21</v>
      </c>
      <c r="N85" s="6">
        <f>MediCare_Data[[#This Row],[Average_Wait_Time (mins)]]/1440</f>
        <v>1.4583333333333334E-2</v>
      </c>
      <c r="O85" s="2">
        <v>3</v>
      </c>
      <c r="P85" s="10">
        <v>7509</v>
      </c>
      <c r="Q85" s="17" t="str">
        <f>IF(AND(MediCare_Data[[#This Row],[Patient_Gender]]="Male", MediCare_Data[[#This Row],[Treatment_Type]]="Maternity"), "Gender-Treatment Mismatch", "Fine")</f>
        <v>Fine</v>
      </c>
      <c r="R85" s="10">
        <f>MediCare_Data[[#This Row],[Revenue_Generated]]-MediCare_Data[[#This Row],[Average_Treatment_Cost]]</f>
        <v>5944</v>
      </c>
      <c r="S85" s="3">
        <f>(MediCare_Data[[#This Row],[Profit]]/MediCare_Data[[#This Row],[Revenue_Generated]])</f>
        <v>0.79158343321347713</v>
      </c>
    </row>
    <row r="86" spans="1:19" x14ac:dyDescent="0.25">
      <c r="A86" t="s">
        <v>133</v>
      </c>
      <c r="B86" t="s">
        <v>74</v>
      </c>
      <c r="C86" t="s">
        <v>29</v>
      </c>
      <c r="D86" t="s">
        <v>16</v>
      </c>
      <c r="E86">
        <v>77</v>
      </c>
      <c r="F86" t="str">
        <f>IF(MediCare_Data[[#This Row],[Patient_Age]]&lt;=18,"0-18",IF(MediCare_Data[[#This Row],[Patient_Age]]&lt;=35,"19-35",IF(MediCare_Data[[#This Row],[Patient_Age]]&lt;=60,"36-60","60+")))</f>
        <v>60+</v>
      </c>
      <c r="G86" t="s">
        <v>43</v>
      </c>
      <c r="H86" t="s">
        <v>37</v>
      </c>
      <c r="I86" s="2">
        <v>70</v>
      </c>
      <c r="J86" s="11">
        <v>2636</v>
      </c>
      <c r="K86" s="3">
        <v>6.2028468520000004</v>
      </c>
      <c r="L86" s="3">
        <f t="shared" si="1"/>
        <v>6.2028468520000005E-2</v>
      </c>
      <c r="M86">
        <v>128</v>
      </c>
      <c r="N86" s="6">
        <f>MediCare_Data[[#This Row],[Average_Wait_Time (mins)]]/1440</f>
        <v>8.8888888888888892E-2</v>
      </c>
      <c r="O86" s="2">
        <v>4</v>
      </c>
      <c r="P86" s="10">
        <v>41461</v>
      </c>
      <c r="Q86" s="17" t="str">
        <f>IF(AND(MediCare_Data[[#This Row],[Patient_Gender]]="Male", MediCare_Data[[#This Row],[Treatment_Type]]="Maternity"), "Gender-Treatment Mismatch", "Fine")</f>
        <v>Gender-Treatment Mismatch</v>
      </c>
      <c r="R86" s="10">
        <f>MediCare_Data[[#This Row],[Revenue_Generated]]-MediCare_Data[[#This Row],[Average_Treatment_Cost]]</f>
        <v>38825</v>
      </c>
      <c r="S86" s="3">
        <f>(MediCare_Data[[#This Row],[Profit]]/MediCare_Data[[#This Row],[Revenue_Generated]])</f>
        <v>0.93642217987988707</v>
      </c>
    </row>
    <row r="87" spans="1:19" x14ac:dyDescent="0.25">
      <c r="A87" t="s">
        <v>134</v>
      </c>
      <c r="B87" t="s">
        <v>56</v>
      </c>
      <c r="C87" t="s">
        <v>29</v>
      </c>
      <c r="D87" t="s">
        <v>32</v>
      </c>
      <c r="E87">
        <v>25</v>
      </c>
      <c r="F87" t="str">
        <f>IF(MediCare_Data[[#This Row],[Patient_Age]]&lt;=18,"0-18",IF(MediCare_Data[[#This Row],[Patient_Age]]&lt;=35,"19-35",IF(MediCare_Data[[#This Row],[Patient_Age]]&lt;=60,"36-60","60+")))</f>
        <v>19-35</v>
      </c>
      <c r="G87" t="s">
        <v>26</v>
      </c>
      <c r="H87" t="s">
        <v>33</v>
      </c>
      <c r="I87" s="2">
        <v>65</v>
      </c>
      <c r="J87" s="11">
        <v>7443</v>
      </c>
      <c r="K87" s="3">
        <v>16.245936319999998</v>
      </c>
      <c r="L87" s="3">
        <f t="shared" si="1"/>
        <v>0.16245936319999998</v>
      </c>
      <c r="M87">
        <v>168</v>
      </c>
      <c r="N87" s="6">
        <f>MediCare_Data[[#This Row],[Average_Wait_Time (mins)]]/1440</f>
        <v>0.11666666666666667</v>
      </c>
      <c r="O87" s="2">
        <v>3</v>
      </c>
      <c r="P87" s="10">
        <v>43222</v>
      </c>
      <c r="Q87" s="17" t="str">
        <f>IF(AND(MediCare_Data[[#This Row],[Patient_Gender]]="Male", MediCare_Data[[#This Row],[Treatment_Type]]="Maternity"), "Gender-Treatment Mismatch", "Fine")</f>
        <v>Fine</v>
      </c>
      <c r="R87" s="10">
        <f>MediCare_Data[[#This Row],[Revenue_Generated]]-MediCare_Data[[#This Row],[Average_Treatment_Cost]]</f>
        <v>35779</v>
      </c>
      <c r="S87" s="3">
        <f>(MediCare_Data[[#This Row],[Profit]]/MediCare_Data[[#This Row],[Revenue_Generated]])</f>
        <v>0.82779602979963907</v>
      </c>
    </row>
    <row r="88" spans="1:19" x14ac:dyDescent="0.25">
      <c r="A88" t="s">
        <v>135</v>
      </c>
      <c r="B88" t="s">
        <v>45</v>
      </c>
      <c r="C88" t="s">
        <v>46</v>
      </c>
      <c r="D88" t="s">
        <v>21</v>
      </c>
      <c r="E88">
        <v>12</v>
      </c>
      <c r="F88" t="str">
        <f>IF(MediCare_Data[[#This Row],[Patient_Age]]&lt;=18,"0-18",IF(MediCare_Data[[#This Row],[Patient_Age]]&lt;=35,"19-35",IF(MediCare_Data[[#This Row],[Patient_Age]]&lt;=60,"36-60","60+")))</f>
        <v>0-18</v>
      </c>
      <c r="G88" t="s">
        <v>43</v>
      </c>
      <c r="H88" t="s">
        <v>18</v>
      </c>
      <c r="I88" s="2">
        <v>94</v>
      </c>
      <c r="J88" s="11">
        <v>8304</v>
      </c>
      <c r="K88" s="3">
        <v>24.152505690000002</v>
      </c>
      <c r="L88" s="3">
        <f t="shared" si="1"/>
        <v>0.24152505690000001</v>
      </c>
      <c r="M88">
        <v>43</v>
      </c>
      <c r="N88" s="6">
        <f>MediCare_Data[[#This Row],[Average_Wait_Time (mins)]]/1440</f>
        <v>2.9861111111111113E-2</v>
      </c>
      <c r="O88" s="2">
        <v>2</v>
      </c>
      <c r="P88" s="10">
        <v>45476</v>
      </c>
      <c r="Q88" s="17" t="str">
        <f>IF(AND(MediCare_Data[[#This Row],[Patient_Gender]]="Male", MediCare_Data[[#This Row],[Treatment_Type]]="Maternity"), "Gender-Treatment Mismatch", "Fine")</f>
        <v>Fine</v>
      </c>
      <c r="R88" s="10">
        <f>MediCare_Data[[#This Row],[Revenue_Generated]]-MediCare_Data[[#This Row],[Average_Treatment_Cost]]</f>
        <v>37172</v>
      </c>
      <c r="S88" s="3">
        <f>(MediCare_Data[[#This Row],[Profit]]/MediCare_Data[[#This Row],[Revenue_Generated]])</f>
        <v>0.8173981880552379</v>
      </c>
    </row>
    <row r="89" spans="1:19" x14ac:dyDescent="0.25">
      <c r="A89" t="s">
        <v>136</v>
      </c>
      <c r="B89" t="s">
        <v>56</v>
      </c>
      <c r="C89" t="s">
        <v>20</v>
      </c>
      <c r="D89" t="s">
        <v>32</v>
      </c>
      <c r="E89">
        <v>5</v>
      </c>
      <c r="F89" t="str">
        <f>IF(MediCare_Data[[#This Row],[Patient_Age]]&lt;=18,"0-18",IF(MediCare_Data[[#This Row],[Patient_Age]]&lt;=35,"19-35",IF(MediCare_Data[[#This Row],[Patient_Age]]&lt;=60,"36-60","60+")))</f>
        <v>0-18</v>
      </c>
      <c r="G89" t="s">
        <v>17</v>
      </c>
      <c r="H89" t="s">
        <v>18</v>
      </c>
      <c r="I89" s="2">
        <v>67</v>
      </c>
      <c r="J89" s="11">
        <v>7065</v>
      </c>
      <c r="K89" s="3">
        <v>8.5060588470000003</v>
      </c>
      <c r="L89" s="3">
        <f t="shared" si="1"/>
        <v>8.5060588470000004E-2</v>
      </c>
      <c r="M89">
        <v>91</v>
      </c>
      <c r="N89" s="6">
        <f>MediCare_Data[[#This Row],[Average_Wait_Time (mins)]]/1440</f>
        <v>6.3194444444444442E-2</v>
      </c>
      <c r="O89" s="2">
        <v>3</v>
      </c>
      <c r="P89" s="10">
        <v>46710</v>
      </c>
      <c r="Q89" s="17" t="str">
        <f>IF(AND(MediCare_Data[[#This Row],[Patient_Gender]]="Male", MediCare_Data[[#This Row],[Treatment_Type]]="Maternity"), "Gender-Treatment Mismatch", "Fine")</f>
        <v>Fine</v>
      </c>
      <c r="R89" s="10">
        <f>MediCare_Data[[#This Row],[Revenue_Generated]]-MediCare_Data[[#This Row],[Average_Treatment_Cost]]</f>
        <v>39645</v>
      </c>
      <c r="S89" s="3">
        <f>(MediCare_Data[[#This Row],[Profit]]/MediCare_Data[[#This Row],[Revenue_Generated]])</f>
        <v>0.84874759152215795</v>
      </c>
    </row>
    <row r="90" spans="1:19" x14ac:dyDescent="0.25">
      <c r="A90" t="s">
        <v>137</v>
      </c>
      <c r="B90" t="s">
        <v>28</v>
      </c>
      <c r="C90" t="s">
        <v>36</v>
      </c>
      <c r="D90" t="s">
        <v>16</v>
      </c>
      <c r="E90">
        <v>82</v>
      </c>
      <c r="F90" t="str">
        <f>IF(MediCare_Data[[#This Row],[Patient_Age]]&lt;=18,"0-18",IF(MediCare_Data[[#This Row],[Patient_Age]]&lt;=35,"19-35",IF(MediCare_Data[[#This Row],[Patient_Age]]&lt;=60,"36-60","60+")))</f>
        <v>60+</v>
      </c>
      <c r="G90" t="s">
        <v>43</v>
      </c>
      <c r="H90" t="s">
        <v>51</v>
      </c>
      <c r="I90" s="2">
        <v>96</v>
      </c>
      <c r="J90" s="11">
        <v>6484</v>
      </c>
      <c r="K90" s="3">
        <v>18.800097820000001</v>
      </c>
      <c r="L90" s="3">
        <f t="shared" si="1"/>
        <v>0.1880009782</v>
      </c>
      <c r="M90">
        <v>107</v>
      </c>
      <c r="N90" s="6">
        <f>MediCare_Data[[#This Row],[Average_Wait_Time (mins)]]/1440</f>
        <v>7.4305555555555555E-2</v>
      </c>
      <c r="O90" s="2">
        <v>2</v>
      </c>
      <c r="P90" s="10">
        <v>10968</v>
      </c>
      <c r="Q90" s="17" t="str">
        <f>IF(AND(MediCare_Data[[#This Row],[Patient_Gender]]="Male", MediCare_Data[[#This Row],[Treatment_Type]]="Maternity"), "Gender-Treatment Mismatch", "Fine")</f>
        <v>Fine</v>
      </c>
      <c r="R90" s="10">
        <f>MediCare_Data[[#This Row],[Revenue_Generated]]-MediCare_Data[[#This Row],[Average_Treatment_Cost]]</f>
        <v>4484</v>
      </c>
      <c r="S90" s="3">
        <f>(MediCare_Data[[#This Row],[Profit]]/MediCare_Data[[#This Row],[Revenue_Generated]])</f>
        <v>0.4088256746900073</v>
      </c>
    </row>
    <row r="91" spans="1:19" x14ac:dyDescent="0.25">
      <c r="A91" t="s">
        <v>138</v>
      </c>
      <c r="B91" t="s">
        <v>39</v>
      </c>
      <c r="C91" t="s">
        <v>46</v>
      </c>
      <c r="D91" t="s">
        <v>16</v>
      </c>
      <c r="E91">
        <v>25</v>
      </c>
      <c r="F91" t="str">
        <f>IF(MediCare_Data[[#This Row],[Patient_Age]]&lt;=18,"0-18",IF(MediCare_Data[[#This Row],[Patient_Age]]&lt;=35,"19-35",IF(MediCare_Data[[#This Row],[Patient_Age]]&lt;=60,"36-60","60+")))</f>
        <v>19-35</v>
      </c>
      <c r="G91" t="s">
        <v>43</v>
      </c>
      <c r="H91" t="s">
        <v>47</v>
      </c>
      <c r="I91" s="2">
        <v>73</v>
      </c>
      <c r="J91" s="11">
        <v>5642</v>
      </c>
      <c r="K91" s="3">
        <v>9.0186737729999997</v>
      </c>
      <c r="L91" s="3">
        <f t="shared" si="1"/>
        <v>9.0186737729999994E-2</v>
      </c>
      <c r="M91">
        <v>136</v>
      </c>
      <c r="N91" s="6">
        <f>MediCare_Data[[#This Row],[Average_Wait_Time (mins)]]/1440</f>
        <v>9.4444444444444442E-2</v>
      </c>
      <c r="O91" s="2">
        <v>2</v>
      </c>
      <c r="P91" s="10">
        <v>3462</v>
      </c>
      <c r="Q91" s="17" t="str">
        <f>IF(AND(MediCare_Data[[#This Row],[Patient_Gender]]="Male", MediCare_Data[[#This Row],[Treatment_Type]]="Maternity"), "Gender-Treatment Mismatch", "Fine")</f>
        <v>Fine</v>
      </c>
      <c r="R91" s="10">
        <f>MediCare_Data[[#This Row],[Revenue_Generated]]-MediCare_Data[[#This Row],[Average_Treatment_Cost]]</f>
        <v>-2180</v>
      </c>
      <c r="S91" s="3">
        <f>(MediCare_Data[[#This Row],[Profit]]/MediCare_Data[[#This Row],[Revenue_Generated]])</f>
        <v>-0.62969381860196416</v>
      </c>
    </row>
    <row r="92" spans="1:19" x14ac:dyDescent="0.25">
      <c r="A92" t="s">
        <v>139</v>
      </c>
      <c r="B92" t="s">
        <v>53</v>
      </c>
      <c r="C92" t="s">
        <v>46</v>
      </c>
      <c r="D92" t="s">
        <v>32</v>
      </c>
      <c r="E92">
        <v>17</v>
      </c>
      <c r="F92" t="str">
        <f>IF(MediCare_Data[[#This Row],[Patient_Age]]&lt;=18,"0-18",IF(MediCare_Data[[#This Row],[Patient_Age]]&lt;=35,"19-35",IF(MediCare_Data[[#This Row],[Patient_Age]]&lt;=60,"36-60","60+")))</f>
        <v>0-18</v>
      </c>
      <c r="G92" t="s">
        <v>22</v>
      </c>
      <c r="H92" t="s">
        <v>18</v>
      </c>
      <c r="I92" s="2">
        <v>75</v>
      </c>
      <c r="J92" s="11">
        <v>5170</v>
      </c>
      <c r="K92" s="3">
        <v>15.71655369</v>
      </c>
      <c r="L92" s="3">
        <f t="shared" si="1"/>
        <v>0.15716553689999999</v>
      </c>
      <c r="M92">
        <v>84</v>
      </c>
      <c r="N92" s="6">
        <f>MediCare_Data[[#This Row],[Average_Wait_Time (mins)]]/1440</f>
        <v>5.8333333333333334E-2</v>
      </c>
      <c r="O92" s="2">
        <v>4</v>
      </c>
      <c r="P92" s="10">
        <v>10460</v>
      </c>
      <c r="Q92" s="17" t="str">
        <f>IF(AND(MediCare_Data[[#This Row],[Patient_Gender]]="Male", MediCare_Data[[#This Row],[Treatment_Type]]="Maternity"), "Gender-Treatment Mismatch", "Fine")</f>
        <v>Fine</v>
      </c>
      <c r="R92" s="10">
        <f>MediCare_Data[[#This Row],[Revenue_Generated]]-MediCare_Data[[#This Row],[Average_Treatment_Cost]]</f>
        <v>5290</v>
      </c>
      <c r="S92" s="3">
        <f>(MediCare_Data[[#This Row],[Profit]]/MediCare_Data[[#This Row],[Revenue_Generated]])</f>
        <v>0.50573613766730396</v>
      </c>
    </row>
    <row r="93" spans="1:19" x14ac:dyDescent="0.25">
      <c r="A93" t="s">
        <v>140</v>
      </c>
      <c r="B93" t="s">
        <v>49</v>
      </c>
      <c r="C93" t="s">
        <v>42</v>
      </c>
      <c r="D93" t="s">
        <v>16</v>
      </c>
      <c r="E93">
        <v>36</v>
      </c>
      <c r="F93" t="str">
        <f>IF(MediCare_Data[[#This Row],[Patient_Age]]&lt;=18,"0-18",IF(MediCare_Data[[#This Row],[Patient_Age]]&lt;=35,"19-35",IF(MediCare_Data[[#This Row],[Patient_Age]]&lt;=60,"36-60","60+")))</f>
        <v>36-60</v>
      </c>
      <c r="G93" t="s">
        <v>22</v>
      </c>
      <c r="H93" t="s">
        <v>47</v>
      </c>
      <c r="I93" s="2">
        <v>74</v>
      </c>
      <c r="J93" s="11">
        <v>2690</v>
      </c>
      <c r="K93" s="3">
        <v>6.9335289930000004</v>
      </c>
      <c r="L93" s="3">
        <f t="shared" si="1"/>
        <v>6.9335289930000002E-2</v>
      </c>
      <c r="M93">
        <v>114</v>
      </c>
      <c r="N93" s="6">
        <f>MediCare_Data[[#This Row],[Average_Wait_Time (mins)]]/1440</f>
        <v>7.9166666666666663E-2</v>
      </c>
      <c r="O93" s="2">
        <v>1</v>
      </c>
      <c r="P93" s="10">
        <v>34783</v>
      </c>
      <c r="Q93" s="17" t="str">
        <f>IF(AND(MediCare_Data[[#This Row],[Patient_Gender]]="Male", MediCare_Data[[#This Row],[Treatment_Type]]="Maternity"), "Gender-Treatment Mismatch", "Fine")</f>
        <v>Fine</v>
      </c>
      <c r="R93" s="10">
        <f>MediCare_Data[[#This Row],[Revenue_Generated]]-MediCare_Data[[#This Row],[Average_Treatment_Cost]]</f>
        <v>32093</v>
      </c>
      <c r="S93" s="3">
        <f>(MediCare_Data[[#This Row],[Profit]]/MediCare_Data[[#This Row],[Revenue_Generated]])</f>
        <v>0.92266337003708709</v>
      </c>
    </row>
    <row r="94" spans="1:19" x14ac:dyDescent="0.25">
      <c r="A94" t="s">
        <v>141</v>
      </c>
      <c r="B94" t="s">
        <v>82</v>
      </c>
      <c r="C94" t="s">
        <v>29</v>
      </c>
      <c r="D94" t="s">
        <v>32</v>
      </c>
      <c r="E94">
        <v>1</v>
      </c>
      <c r="F94" t="str">
        <f>IF(MediCare_Data[[#This Row],[Patient_Age]]&lt;=18,"0-18",IF(MediCare_Data[[#This Row],[Patient_Age]]&lt;=35,"19-35",IF(MediCare_Data[[#This Row],[Patient_Age]]&lt;=60,"36-60","60+")))</f>
        <v>0-18</v>
      </c>
      <c r="G94" t="s">
        <v>22</v>
      </c>
      <c r="H94" t="s">
        <v>51</v>
      </c>
      <c r="I94" s="2">
        <v>94</v>
      </c>
      <c r="J94" s="11">
        <v>9684</v>
      </c>
      <c r="K94" s="3">
        <v>14.007418729999999</v>
      </c>
      <c r="L94" s="3">
        <f t="shared" si="1"/>
        <v>0.14007418729999999</v>
      </c>
      <c r="M94">
        <v>58</v>
      </c>
      <c r="N94" s="6">
        <f>MediCare_Data[[#This Row],[Average_Wait_Time (mins)]]/1440</f>
        <v>4.027777777777778E-2</v>
      </c>
      <c r="O94" s="2">
        <v>1</v>
      </c>
      <c r="P94" s="10">
        <v>10275</v>
      </c>
      <c r="Q94" s="17" t="str">
        <f>IF(AND(MediCare_Data[[#This Row],[Patient_Gender]]="Male", MediCare_Data[[#This Row],[Treatment_Type]]="Maternity"), "Gender-Treatment Mismatch", "Fine")</f>
        <v>Fine</v>
      </c>
      <c r="R94" s="10">
        <f>MediCare_Data[[#This Row],[Revenue_Generated]]-MediCare_Data[[#This Row],[Average_Treatment_Cost]]</f>
        <v>591</v>
      </c>
      <c r="S94" s="3">
        <f>(MediCare_Data[[#This Row],[Profit]]/MediCare_Data[[#This Row],[Revenue_Generated]])</f>
        <v>5.7518248175182481E-2</v>
      </c>
    </row>
    <row r="95" spans="1:19" x14ac:dyDescent="0.25">
      <c r="A95" t="s">
        <v>142</v>
      </c>
      <c r="B95" t="s">
        <v>56</v>
      </c>
      <c r="C95" t="s">
        <v>54</v>
      </c>
      <c r="D95" t="s">
        <v>16</v>
      </c>
      <c r="E95">
        <v>36</v>
      </c>
      <c r="F95" t="str">
        <f>IF(MediCare_Data[[#This Row],[Patient_Age]]&lt;=18,"0-18",IF(MediCare_Data[[#This Row],[Patient_Age]]&lt;=35,"19-35",IF(MediCare_Data[[#This Row],[Patient_Age]]&lt;=60,"36-60","60+")))</f>
        <v>36-60</v>
      </c>
      <c r="G95" t="s">
        <v>17</v>
      </c>
      <c r="H95" t="s">
        <v>47</v>
      </c>
      <c r="I95" s="2">
        <v>90</v>
      </c>
      <c r="J95" s="11">
        <v>3212</v>
      </c>
      <c r="K95" s="3">
        <v>20.123266579999999</v>
      </c>
      <c r="L95" s="3">
        <f t="shared" si="1"/>
        <v>0.20123266579999999</v>
      </c>
      <c r="M95">
        <v>88</v>
      </c>
      <c r="N95" s="6">
        <f>MediCare_Data[[#This Row],[Average_Wait_Time (mins)]]/1440</f>
        <v>6.1111111111111109E-2</v>
      </c>
      <c r="O95" s="2">
        <v>4</v>
      </c>
      <c r="P95" s="10">
        <v>29677</v>
      </c>
      <c r="Q95" s="17" t="str">
        <f>IF(AND(MediCare_Data[[#This Row],[Patient_Gender]]="Male", MediCare_Data[[#This Row],[Treatment_Type]]="Maternity"), "Gender-Treatment Mismatch", "Fine")</f>
        <v>Fine</v>
      </c>
      <c r="R95" s="10">
        <f>MediCare_Data[[#This Row],[Revenue_Generated]]-MediCare_Data[[#This Row],[Average_Treatment_Cost]]</f>
        <v>26465</v>
      </c>
      <c r="S95" s="3">
        <f>(MediCare_Data[[#This Row],[Profit]]/MediCare_Data[[#This Row],[Revenue_Generated]])</f>
        <v>0.8917680358526805</v>
      </c>
    </row>
    <row r="96" spans="1:19" x14ac:dyDescent="0.25">
      <c r="A96" t="s">
        <v>143</v>
      </c>
      <c r="B96" t="s">
        <v>41</v>
      </c>
      <c r="C96" t="s">
        <v>54</v>
      </c>
      <c r="D96" t="s">
        <v>21</v>
      </c>
      <c r="E96">
        <v>29</v>
      </c>
      <c r="F96" t="str">
        <f>IF(MediCare_Data[[#This Row],[Patient_Age]]&lt;=18,"0-18",IF(MediCare_Data[[#This Row],[Patient_Age]]&lt;=35,"19-35",IF(MediCare_Data[[#This Row],[Patient_Age]]&lt;=60,"36-60","60+")))</f>
        <v>19-35</v>
      </c>
      <c r="G96" t="s">
        <v>17</v>
      </c>
      <c r="H96" t="s">
        <v>37</v>
      </c>
      <c r="I96" s="2">
        <v>78</v>
      </c>
      <c r="J96" s="11">
        <v>2692</v>
      </c>
      <c r="K96" s="3">
        <v>11.951430480000001</v>
      </c>
      <c r="L96" s="3">
        <f t="shared" si="1"/>
        <v>0.11951430480000001</v>
      </c>
      <c r="M96">
        <v>102</v>
      </c>
      <c r="N96" s="6">
        <f>MediCare_Data[[#This Row],[Average_Wait_Time (mins)]]/1440</f>
        <v>7.0833333333333331E-2</v>
      </c>
      <c r="O96" s="2">
        <v>3</v>
      </c>
      <c r="P96" s="10">
        <v>14269</v>
      </c>
      <c r="Q96" s="17" t="str">
        <f>IF(AND(MediCare_Data[[#This Row],[Patient_Gender]]="Male", MediCare_Data[[#This Row],[Treatment_Type]]="Maternity"), "Gender-Treatment Mismatch", "Fine")</f>
        <v>Fine</v>
      </c>
      <c r="R96" s="10">
        <f>MediCare_Data[[#This Row],[Revenue_Generated]]-MediCare_Data[[#This Row],[Average_Treatment_Cost]]</f>
        <v>11577</v>
      </c>
      <c r="S96" s="3">
        <f>(MediCare_Data[[#This Row],[Profit]]/MediCare_Data[[#This Row],[Revenue_Generated]])</f>
        <v>0.8113392669423225</v>
      </c>
    </row>
    <row r="97" spans="1:19" x14ac:dyDescent="0.25">
      <c r="A97" t="s">
        <v>144</v>
      </c>
      <c r="B97" t="s">
        <v>45</v>
      </c>
      <c r="C97" t="s">
        <v>36</v>
      </c>
      <c r="D97" t="s">
        <v>32</v>
      </c>
      <c r="E97">
        <v>51</v>
      </c>
      <c r="F97" t="str">
        <f>IF(MediCare_Data[[#This Row],[Patient_Age]]&lt;=18,"0-18",IF(MediCare_Data[[#This Row],[Patient_Age]]&lt;=35,"19-35",IF(MediCare_Data[[#This Row],[Patient_Age]]&lt;=60,"36-60","60+")))</f>
        <v>36-60</v>
      </c>
      <c r="G97" t="s">
        <v>43</v>
      </c>
      <c r="H97" t="s">
        <v>33</v>
      </c>
      <c r="I97" s="2">
        <v>64</v>
      </c>
      <c r="J97" s="11">
        <v>1748</v>
      </c>
      <c r="K97" s="3">
        <v>18.298234489999999</v>
      </c>
      <c r="L97" s="3">
        <f t="shared" si="1"/>
        <v>0.18298234489999998</v>
      </c>
      <c r="M97">
        <v>163</v>
      </c>
      <c r="N97" s="6">
        <f>MediCare_Data[[#This Row],[Average_Wait_Time (mins)]]/1440</f>
        <v>0.11319444444444444</v>
      </c>
      <c r="O97" s="2">
        <v>4</v>
      </c>
      <c r="P97" s="10">
        <v>1406</v>
      </c>
      <c r="Q97" s="17" t="str">
        <f>IF(AND(MediCare_Data[[#This Row],[Patient_Gender]]="Male", MediCare_Data[[#This Row],[Treatment_Type]]="Maternity"), "Gender-Treatment Mismatch", "Fine")</f>
        <v>Fine</v>
      </c>
      <c r="R97" s="10">
        <f>MediCare_Data[[#This Row],[Revenue_Generated]]-MediCare_Data[[#This Row],[Average_Treatment_Cost]]</f>
        <v>-342</v>
      </c>
      <c r="S97" s="3">
        <f>(MediCare_Data[[#This Row],[Profit]]/MediCare_Data[[#This Row],[Revenue_Generated]])</f>
        <v>-0.24324324324324326</v>
      </c>
    </row>
    <row r="98" spans="1:19" x14ac:dyDescent="0.25">
      <c r="A98" t="s">
        <v>145</v>
      </c>
      <c r="B98" t="s">
        <v>39</v>
      </c>
      <c r="C98" t="s">
        <v>20</v>
      </c>
      <c r="D98" t="s">
        <v>32</v>
      </c>
      <c r="E98">
        <v>55</v>
      </c>
      <c r="F98" t="str">
        <f>IF(MediCare_Data[[#This Row],[Patient_Age]]&lt;=18,"0-18",IF(MediCare_Data[[#This Row],[Patient_Age]]&lt;=35,"19-35",IF(MediCare_Data[[#This Row],[Patient_Age]]&lt;=60,"36-60","60+")))</f>
        <v>36-60</v>
      </c>
      <c r="G98" t="s">
        <v>22</v>
      </c>
      <c r="H98" t="s">
        <v>51</v>
      </c>
      <c r="I98" s="2">
        <v>94</v>
      </c>
      <c r="J98" s="11">
        <v>4533</v>
      </c>
      <c r="K98" s="3">
        <v>20.908999219999998</v>
      </c>
      <c r="L98" s="3">
        <f t="shared" si="1"/>
        <v>0.20908999219999999</v>
      </c>
      <c r="M98">
        <v>27</v>
      </c>
      <c r="N98" s="6">
        <f>MediCare_Data[[#This Row],[Average_Wait_Time (mins)]]/1440</f>
        <v>1.8749999999999999E-2</v>
      </c>
      <c r="O98" s="2">
        <v>2</v>
      </c>
      <c r="P98" s="10">
        <v>8384</v>
      </c>
      <c r="Q98" s="17" t="str">
        <f>IF(AND(MediCare_Data[[#This Row],[Patient_Gender]]="Male", MediCare_Data[[#This Row],[Treatment_Type]]="Maternity"), "Gender-Treatment Mismatch", "Fine")</f>
        <v>Fine</v>
      </c>
      <c r="R98" s="10">
        <f>MediCare_Data[[#This Row],[Revenue_Generated]]-MediCare_Data[[#This Row],[Average_Treatment_Cost]]</f>
        <v>3851</v>
      </c>
      <c r="S98" s="3">
        <f>(MediCare_Data[[#This Row],[Profit]]/MediCare_Data[[#This Row],[Revenue_Generated]])</f>
        <v>0.45932729007633588</v>
      </c>
    </row>
    <row r="99" spans="1:19" x14ac:dyDescent="0.25">
      <c r="A99" t="s">
        <v>146</v>
      </c>
      <c r="B99" t="s">
        <v>74</v>
      </c>
      <c r="C99" t="s">
        <v>46</v>
      </c>
      <c r="D99" t="s">
        <v>21</v>
      </c>
      <c r="E99">
        <v>9</v>
      </c>
      <c r="F99" t="str">
        <f>IF(MediCare_Data[[#This Row],[Patient_Age]]&lt;=18,"0-18",IF(MediCare_Data[[#This Row],[Patient_Age]]&lt;=35,"19-35",IF(MediCare_Data[[#This Row],[Patient_Age]]&lt;=60,"36-60","60+")))</f>
        <v>0-18</v>
      </c>
      <c r="G99" t="s">
        <v>17</v>
      </c>
      <c r="H99" t="s">
        <v>33</v>
      </c>
      <c r="I99" s="2">
        <v>50</v>
      </c>
      <c r="J99" s="11">
        <v>2497</v>
      </c>
      <c r="K99" s="3">
        <v>23.543556389999999</v>
      </c>
      <c r="L99" s="3">
        <f t="shared" si="1"/>
        <v>0.23543556389999998</v>
      </c>
      <c r="M99">
        <v>105</v>
      </c>
      <c r="N99" s="6">
        <f>MediCare_Data[[#This Row],[Average_Wait_Time (mins)]]/1440</f>
        <v>7.2916666666666671E-2</v>
      </c>
      <c r="O99" s="2">
        <v>1</v>
      </c>
      <c r="P99" s="10">
        <v>23553</v>
      </c>
      <c r="Q99" s="17" t="str">
        <f>IF(AND(MediCare_Data[[#This Row],[Patient_Gender]]="Male", MediCare_Data[[#This Row],[Treatment_Type]]="Maternity"), "Gender-Treatment Mismatch", "Fine")</f>
        <v>Fine</v>
      </c>
      <c r="R99" s="10">
        <f>MediCare_Data[[#This Row],[Revenue_Generated]]-MediCare_Data[[#This Row],[Average_Treatment_Cost]]</f>
        <v>21056</v>
      </c>
      <c r="S99" s="3">
        <f>(MediCare_Data[[#This Row],[Profit]]/MediCare_Data[[#This Row],[Revenue_Generated]])</f>
        <v>0.89398378125928757</v>
      </c>
    </row>
    <row r="100" spans="1:19" x14ac:dyDescent="0.25">
      <c r="A100" t="s">
        <v>147</v>
      </c>
      <c r="B100" t="s">
        <v>53</v>
      </c>
      <c r="C100" t="s">
        <v>29</v>
      </c>
      <c r="D100" t="s">
        <v>16</v>
      </c>
      <c r="E100">
        <v>81</v>
      </c>
      <c r="F100" t="str">
        <f>IF(MediCare_Data[[#This Row],[Patient_Age]]&lt;=18,"0-18",IF(MediCare_Data[[#This Row],[Patient_Age]]&lt;=35,"19-35",IF(MediCare_Data[[#This Row],[Patient_Age]]&lt;=60,"36-60","60+")))</f>
        <v>60+</v>
      </c>
      <c r="G100" t="s">
        <v>17</v>
      </c>
      <c r="H100" t="s">
        <v>47</v>
      </c>
      <c r="I100" s="2">
        <v>74</v>
      </c>
      <c r="J100" s="11">
        <v>4187</v>
      </c>
      <c r="K100" s="3">
        <v>9.6928416370000008</v>
      </c>
      <c r="L100" s="3">
        <f t="shared" si="1"/>
        <v>9.6928416370000006E-2</v>
      </c>
      <c r="M100">
        <v>47</v>
      </c>
      <c r="N100" s="6">
        <f>MediCare_Data[[#This Row],[Average_Wait_Time (mins)]]/1440</f>
        <v>3.2638888888888891E-2</v>
      </c>
      <c r="O100" s="2">
        <v>4</v>
      </c>
      <c r="P100" s="10">
        <v>25366</v>
      </c>
      <c r="Q100" s="17" t="str">
        <f>IF(AND(MediCare_Data[[#This Row],[Patient_Gender]]="Male", MediCare_Data[[#This Row],[Treatment_Type]]="Maternity"), "Gender-Treatment Mismatch", "Fine")</f>
        <v>Fine</v>
      </c>
      <c r="R100" s="10">
        <f>MediCare_Data[[#This Row],[Revenue_Generated]]-MediCare_Data[[#This Row],[Average_Treatment_Cost]]</f>
        <v>21179</v>
      </c>
      <c r="S100" s="3">
        <f>(MediCare_Data[[#This Row],[Profit]]/MediCare_Data[[#This Row],[Revenue_Generated]])</f>
        <v>0.83493652921233141</v>
      </c>
    </row>
    <row r="101" spans="1:19" x14ac:dyDescent="0.25">
      <c r="A101" t="s">
        <v>148</v>
      </c>
      <c r="B101" t="s">
        <v>58</v>
      </c>
      <c r="C101" t="s">
        <v>20</v>
      </c>
      <c r="D101" t="s">
        <v>21</v>
      </c>
      <c r="E101">
        <v>44</v>
      </c>
      <c r="F101" t="str">
        <f>IF(MediCare_Data[[#This Row],[Patient_Age]]&lt;=18,"0-18",IF(MediCare_Data[[#This Row],[Patient_Age]]&lt;=35,"19-35",IF(MediCare_Data[[#This Row],[Patient_Age]]&lt;=60,"36-60","60+")))</f>
        <v>36-60</v>
      </c>
      <c r="G101" t="s">
        <v>43</v>
      </c>
      <c r="H101" t="s">
        <v>23</v>
      </c>
      <c r="I101" s="2">
        <v>56</v>
      </c>
      <c r="J101" s="11">
        <v>4518</v>
      </c>
      <c r="K101" s="3">
        <v>12.986318320000001</v>
      </c>
      <c r="L101" s="3">
        <f t="shared" si="1"/>
        <v>0.12986318320000001</v>
      </c>
      <c r="M101">
        <v>96</v>
      </c>
      <c r="N101" s="6">
        <f>MediCare_Data[[#This Row],[Average_Wait_Time (mins)]]/1440</f>
        <v>6.6666666666666666E-2</v>
      </c>
      <c r="O101" s="2">
        <v>3</v>
      </c>
      <c r="P101" s="10">
        <v>45036</v>
      </c>
      <c r="Q101" s="17" t="str">
        <f>IF(AND(MediCare_Data[[#This Row],[Patient_Gender]]="Male", MediCare_Data[[#This Row],[Treatment_Type]]="Maternity"), "Gender-Treatment Mismatch", "Fine")</f>
        <v>Fine</v>
      </c>
      <c r="R101" s="10">
        <f>MediCare_Data[[#This Row],[Revenue_Generated]]-MediCare_Data[[#This Row],[Average_Treatment_Cost]]</f>
        <v>40518</v>
      </c>
      <c r="S101" s="3">
        <f>(MediCare_Data[[#This Row],[Profit]]/MediCare_Data[[#This Row],[Revenue_Generated]])</f>
        <v>0.8996802557953637</v>
      </c>
    </row>
    <row r="102" spans="1:19" x14ac:dyDescent="0.25">
      <c r="A102" t="s">
        <v>149</v>
      </c>
      <c r="B102" t="s">
        <v>53</v>
      </c>
      <c r="C102" t="s">
        <v>46</v>
      </c>
      <c r="D102" t="s">
        <v>16</v>
      </c>
      <c r="E102">
        <v>80</v>
      </c>
      <c r="F102" t="str">
        <f>IF(MediCare_Data[[#This Row],[Patient_Age]]&lt;=18,"0-18",IF(MediCare_Data[[#This Row],[Patient_Age]]&lt;=35,"19-35",IF(MediCare_Data[[#This Row],[Patient_Age]]&lt;=60,"36-60","60+")))</f>
        <v>60+</v>
      </c>
      <c r="G102" t="s">
        <v>43</v>
      </c>
      <c r="H102" t="s">
        <v>37</v>
      </c>
      <c r="I102" s="2">
        <v>58</v>
      </c>
      <c r="J102" s="11">
        <v>2470</v>
      </c>
      <c r="K102" s="3">
        <v>8.0483202669999994</v>
      </c>
      <c r="L102" s="3">
        <f t="shared" si="1"/>
        <v>8.048320266999999E-2</v>
      </c>
      <c r="M102">
        <v>97</v>
      </c>
      <c r="N102" s="6">
        <f>MediCare_Data[[#This Row],[Average_Wait_Time (mins)]]/1440</f>
        <v>6.7361111111111108E-2</v>
      </c>
      <c r="O102" s="2">
        <v>4</v>
      </c>
      <c r="P102" s="10">
        <v>18369</v>
      </c>
      <c r="Q102" s="17" t="str">
        <f>IF(AND(MediCare_Data[[#This Row],[Patient_Gender]]="Male", MediCare_Data[[#This Row],[Treatment_Type]]="Maternity"), "Gender-Treatment Mismatch", "Fine")</f>
        <v>Gender-Treatment Mismatch</v>
      </c>
      <c r="R102" s="10">
        <f>MediCare_Data[[#This Row],[Revenue_Generated]]-MediCare_Data[[#This Row],[Average_Treatment_Cost]]</f>
        <v>15899</v>
      </c>
      <c r="S102" s="3">
        <f>(MediCare_Data[[#This Row],[Profit]]/MediCare_Data[[#This Row],[Revenue_Generated]])</f>
        <v>0.8655343241330502</v>
      </c>
    </row>
    <row r="103" spans="1:19" x14ac:dyDescent="0.25">
      <c r="A103" t="s">
        <v>150</v>
      </c>
      <c r="B103" t="s">
        <v>28</v>
      </c>
      <c r="C103" t="s">
        <v>20</v>
      </c>
      <c r="D103" t="s">
        <v>16</v>
      </c>
      <c r="E103">
        <v>5</v>
      </c>
      <c r="F103" t="str">
        <f>IF(MediCare_Data[[#This Row],[Patient_Age]]&lt;=18,"0-18",IF(MediCare_Data[[#This Row],[Patient_Age]]&lt;=35,"19-35",IF(MediCare_Data[[#This Row],[Patient_Age]]&lt;=60,"36-60","60+")))</f>
        <v>0-18</v>
      </c>
      <c r="G103" t="s">
        <v>26</v>
      </c>
      <c r="H103" t="s">
        <v>47</v>
      </c>
      <c r="I103" s="2">
        <v>73</v>
      </c>
      <c r="J103" s="11">
        <v>8889</v>
      </c>
      <c r="K103" s="3">
        <v>24.849670039999999</v>
      </c>
      <c r="L103" s="3">
        <f t="shared" si="1"/>
        <v>0.24849670039999999</v>
      </c>
      <c r="M103">
        <v>59</v>
      </c>
      <c r="N103" s="6">
        <f>MediCare_Data[[#This Row],[Average_Wait_Time (mins)]]/1440</f>
        <v>4.0972222222222222E-2</v>
      </c>
      <c r="O103" s="2">
        <v>1</v>
      </c>
      <c r="P103" s="10">
        <v>12795</v>
      </c>
      <c r="Q103" s="17" t="str">
        <f>IF(AND(MediCare_Data[[#This Row],[Patient_Gender]]="Male", MediCare_Data[[#This Row],[Treatment_Type]]="Maternity"), "Gender-Treatment Mismatch", "Fine")</f>
        <v>Fine</v>
      </c>
      <c r="R103" s="10">
        <f>MediCare_Data[[#This Row],[Revenue_Generated]]-MediCare_Data[[#This Row],[Average_Treatment_Cost]]</f>
        <v>3906</v>
      </c>
      <c r="S103" s="3">
        <f>(MediCare_Data[[#This Row],[Profit]]/MediCare_Data[[#This Row],[Revenue_Generated]])</f>
        <v>0.30527549824150058</v>
      </c>
    </row>
    <row r="104" spans="1:19" x14ac:dyDescent="0.25">
      <c r="A104" t="s">
        <v>151</v>
      </c>
      <c r="B104" t="s">
        <v>35</v>
      </c>
      <c r="C104" t="s">
        <v>42</v>
      </c>
      <c r="D104" t="s">
        <v>32</v>
      </c>
      <c r="E104">
        <v>8</v>
      </c>
      <c r="F104" t="str">
        <f>IF(MediCare_Data[[#This Row],[Patient_Age]]&lt;=18,"0-18",IF(MediCare_Data[[#This Row],[Patient_Age]]&lt;=35,"19-35",IF(MediCare_Data[[#This Row],[Patient_Age]]&lt;=60,"36-60","60+")))</f>
        <v>0-18</v>
      </c>
      <c r="G104" t="s">
        <v>26</v>
      </c>
      <c r="H104" t="s">
        <v>51</v>
      </c>
      <c r="I104" s="2">
        <v>50</v>
      </c>
      <c r="J104" s="11">
        <v>6265</v>
      </c>
      <c r="K104" s="3">
        <v>23.540019359999999</v>
      </c>
      <c r="L104" s="3">
        <f t="shared" si="1"/>
        <v>0.23540019359999997</v>
      </c>
      <c r="M104">
        <v>17</v>
      </c>
      <c r="N104" s="6">
        <f>MediCare_Data[[#This Row],[Average_Wait_Time (mins)]]/1440</f>
        <v>1.1805555555555555E-2</v>
      </c>
      <c r="O104" s="2">
        <v>4</v>
      </c>
      <c r="P104" s="10">
        <v>5485</v>
      </c>
      <c r="Q104" s="17" t="str">
        <f>IF(AND(MediCare_Data[[#This Row],[Patient_Gender]]="Male", MediCare_Data[[#This Row],[Treatment_Type]]="Maternity"), "Gender-Treatment Mismatch", "Fine")</f>
        <v>Fine</v>
      </c>
      <c r="R104" s="10">
        <f>MediCare_Data[[#This Row],[Revenue_Generated]]-MediCare_Data[[#This Row],[Average_Treatment_Cost]]</f>
        <v>-780</v>
      </c>
      <c r="S104" s="3">
        <f>(MediCare_Data[[#This Row],[Profit]]/MediCare_Data[[#This Row],[Revenue_Generated]])</f>
        <v>-0.14220601640838651</v>
      </c>
    </row>
    <row r="105" spans="1:19" x14ac:dyDescent="0.25">
      <c r="A105" t="s">
        <v>152</v>
      </c>
      <c r="B105" t="s">
        <v>53</v>
      </c>
      <c r="C105" t="s">
        <v>20</v>
      </c>
      <c r="D105" t="s">
        <v>21</v>
      </c>
      <c r="E105">
        <v>7</v>
      </c>
      <c r="F105" t="str">
        <f>IF(MediCare_Data[[#This Row],[Patient_Age]]&lt;=18,"0-18",IF(MediCare_Data[[#This Row],[Patient_Age]]&lt;=35,"19-35",IF(MediCare_Data[[#This Row],[Patient_Age]]&lt;=60,"36-60","60+")))</f>
        <v>0-18</v>
      </c>
      <c r="G105" t="s">
        <v>43</v>
      </c>
      <c r="H105" t="s">
        <v>47</v>
      </c>
      <c r="I105" s="2">
        <v>93</v>
      </c>
      <c r="J105" s="11">
        <v>1702</v>
      </c>
      <c r="K105" s="3">
        <v>15.799142610000001</v>
      </c>
      <c r="L105" s="3">
        <f t="shared" si="1"/>
        <v>0.1579914261</v>
      </c>
      <c r="M105">
        <v>178</v>
      </c>
      <c r="N105" s="6">
        <f>MediCare_Data[[#This Row],[Average_Wait_Time (mins)]]/1440</f>
        <v>0.12361111111111112</v>
      </c>
      <c r="O105" s="2">
        <v>4</v>
      </c>
      <c r="P105" s="10">
        <v>42669</v>
      </c>
      <c r="Q105" s="17" t="str">
        <f>IF(AND(MediCare_Data[[#This Row],[Patient_Gender]]="Male", MediCare_Data[[#This Row],[Treatment_Type]]="Maternity"), "Gender-Treatment Mismatch", "Fine")</f>
        <v>Fine</v>
      </c>
      <c r="R105" s="10">
        <f>MediCare_Data[[#This Row],[Revenue_Generated]]-MediCare_Data[[#This Row],[Average_Treatment_Cost]]</f>
        <v>40967</v>
      </c>
      <c r="S105" s="3">
        <f>(MediCare_Data[[#This Row],[Profit]]/MediCare_Data[[#This Row],[Revenue_Generated]])</f>
        <v>0.96011155639925938</v>
      </c>
    </row>
    <row r="106" spans="1:19" x14ac:dyDescent="0.25">
      <c r="A106" t="s">
        <v>153</v>
      </c>
      <c r="B106" t="s">
        <v>39</v>
      </c>
      <c r="C106" t="s">
        <v>54</v>
      </c>
      <c r="D106" t="s">
        <v>21</v>
      </c>
      <c r="E106">
        <v>85</v>
      </c>
      <c r="F106" t="str">
        <f>IF(MediCare_Data[[#This Row],[Patient_Age]]&lt;=18,"0-18",IF(MediCare_Data[[#This Row],[Patient_Age]]&lt;=35,"19-35",IF(MediCare_Data[[#This Row],[Patient_Age]]&lt;=60,"36-60","60+")))</f>
        <v>60+</v>
      </c>
      <c r="G106" t="s">
        <v>26</v>
      </c>
      <c r="H106" t="s">
        <v>23</v>
      </c>
      <c r="I106" s="2">
        <v>57</v>
      </c>
      <c r="J106" s="11">
        <v>8635</v>
      </c>
      <c r="K106" s="3">
        <v>21.84066589</v>
      </c>
      <c r="L106" s="3">
        <f t="shared" si="1"/>
        <v>0.21840665889999999</v>
      </c>
      <c r="M106">
        <v>143</v>
      </c>
      <c r="N106" s="6">
        <f>MediCare_Data[[#This Row],[Average_Wait_Time (mins)]]/1440</f>
        <v>9.930555555555555E-2</v>
      </c>
      <c r="O106" s="2">
        <v>1</v>
      </c>
      <c r="P106" s="10">
        <v>3618</v>
      </c>
      <c r="Q106" s="17" t="str">
        <f>IF(AND(MediCare_Data[[#This Row],[Patient_Gender]]="Male", MediCare_Data[[#This Row],[Treatment_Type]]="Maternity"), "Gender-Treatment Mismatch", "Fine")</f>
        <v>Fine</v>
      </c>
      <c r="R106" s="10">
        <f>MediCare_Data[[#This Row],[Revenue_Generated]]-MediCare_Data[[#This Row],[Average_Treatment_Cost]]</f>
        <v>-5017</v>
      </c>
      <c r="S106" s="3">
        <f>(MediCare_Data[[#This Row],[Profit]]/MediCare_Data[[#This Row],[Revenue_Generated]])</f>
        <v>-1.386677722498618</v>
      </c>
    </row>
    <row r="107" spans="1:19" x14ac:dyDescent="0.25">
      <c r="A107" t="s">
        <v>154</v>
      </c>
      <c r="B107" t="s">
        <v>49</v>
      </c>
      <c r="C107" t="s">
        <v>15</v>
      </c>
      <c r="D107" t="s">
        <v>21</v>
      </c>
      <c r="E107">
        <v>13</v>
      </c>
      <c r="F107" t="str">
        <f>IF(MediCare_Data[[#This Row],[Patient_Age]]&lt;=18,"0-18",IF(MediCare_Data[[#This Row],[Patient_Age]]&lt;=35,"19-35",IF(MediCare_Data[[#This Row],[Patient_Age]]&lt;=60,"36-60","60+")))</f>
        <v>0-18</v>
      </c>
      <c r="G107" t="s">
        <v>17</v>
      </c>
      <c r="H107" t="s">
        <v>18</v>
      </c>
      <c r="I107" s="2">
        <v>73</v>
      </c>
      <c r="J107" s="11">
        <v>6067</v>
      </c>
      <c r="K107" s="3">
        <v>15.41915955</v>
      </c>
      <c r="L107" s="3">
        <f t="shared" si="1"/>
        <v>0.1541915955</v>
      </c>
      <c r="M107">
        <v>78</v>
      </c>
      <c r="N107" s="6">
        <f>MediCare_Data[[#This Row],[Average_Wait_Time (mins)]]/1440</f>
        <v>5.4166666666666669E-2</v>
      </c>
      <c r="O107" s="2">
        <v>2</v>
      </c>
      <c r="P107" s="10">
        <v>31143</v>
      </c>
      <c r="Q107" s="17" t="str">
        <f>IF(AND(MediCare_Data[[#This Row],[Patient_Gender]]="Male", MediCare_Data[[#This Row],[Treatment_Type]]="Maternity"), "Gender-Treatment Mismatch", "Fine")</f>
        <v>Fine</v>
      </c>
      <c r="R107" s="10">
        <f>MediCare_Data[[#This Row],[Revenue_Generated]]-MediCare_Data[[#This Row],[Average_Treatment_Cost]]</f>
        <v>25076</v>
      </c>
      <c r="S107" s="3">
        <f>(MediCare_Data[[#This Row],[Profit]]/MediCare_Data[[#This Row],[Revenue_Generated]])</f>
        <v>0.80518896702308707</v>
      </c>
    </row>
    <row r="108" spans="1:19" x14ac:dyDescent="0.25">
      <c r="A108" t="s">
        <v>155</v>
      </c>
      <c r="B108" t="s">
        <v>82</v>
      </c>
      <c r="C108" t="s">
        <v>20</v>
      </c>
      <c r="D108" t="s">
        <v>21</v>
      </c>
      <c r="E108">
        <v>76</v>
      </c>
      <c r="F108" t="str">
        <f>IF(MediCare_Data[[#This Row],[Patient_Age]]&lt;=18,"0-18",IF(MediCare_Data[[#This Row],[Patient_Age]]&lt;=35,"19-35",IF(MediCare_Data[[#This Row],[Patient_Age]]&lt;=60,"36-60","60+")))</f>
        <v>60+</v>
      </c>
      <c r="G108" t="s">
        <v>43</v>
      </c>
      <c r="H108" t="s">
        <v>47</v>
      </c>
      <c r="I108" s="2">
        <v>60</v>
      </c>
      <c r="J108" s="11">
        <v>8167</v>
      </c>
      <c r="K108" s="3">
        <v>17.47171376</v>
      </c>
      <c r="L108" s="3">
        <f t="shared" si="1"/>
        <v>0.17471713759999999</v>
      </c>
      <c r="M108">
        <v>130</v>
      </c>
      <c r="N108" s="6">
        <f>MediCare_Data[[#This Row],[Average_Wait_Time (mins)]]/1440</f>
        <v>9.0277777777777776E-2</v>
      </c>
      <c r="O108" s="2">
        <v>2</v>
      </c>
      <c r="P108" s="10">
        <v>30425</v>
      </c>
      <c r="Q108" s="17" t="str">
        <f>IF(AND(MediCare_Data[[#This Row],[Patient_Gender]]="Male", MediCare_Data[[#This Row],[Treatment_Type]]="Maternity"), "Gender-Treatment Mismatch", "Fine")</f>
        <v>Fine</v>
      </c>
      <c r="R108" s="10">
        <f>MediCare_Data[[#This Row],[Revenue_Generated]]-MediCare_Data[[#This Row],[Average_Treatment_Cost]]</f>
        <v>22258</v>
      </c>
      <c r="S108" s="3">
        <f>(MediCare_Data[[#This Row],[Profit]]/MediCare_Data[[#This Row],[Revenue_Generated]])</f>
        <v>0.73156943303204602</v>
      </c>
    </row>
    <row r="109" spans="1:19" x14ac:dyDescent="0.25">
      <c r="A109" t="s">
        <v>156</v>
      </c>
      <c r="B109" t="s">
        <v>41</v>
      </c>
      <c r="C109" t="s">
        <v>42</v>
      </c>
      <c r="D109" t="s">
        <v>16</v>
      </c>
      <c r="E109">
        <v>74</v>
      </c>
      <c r="F109" t="str">
        <f>IF(MediCare_Data[[#This Row],[Patient_Age]]&lt;=18,"0-18",IF(MediCare_Data[[#This Row],[Patient_Age]]&lt;=35,"19-35",IF(MediCare_Data[[#This Row],[Patient_Age]]&lt;=60,"36-60","60+")))</f>
        <v>60+</v>
      </c>
      <c r="G109" t="s">
        <v>43</v>
      </c>
      <c r="H109" t="s">
        <v>33</v>
      </c>
      <c r="I109" s="2">
        <v>66</v>
      </c>
      <c r="J109" s="11">
        <v>6242</v>
      </c>
      <c r="K109" s="3">
        <v>6.7824886419999997</v>
      </c>
      <c r="L109" s="3">
        <f t="shared" si="1"/>
        <v>6.7824886419999994E-2</v>
      </c>
      <c r="M109">
        <v>73</v>
      </c>
      <c r="N109" s="6">
        <f>MediCare_Data[[#This Row],[Average_Wait_Time (mins)]]/1440</f>
        <v>5.0694444444444445E-2</v>
      </c>
      <c r="O109" s="2">
        <v>1</v>
      </c>
      <c r="P109" s="10">
        <v>23673</v>
      </c>
      <c r="Q109" s="17" t="str">
        <f>IF(AND(MediCare_Data[[#This Row],[Patient_Gender]]="Male", MediCare_Data[[#This Row],[Treatment_Type]]="Maternity"), "Gender-Treatment Mismatch", "Fine")</f>
        <v>Fine</v>
      </c>
      <c r="R109" s="10">
        <f>MediCare_Data[[#This Row],[Revenue_Generated]]-MediCare_Data[[#This Row],[Average_Treatment_Cost]]</f>
        <v>17431</v>
      </c>
      <c r="S109" s="3">
        <f>(MediCare_Data[[#This Row],[Profit]]/MediCare_Data[[#This Row],[Revenue_Generated]])</f>
        <v>0.73632408228783841</v>
      </c>
    </row>
    <row r="110" spans="1:19" x14ac:dyDescent="0.25">
      <c r="A110" t="s">
        <v>157</v>
      </c>
      <c r="B110" t="s">
        <v>14</v>
      </c>
      <c r="C110" t="s">
        <v>20</v>
      </c>
      <c r="D110" t="s">
        <v>32</v>
      </c>
      <c r="E110">
        <v>80</v>
      </c>
      <c r="F110" t="str">
        <f>IF(MediCare_Data[[#This Row],[Patient_Age]]&lt;=18,"0-18",IF(MediCare_Data[[#This Row],[Patient_Age]]&lt;=35,"19-35",IF(MediCare_Data[[#This Row],[Patient_Age]]&lt;=60,"36-60","60+")))</f>
        <v>60+</v>
      </c>
      <c r="G110" t="s">
        <v>22</v>
      </c>
      <c r="H110" t="s">
        <v>51</v>
      </c>
      <c r="I110" s="2">
        <v>57</v>
      </c>
      <c r="J110" s="11">
        <v>6288</v>
      </c>
      <c r="K110" s="3">
        <v>20.105408409999999</v>
      </c>
      <c r="L110" s="3">
        <f t="shared" si="1"/>
        <v>0.2010540841</v>
      </c>
      <c r="M110">
        <v>166</v>
      </c>
      <c r="N110" s="6">
        <f>MediCare_Data[[#This Row],[Average_Wait_Time (mins)]]/1440</f>
        <v>0.11527777777777778</v>
      </c>
      <c r="O110" s="2">
        <v>4</v>
      </c>
      <c r="P110" s="10">
        <v>10603</v>
      </c>
      <c r="Q110" s="17" t="str">
        <f>IF(AND(MediCare_Data[[#This Row],[Patient_Gender]]="Male", MediCare_Data[[#This Row],[Treatment_Type]]="Maternity"), "Gender-Treatment Mismatch", "Fine")</f>
        <v>Fine</v>
      </c>
      <c r="R110" s="10">
        <f>MediCare_Data[[#This Row],[Revenue_Generated]]-MediCare_Data[[#This Row],[Average_Treatment_Cost]]</f>
        <v>4315</v>
      </c>
      <c r="S110" s="3">
        <f>(MediCare_Data[[#This Row],[Profit]]/MediCare_Data[[#This Row],[Revenue_Generated]])</f>
        <v>0.40696029425634256</v>
      </c>
    </row>
    <row r="111" spans="1:19" x14ac:dyDescent="0.25">
      <c r="A111" t="s">
        <v>158</v>
      </c>
      <c r="B111" t="s">
        <v>61</v>
      </c>
      <c r="C111" t="s">
        <v>31</v>
      </c>
      <c r="D111" t="s">
        <v>32</v>
      </c>
      <c r="E111">
        <v>75</v>
      </c>
      <c r="F111" t="str">
        <f>IF(MediCare_Data[[#This Row],[Patient_Age]]&lt;=18,"0-18",IF(MediCare_Data[[#This Row],[Patient_Age]]&lt;=35,"19-35",IF(MediCare_Data[[#This Row],[Patient_Age]]&lt;=60,"36-60","60+")))</f>
        <v>60+</v>
      </c>
      <c r="G111" t="s">
        <v>17</v>
      </c>
      <c r="H111" t="s">
        <v>23</v>
      </c>
      <c r="I111" s="2">
        <v>84</v>
      </c>
      <c r="J111" s="11">
        <v>5908</v>
      </c>
      <c r="K111" s="3">
        <v>7.5542696730000003</v>
      </c>
      <c r="L111" s="3">
        <f t="shared" si="1"/>
        <v>7.5542696729999997E-2</v>
      </c>
      <c r="M111">
        <v>165</v>
      </c>
      <c r="N111" s="6">
        <f>MediCare_Data[[#This Row],[Average_Wait_Time (mins)]]/1440</f>
        <v>0.11458333333333333</v>
      </c>
      <c r="O111" s="2">
        <v>1</v>
      </c>
      <c r="P111" s="10">
        <v>40696</v>
      </c>
      <c r="Q111" s="17" t="str">
        <f>IF(AND(MediCare_Data[[#This Row],[Patient_Gender]]="Male", MediCare_Data[[#This Row],[Treatment_Type]]="Maternity"), "Gender-Treatment Mismatch", "Fine")</f>
        <v>Fine</v>
      </c>
      <c r="R111" s="10">
        <f>MediCare_Data[[#This Row],[Revenue_Generated]]-MediCare_Data[[#This Row],[Average_Treatment_Cost]]</f>
        <v>34788</v>
      </c>
      <c r="S111" s="3">
        <f>(MediCare_Data[[#This Row],[Profit]]/MediCare_Data[[#This Row],[Revenue_Generated]])</f>
        <v>0.85482602712797329</v>
      </c>
    </row>
    <row r="112" spans="1:19" x14ac:dyDescent="0.25">
      <c r="A112" t="s">
        <v>159</v>
      </c>
      <c r="B112" t="s">
        <v>49</v>
      </c>
      <c r="C112" t="s">
        <v>42</v>
      </c>
      <c r="D112" t="s">
        <v>21</v>
      </c>
      <c r="E112">
        <v>19</v>
      </c>
      <c r="F112" t="str">
        <f>IF(MediCare_Data[[#This Row],[Patient_Age]]&lt;=18,"0-18",IF(MediCare_Data[[#This Row],[Patient_Age]]&lt;=35,"19-35",IF(MediCare_Data[[#This Row],[Patient_Age]]&lt;=60,"36-60","60+")))</f>
        <v>19-35</v>
      </c>
      <c r="G112" t="s">
        <v>17</v>
      </c>
      <c r="H112" t="s">
        <v>18</v>
      </c>
      <c r="I112" s="2">
        <v>84</v>
      </c>
      <c r="J112" s="11">
        <v>9169</v>
      </c>
      <c r="K112" s="3">
        <v>21.521352610000001</v>
      </c>
      <c r="L112" s="3">
        <f t="shared" si="1"/>
        <v>0.2152135261</v>
      </c>
      <c r="M112">
        <v>148</v>
      </c>
      <c r="N112" s="6">
        <f>MediCare_Data[[#This Row],[Average_Wait_Time (mins)]]/1440</f>
        <v>0.10277777777777777</v>
      </c>
      <c r="O112" s="2">
        <v>2</v>
      </c>
      <c r="P112" s="10">
        <v>6368</v>
      </c>
      <c r="Q112" s="17" t="str">
        <f>IF(AND(MediCare_Data[[#This Row],[Patient_Gender]]="Male", MediCare_Data[[#This Row],[Treatment_Type]]="Maternity"), "Gender-Treatment Mismatch", "Fine")</f>
        <v>Fine</v>
      </c>
      <c r="R112" s="10">
        <f>MediCare_Data[[#This Row],[Revenue_Generated]]-MediCare_Data[[#This Row],[Average_Treatment_Cost]]</f>
        <v>-2801</v>
      </c>
      <c r="S112" s="3">
        <f>(MediCare_Data[[#This Row],[Profit]]/MediCare_Data[[#This Row],[Revenue_Generated]])</f>
        <v>-0.43985552763819097</v>
      </c>
    </row>
    <row r="113" spans="1:19" x14ac:dyDescent="0.25">
      <c r="A113" t="s">
        <v>160</v>
      </c>
      <c r="B113" t="s">
        <v>45</v>
      </c>
      <c r="C113" t="s">
        <v>15</v>
      </c>
      <c r="D113" t="s">
        <v>32</v>
      </c>
      <c r="E113">
        <v>67</v>
      </c>
      <c r="F113" t="str">
        <f>IF(MediCare_Data[[#This Row],[Patient_Age]]&lt;=18,"0-18",IF(MediCare_Data[[#This Row],[Patient_Age]]&lt;=35,"19-35",IF(MediCare_Data[[#This Row],[Patient_Age]]&lt;=60,"36-60","60+")))</f>
        <v>60+</v>
      </c>
      <c r="G113" t="s">
        <v>22</v>
      </c>
      <c r="H113" t="s">
        <v>33</v>
      </c>
      <c r="I113" s="2">
        <v>82</v>
      </c>
      <c r="J113" s="11">
        <v>9946</v>
      </c>
      <c r="K113" s="3">
        <v>20.64056175</v>
      </c>
      <c r="L113" s="3">
        <f t="shared" si="1"/>
        <v>0.2064056175</v>
      </c>
      <c r="M113">
        <v>130</v>
      </c>
      <c r="N113" s="6">
        <f>MediCare_Data[[#This Row],[Average_Wait_Time (mins)]]/1440</f>
        <v>9.0277777777777776E-2</v>
      </c>
      <c r="O113" s="2">
        <v>3</v>
      </c>
      <c r="P113" s="10">
        <v>5621</v>
      </c>
      <c r="Q113" s="17" t="str">
        <f>IF(AND(MediCare_Data[[#This Row],[Patient_Gender]]="Male", MediCare_Data[[#This Row],[Treatment_Type]]="Maternity"), "Gender-Treatment Mismatch", "Fine")</f>
        <v>Fine</v>
      </c>
      <c r="R113" s="10">
        <f>MediCare_Data[[#This Row],[Revenue_Generated]]-MediCare_Data[[#This Row],[Average_Treatment_Cost]]</f>
        <v>-4325</v>
      </c>
      <c r="S113" s="3">
        <f>(MediCare_Data[[#This Row],[Profit]]/MediCare_Data[[#This Row],[Revenue_Generated]])</f>
        <v>-0.76943604340864613</v>
      </c>
    </row>
    <row r="114" spans="1:19" x14ac:dyDescent="0.25">
      <c r="A114" t="s">
        <v>161</v>
      </c>
      <c r="B114" t="s">
        <v>49</v>
      </c>
      <c r="C114" t="s">
        <v>31</v>
      </c>
      <c r="D114" t="s">
        <v>32</v>
      </c>
      <c r="E114">
        <v>7</v>
      </c>
      <c r="F114" t="str">
        <f>IF(MediCare_Data[[#This Row],[Patient_Age]]&lt;=18,"0-18",IF(MediCare_Data[[#This Row],[Patient_Age]]&lt;=35,"19-35",IF(MediCare_Data[[#This Row],[Patient_Age]]&lt;=60,"36-60","60+")))</f>
        <v>0-18</v>
      </c>
      <c r="G114" t="s">
        <v>26</v>
      </c>
      <c r="H114" t="s">
        <v>47</v>
      </c>
      <c r="I114" s="2">
        <v>54</v>
      </c>
      <c r="J114" s="11">
        <v>1422</v>
      </c>
      <c r="K114" s="3">
        <v>19.174893950000001</v>
      </c>
      <c r="L114" s="3">
        <f t="shared" si="1"/>
        <v>0.19174893950000002</v>
      </c>
      <c r="M114">
        <v>74</v>
      </c>
      <c r="N114" s="6">
        <f>MediCare_Data[[#This Row],[Average_Wait_Time (mins)]]/1440</f>
        <v>5.1388888888888887E-2</v>
      </c>
      <c r="O114" s="2">
        <v>4</v>
      </c>
      <c r="P114" s="10">
        <v>15719</v>
      </c>
      <c r="Q114" s="17" t="str">
        <f>IF(AND(MediCare_Data[[#This Row],[Patient_Gender]]="Male", MediCare_Data[[#This Row],[Treatment_Type]]="Maternity"), "Gender-Treatment Mismatch", "Fine")</f>
        <v>Fine</v>
      </c>
      <c r="R114" s="10">
        <f>MediCare_Data[[#This Row],[Revenue_Generated]]-MediCare_Data[[#This Row],[Average_Treatment_Cost]]</f>
        <v>14297</v>
      </c>
      <c r="S114" s="3">
        <f>(MediCare_Data[[#This Row],[Profit]]/MediCare_Data[[#This Row],[Revenue_Generated]])</f>
        <v>0.90953623004007889</v>
      </c>
    </row>
    <row r="115" spans="1:19" x14ac:dyDescent="0.25">
      <c r="A115" t="s">
        <v>162</v>
      </c>
      <c r="B115" t="s">
        <v>35</v>
      </c>
      <c r="C115" t="s">
        <v>42</v>
      </c>
      <c r="D115" t="s">
        <v>16</v>
      </c>
      <c r="E115">
        <v>25</v>
      </c>
      <c r="F115" t="str">
        <f>IF(MediCare_Data[[#This Row],[Patient_Age]]&lt;=18,"0-18",IF(MediCare_Data[[#This Row],[Patient_Age]]&lt;=35,"19-35",IF(MediCare_Data[[#This Row],[Patient_Age]]&lt;=60,"36-60","60+")))</f>
        <v>19-35</v>
      </c>
      <c r="G115" t="s">
        <v>43</v>
      </c>
      <c r="H115" t="s">
        <v>33</v>
      </c>
      <c r="I115" s="2">
        <v>91</v>
      </c>
      <c r="J115" s="11">
        <v>919</v>
      </c>
      <c r="K115" s="3">
        <v>5.7232076100000002</v>
      </c>
      <c r="L115" s="3">
        <f t="shared" si="1"/>
        <v>5.7232076100000001E-2</v>
      </c>
      <c r="M115">
        <v>116</v>
      </c>
      <c r="N115" s="6">
        <f>MediCare_Data[[#This Row],[Average_Wait_Time (mins)]]/1440</f>
        <v>8.0555555555555561E-2</v>
      </c>
      <c r="O115" s="2">
        <v>2</v>
      </c>
      <c r="P115" s="10">
        <v>30227</v>
      </c>
      <c r="Q115" s="17" t="str">
        <f>IF(AND(MediCare_Data[[#This Row],[Patient_Gender]]="Male", MediCare_Data[[#This Row],[Treatment_Type]]="Maternity"), "Gender-Treatment Mismatch", "Fine")</f>
        <v>Fine</v>
      </c>
      <c r="R115" s="10">
        <f>MediCare_Data[[#This Row],[Revenue_Generated]]-MediCare_Data[[#This Row],[Average_Treatment_Cost]]</f>
        <v>29308</v>
      </c>
      <c r="S115" s="3">
        <f>(MediCare_Data[[#This Row],[Profit]]/MediCare_Data[[#This Row],[Revenue_Generated]])</f>
        <v>0.96959671816587822</v>
      </c>
    </row>
    <row r="116" spans="1:19" x14ac:dyDescent="0.25">
      <c r="A116" t="s">
        <v>163</v>
      </c>
      <c r="B116" t="s">
        <v>49</v>
      </c>
      <c r="C116" t="s">
        <v>29</v>
      </c>
      <c r="D116" t="s">
        <v>16</v>
      </c>
      <c r="E116">
        <v>43</v>
      </c>
      <c r="F116" t="str">
        <f>IF(MediCare_Data[[#This Row],[Patient_Age]]&lt;=18,"0-18",IF(MediCare_Data[[#This Row],[Patient_Age]]&lt;=35,"19-35",IF(MediCare_Data[[#This Row],[Patient_Age]]&lt;=60,"36-60","60+")))</f>
        <v>36-60</v>
      </c>
      <c r="G116" t="s">
        <v>26</v>
      </c>
      <c r="H116" t="s">
        <v>18</v>
      </c>
      <c r="I116" s="2">
        <v>88</v>
      </c>
      <c r="J116" s="11">
        <v>2704</v>
      </c>
      <c r="K116" s="3">
        <v>11.062567120000001</v>
      </c>
      <c r="L116" s="3">
        <f t="shared" si="1"/>
        <v>0.11062567120000001</v>
      </c>
      <c r="M116">
        <v>156</v>
      </c>
      <c r="N116" s="6">
        <f>MediCare_Data[[#This Row],[Average_Wait_Time (mins)]]/1440</f>
        <v>0.10833333333333334</v>
      </c>
      <c r="O116" s="2">
        <v>4</v>
      </c>
      <c r="P116" s="10">
        <v>44894</v>
      </c>
      <c r="Q116" s="17" t="str">
        <f>IF(AND(MediCare_Data[[#This Row],[Patient_Gender]]="Male", MediCare_Data[[#This Row],[Treatment_Type]]="Maternity"), "Gender-Treatment Mismatch", "Fine")</f>
        <v>Fine</v>
      </c>
      <c r="R116" s="10">
        <f>MediCare_Data[[#This Row],[Revenue_Generated]]-MediCare_Data[[#This Row],[Average_Treatment_Cost]]</f>
        <v>42190</v>
      </c>
      <c r="S116" s="3">
        <f>(MediCare_Data[[#This Row],[Profit]]/MediCare_Data[[#This Row],[Revenue_Generated]])</f>
        <v>0.93976923419610636</v>
      </c>
    </row>
    <row r="117" spans="1:19" x14ac:dyDescent="0.25">
      <c r="A117" t="s">
        <v>164</v>
      </c>
      <c r="B117" t="s">
        <v>58</v>
      </c>
      <c r="C117" t="s">
        <v>46</v>
      </c>
      <c r="D117" t="s">
        <v>32</v>
      </c>
      <c r="E117">
        <v>64</v>
      </c>
      <c r="F117" t="str">
        <f>IF(MediCare_Data[[#This Row],[Patient_Age]]&lt;=18,"0-18",IF(MediCare_Data[[#This Row],[Patient_Age]]&lt;=35,"19-35",IF(MediCare_Data[[#This Row],[Patient_Age]]&lt;=60,"36-60","60+")))</f>
        <v>60+</v>
      </c>
      <c r="G117" t="s">
        <v>17</v>
      </c>
      <c r="H117" t="s">
        <v>47</v>
      </c>
      <c r="I117" s="2">
        <v>90</v>
      </c>
      <c r="J117" s="11">
        <v>1620</v>
      </c>
      <c r="K117" s="3">
        <v>10.2622514</v>
      </c>
      <c r="L117" s="3">
        <f t="shared" si="1"/>
        <v>0.102622514</v>
      </c>
      <c r="M117">
        <v>146</v>
      </c>
      <c r="N117" s="6">
        <f>MediCare_Data[[#This Row],[Average_Wait_Time (mins)]]/1440</f>
        <v>0.10138888888888889</v>
      </c>
      <c r="O117" s="2">
        <v>1</v>
      </c>
      <c r="P117" s="10">
        <v>8566</v>
      </c>
      <c r="Q117" s="17" t="str">
        <f>IF(AND(MediCare_Data[[#This Row],[Patient_Gender]]="Male", MediCare_Data[[#This Row],[Treatment_Type]]="Maternity"), "Gender-Treatment Mismatch", "Fine")</f>
        <v>Fine</v>
      </c>
      <c r="R117" s="10">
        <f>MediCare_Data[[#This Row],[Revenue_Generated]]-MediCare_Data[[#This Row],[Average_Treatment_Cost]]</f>
        <v>6946</v>
      </c>
      <c r="S117" s="3">
        <f>(MediCare_Data[[#This Row],[Profit]]/MediCare_Data[[#This Row],[Revenue_Generated]])</f>
        <v>0.8108802241419566</v>
      </c>
    </row>
    <row r="118" spans="1:19" x14ac:dyDescent="0.25">
      <c r="A118" t="s">
        <v>165</v>
      </c>
      <c r="B118" t="s">
        <v>14</v>
      </c>
      <c r="C118" t="s">
        <v>42</v>
      </c>
      <c r="D118" t="s">
        <v>21</v>
      </c>
      <c r="E118">
        <v>28</v>
      </c>
      <c r="F118" t="str">
        <f>IF(MediCare_Data[[#This Row],[Patient_Age]]&lt;=18,"0-18",IF(MediCare_Data[[#This Row],[Patient_Age]]&lt;=35,"19-35",IF(MediCare_Data[[#This Row],[Patient_Age]]&lt;=60,"36-60","60+")))</f>
        <v>19-35</v>
      </c>
      <c r="G118" t="s">
        <v>26</v>
      </c>
      <c r="H118" t="s">
        <v>47</v>
      </c>
      <c r="I118" s="2">
        <v>77</v>
      </c>
      <c r="J118" s="11">
        <v>1450</v>
      </c>
      <c r="K118" s="3">
        <v>12.20272815</v>
      </c>
      <c r="L118" s="3">
        <f t="shared" si="1"/>
        <v>0.1220272815</v>
      </c>
      <c r="M118">
        <v>164</v>
      </c>
      <c r="N118" s="6">
        <f>MediCare_Data[[#This Row],[Average_Wait_Time (mins)]]/1440</f>
        <v>0.11388888888888889</v>
      </c>
      <c r="O118" s="2">
        <v>3</v>
      </c>
      <c r="P118" s="10">
        <v>13306</v>
      </c>
      <c r="Q118" s="17" t="str">
        <f>IF(AND(MediCare_Data[[#This Row],[Patient_Gender]]="Male", MediCare_Data[[#This Row],[Treatment_Type]]="Maternity"), "Gender-Treatment Mismatch", "Fine")</f>
        <v>Fine</v>
      </c>
      <c r="R118" s="10">
        <f>MediCare_Data[[#This Row],[Revenue_Generated]]-MediCare_Data[[#This Row],[Average_Treatment_Cost]]</f>
        <v>11856</v>
      </c>
      <c r="S118" s="3">
        <f>(MediCare_Data[[#This Row],[Profit]]/MediCare_Data[[#This Row],[Revenue_Generated]])</f>
        <v>0.8910266045393056</v>
      </c>
    </row>
    <row r="119" spans="1:19" x14ac:dyDescent="0.25">
      <c r="A119" t="s">
        <v>166</v>
      </c>
      <c r="B119" t="s">
        <v>61</v>
      </c>
      <c r="C119" t="s">
        <v>15</v>
      </c>
      <c r="D119" t="s">
        <v>21</v>
      </c>
      <c r="E119">
        <v>24</v>
      </c>
      <c r="F119" t="str">
        <f>IF(MediCare_Data[[#This Row],[Patient_Age]]&lt;=18,"0-18",IF(MediCare_Data[[#This Row],[Patient_Age]]&lt;=35,"19-35",IF(MediCare_Data[[#This Row],[Patient_Age]]&lt;=60,"36-60","60+")))</f>
        <v>19-35</v>
      </c>
      <c r="G119" t="s">
        <v>17</v>
      </c>
      <c r="H119" t="s">
        <v>37</v>
      </c>
      <c r="I119" s="2">
        <v>56</v>
      </c>
      <c r="J119" s="11">
        <v>2836</v>
      </c>
      <c r="K119" s="3">
        <v>6.7528549350000002</v>
      </c>
      <c r="L119" s="3">
        <f t="shared" si="1"/>
        <v>6.7528549350000008E-2</v>
      </c>
      <c r="M119">
        <v>171</v>
      </c>
      <c r="N119" s="6">
        <f>MediCare_Data[[#This Row],[Average_Wait_Time (mins)]]/1440</f>
        <v>0.11874999999999999</v>
      </c>
      <c r="O119" s="2">
        <v>1</v>
      </c>
      <c r="P119" s="10">
        <v>25042</v>
      </c>
      <c r="Q119" s="17" t="str">
        <f>IF(AND(MediCare_Data[[#This Row],[Patient_Gender]]="Male", MediCare_Data[[#This Row],[Treatment_Type]]="Maternity"), "Gender-Treatment Mismatch", "Fine")</f>
        <v>Fine</v>
      </c>
      <c r="R119" s="10">
        <f>MediCare_Data[[#This Row],[Revenue_Generated]]-MediCare_Data[[#This Row],[Average_Treatment_Cost]]</f>
        <v>22206</v>
      </c>
      <c r="S119" s="3">
        <f>(MediCare_Data[[#This Row],[Profit]]/MediCare_Data[[#This Row],[Revenue_Generated]])</f>
        <v>0.88675025956393261</v>
      </c>
    </row>
    <row r="120" spans="1:19" x14ac:dyDescent="0.25">
      <c r="A120" t="s">
        <v>167</v>
      </c>
      <c r="B120" t="s">
        <v>45</v>
      </c>
      <c r="C120" t="s">
        <v>36</v>
      </c>
      <c r="D120" t="s">
        <v>16</v>
      </c>
      <c r="E120">
        <v>72</v>
      </c>
      <c r="F120" t="str">
        <f>IF(MediCare_Data[[#This Row],[Patient_Age]]&lt;=18,"0-18",IF(MediCare_Data[[#This Row],[Patient_Age]]&lt;=35,"19-35",IF(MediCare_Data[[#This Row],[Patient_Age]]&lt;=60,"36-60","60+")))</f>
        <v>60+</v>
      </c>
      <c r="G120" t="s">
        <v>43</v>
      </c>
      <c r="H120" t="s">
        <v>33</v>
      </c>
      <c r="I120" s="2">
        <v>58</v>
      </c>
      <c r="J120" s="11">
        <v>5873</v>
      </c>
      <c r="K120" s="3">
        <v>23.73915646</v>
      </c>
      <c r="L120" s="3">
        <f t="shared" si="1"/>
        <v>0.23739156459999999</v>
      </c>
      <c r="M120">
        <v>109</v>
      </c>
      <c r="N120" s="6">
        <f>MediCare_Data[[#This Row],[Average_Wait_Time (mins)]]/1440</f>
        <v>7.5694444444444439E-2</v>
      </c>
      <c r="O120" s="2">
        <v>3</v>
      </c>
      <c r="P120" s="10">
        <v>16086</v>
      </c>
      <c r="Q120" s="17" t="str">
        <f>IF(AND(MediCare_Data[[#This Row],[Patient_Gender]]="Male", MediCare_Data[[#This Row],[Treatment_Type]]="Maternity"), "Gender-Treatment Mismatch", "Fine")</f>
        <v>Fine</v>
      </c>
      <c r="R120" s="10">
        <f>MediCare_Data[[#This Row],[Revenue_Generated]]-MediCare_Data[[#This Row],[Average_Treatment_Cost]]</f>
        <v>10213</v>
      </c>
      <c r="S120" s="3">
        <f>(MediCare_Data[[#This Row],[Profit]]/MediCare_Data[[#This Row],[Revenue_Generated]])</f>
        <v>0.63489991296779813</v>
      </c>
    </row>
    <row r="121" spans="1:19" x14ac:dyDescent="0.25">
      <c r="A121" t="s">
        <v>168</v>
      </c>
      <c r="B121" t="s">
        <v>28</v>
      </c>
      <c r="C121" t="s">
        <v>46</v>
      </c>
      <c r="D121" t="s">
        <v>32</v>
      </c>
      <c r="E121">
        <v>26</v>
      </c>
      <c r="F121" t="str">
        <f>IF(MediCare_Data[[#This Row],[Patient_Age]]&lt;=18,"0-18",IF(MediCare_Data[[#This Row],[Patient_Age]]&lt;=35,"19-35",IF(MediCare_Data[[#This Row],[Patient_Age]]&lt;=60,"36-60","60+")))</f>
        <v>19-35</v>
      </c>
      <c r="G121" t="s">
        <v>43</v>
      </c>
      <c r="H121" t="s">
        <v>33</v>
      </c>
      <c r="I121" s="2">
        <v>57</v>
      </c>
      <c r="J121" s="11">
        <v>2743</v>
      </c>
      <c r="K121" s="3">
        <v>16.076044809999999</v>
      </c>
      <c r="L121" s="3">
        <f t="shared" si="1"/>
        <v>0.16076044809999998</v>
      </c>
      <c r="M121">
        <v>91</v>
      </c>
      <c r="N121" s="6">
        <f>MediCare_Data[[#This Row],[Average_Wait_Time (mins)]]/1440</f>
        <v>6.3194444444444442E-2</v>
      </c>
      <c r="O121" s="2">
        <v>4</v>
      </c>
      <c r="P121" s="10">
        <v>18387</v>
      </c>
      <c r="Q121" s="17" t="str">
        <f>IF(AND(MediCare_Data[[#This Row],[Patient_Gender]]="Male", MediCare_Data[[#This Row],[Treatment_Type]]="Maternity"), "Gender-Treatment Mismatch", "Fine")</f>
        <v>Fine</v>
      </c>
      <c r="R121" s="10">
        <f>MediCare_Data[[#This Row],[Revenue_Generated]]-MediCare_Data[[#This Row],[Average_Treatment_Cost]]</f>
        <v>15644</v>
      </c>
      <c r="S121" s="3">
        <f>(MediCare_Data[[#This Row],[Profit]]/MediCare_Data[[#This Row],[Revenue_Generated]])</f>
        <v>0.85081851307989342</v>
      </c>
    </row>
    <row r="122" spans="1:19" x14ac:dyDescent="0.25">
      <c r="A122" t="s">
        <v>169</v>
      </c>
      <c r="B122" t="s">
        <v>25</v>
      </c>
      <c r="C122" t="s">
        <v>42</v>
      </c>
      <c r="D122" t="s">
        <v>32</v>
      </c>
      <c r="E122">
        <v>32</v>
      </c>
      <c r="F122" t="str">
        <f>IF(MediCare_Data[[#This Row],[Patient_Age]]&lt;=18,"0-18",IF(MediCare_Data[[#This Row],[Patient_Age]]&lt;=35,"19-35",IF(MediCare_Data[[#This Row],[Patient_Age]]&lt;=60,"36-60","60+")))</f>
        <v>19-35</v>
      </c>
      <c r="G122" t="s">
        <v>43</v>
      </c>
      <c r="H122" t="s">
        <v>18</v>
      </c>
      <c r="I122" s="2">
        <v>61</v>
      </c>
      <c r="J122" s="11">
        <v>3145</v>
      </c>
      <c r="K122" s="3">
        <v>11.110486209999999</v>
      </c>
      <c r="L122" s="3">
        <f t="shared" si="1"/>
        <v>0.11110486209999999</v>
      </c>
      <c r="M122">
        <v>152</v>
      </c>
      <c r="N122" s="6">
        <f>MediCare_Data[[#This Row],[Average_Wait_Time (mins)]]/1440</f>
        <v>0.10555555555555556</v>
      </c>
      <c r="O122" s="2">
        <v>4</v>
      </c>
      <c r="P122" s="10">
        <v>28042</v>
      </c>
      <c r="Q122" s="17" t="str">
        <f>IF(AND(MediCare_Data[[#This Row],[Patient_Gender]]="Male", MediCare_Data[[#This Row],[Treatment_Type]]="Maternity"), "Gender-Treatment Mismatch", "Fine")</f>
        <v>Fine</v>
      </c>
      <c r="R122" s="10">
        <f>MediCare_Data[[#This Row],[Revenue_Generated]]-MediCare_Data[[#This Row],[Average_Treatment_Cost]]</f>
        <v>24897</v>
      </c>
      <c r="S122" s="3">
        <f>(MediCare_Data[[#This Row],[Profit]]/MediCare_Data[[#This Row],[Revenue_Generated]])</f>
        <v>0.88784680122673132</v>
      </c>
    </row>
    <row r="123" spans="1:19" x14ac:dyDescent="0.25">
      <c r="A123" t="s">
        <v>170</v>
      </c>
      <c r="B123" t="s">
        <v>53</v>
      </c>
      <c r="C123" t="s">
        <v>46</v>
      </c>
      <c r="D123" t="s">
        <v>32</v>
      </c>
      <c r="E123">
        <v>18</v>
      </c>
      <c r="F123" t="str">
        <f>IF(MediCare_Data[[#This Row],[Patient_Age]]&lt;=18,"0-18",IF(MediCare_Data[[#This Row],[Patient_Age]]&lt;=35,"19-35",IF(MediCare_Data[[#This Row],[Patient_Age]]&lt;=60,"36-60","60+")))</f>
        <v>0-18</v>
      </c>
      <c r="G123" t="s">
        <v>22</v>
      </c>
      <c r="H123" t="s">
        <v>18</v>
      </c>
      <c r="I123" s="2">
        <v>83</v>
      </c>
      <c r="J123" s="11">
        <v>5112</v>
      </c>
      <c r="K123" s="3">
        <v>12.939630340000001</v>
      </c>
      <c r="L123" s="3">
        <f t="shared" si="1"/>
        <v>0.1293963034</v>
      </c>
      <c r="M123">
        <v>60</v>
      </c>
      <c r="N123" s="6">
        <f>MediCare_Data[[#This Row],[Average_Wait_Time (mins)]]/1440</f>
        <v>4.1666666666666664E-2</v>
      </c>
      <c r="O123" s="2">
        <v>1</v>
      </c>
      <c r="P123" s="10">
        <v>24888</v>
      </c>
      <c r="Q123" s="17" t="str">
        <f>IF(AND(MediCare_Data[[#This Row],[Patient_Gender]]="Male", MediCare_Data[[#This Row],[Treatment_Type]]="Maternity"), "Gender-Treatment Mismatch", "Fine")</f>
        <v>Fine</v>
      </c>
      <c r="R123" s="10">
        <f>MediCare_Data[[#This Row],[Revenue_Generated]]-MediCare_Data[[#This Row],[Average_Treatment_Cost]]</f>
        <v>19776</v>
      </c>
      <c r="S123" s="3">
        <f>(MediCare_Data[[#This Row],[Profit]]/MediCare_Data[[#This Row],[Revenue_Generated]])</f>
        <v>0.79459980713596912</v>
      </c>
    </row>
    <row r="124" spans="1:19" x14ac:dyDescent="0.25">
      <c r="A124" t="s">
        <v>171</v>
      </c>
      <c r="B124" t="s">
        <v>61</v>
      </c>
      <c r="C124" t="s">
        <v>20</v>
      </c>
      <c r="D124" t="s">
        <v>16</v>
      </c>
      <c r="E124">
        <v>59</v>
      </c>
      <c r="F124" t="str">
        <f>IF(MediCare_Data[[#This Row],[Patient_Age]]&lt;=18,"0-18",IF(MediCare_Data[[#This Row],[Patient_Age]]&lt;=35,"19-35",IF(MediCare_Data[[#This Row],[Patient_Age]]&lt;=60,"36-60","60+")))</f>
        <v>36-60</v>
      </c>
      <c r="G124" t="s">
        <v>22</v>
      </c>
      <c r="H124" t="s">
        <v>23</v>
      </c>
      <c r="I124" s="2">
        <v>82</v>
      </c>
      <c r="J124" s="11">
        <v>2365</v>
      </c>
      <c r="K124" s="3">
        <v>13.94405081</v>
      </c>
      <c r="L124" s="3">
        <f t="shared" si="1"/>
        <v>0.1394405081</v>
      </c>
      <c r="M124">
        <v>150</v>
      </c>
      <c r="N124" s="6">
        <f>MediCare_Data[[#This Row],[Average_Wait_Time (mins)]]/1440</f>
        <v>0.10416666666666667</v>
      </c>
      <c r="O124" s="2">
        <v>3</v>
      </c>
      <c r="P124" s="10">
        <v>27514</v>
      </c>
      <c r="Q124" s="17" t="str">
        <f>IF(AND(MediCare_Data[[#This Row],[Patient_Gender]]="Male", MediCare_Data[[#This Row],[Treatment_Type]]="Maternity"), "Gender-Treatment Mismatch", "Fine")</f>
        <v>Fine</v>
      </c>
      <c r="R124" s="10">
        <f>MediCare_Data[[#This Row],[Revenue_Generated]]-MediCare_Data[[#This Row],[Average_Treatment_Cost]]</f>
        <v>25149</v>
      </c>
      <c r="S124" s="3">
        <f>(MediCare_Data[[#This Row],[Profit]]/MediCare_Data[[#This Row],[Revenue_Generated]])</f>
        <v>0.91404375954059747</v>
      </c>
    </row>
    <row r="125" spans="1:19" x14ac:dyDescent="0.25">
      <c r="A125" t="s">
        <v>172</v>
      </c>
      <c r="B125" t="s">
        <v>28</v>
      </c>
      <c r="C125" t="s">
        <v>42</v>
      </c>
      <c r="D125" t="s">
        <v>16</v>
      </c>
      <c r="E125">
        <v>19</v>
      </c>
      <c r="F125" t="str">
        <f>IF(MediCare_Data[[#This Row],[Patient_Age]]&lt;=18,"0-18",IF(MediCare_Data[[#This Row],[Patient_Age]]&lt;=35,"19-35",IF(MediCare_Data[[#This Row],[Patient_Age]]&lt;=60,"36-60","60+")))</f>
        <v>19-35</v>
      </c>
      <c r="G125" t="s">
        <v>22</v>
      </c>
      <c r="H125" t="s">
        <v>47</v>
      </c>
      <c r="I125" s="2">
        <v>97</v>
      </c>
      <c r="J125" s="11">
        <v>6528</v>
      </c>
      <c r="K125" s="3">
        <v>17.011886669999999</v>
      </c>
      <c r="L125" s="3">
        <f t="shared" si="1"/>
        <v>0.17011886669999998</v>
      </c>
      <c r="M125">
        <v>92</v>
      </c>
      <c r="N125" s="6">
        <f>MediCare_Data[[#This Row],[Average_Wait_Time (mins)]]/1440</f>
        <v>6.3888888888888884E-2</v>
      </c>
      <c r="O125" s="2">
        <v>3</v>
      </c>
      <c r="P125" s="10">
        <v>19323</v>
      </c>
      <c r="Q125" s="17" t="str">
        <f>IF(AND(MediCare_Data[[#This Row],[Patient_Gender]]="Male", MediCare_Data[[#This Row],[Treatment_Type]]="Maternity"), "Gender-Treatment Mismatch", "Fine")</f>
        <v>Fine</v>
      </c>
      <c r="R125" s="10">
        <f>MediCare_Data[[#This Row],[Revenue_Generated]]-MediCare_Data[[#This Row],[Average_Treatment_Cost]]</f>
        <v>12795</v>
      </c>
      <c r="S125" s="3">
        <f>(MediCare_Data[[#This Row],[Profit]]/MediCare_Data[[#This Row],[Revenue_Generated]])</f>
        <v>0.6621642602080422</v>
      </c>
    </row>
    <row r="126" spans="1:19" x14ac:dyDescent="0.25">
      <c r="A126" t="s">
        <v>173</v>
      </c>
      <c r="B126" t="s">
        <v>82</v>
      </c>
      <c r="C126" t="s">
        <v>31</v>
      </c>
      <c r="D126" t="s">
        <v>32</v>
      </c>
      <c r="E126">
        <v>89</v>
      </c>
      <c r="F126" t="str">
        <f>IF(MediCare_Data[[#This Row],[Patient_Age]]&lt;=18,"0-18",IF(MediCare_Data[[#This Row],[Patient_Age]]&lt;=35,"19-35",IF(MediCare_Data[[#This Row],[Patient_Age]]&lt;=60,"36-60","60+")))</f>
        <v>60+</v>
      </c>
      <c r="G126" t="s">
        <v>43</v>
      </c>
      <c r="H126" t="s">
        <v>47</v>
      </c>
      <c r="I126" s="2">
        <v>72</v>
      </c>
      <c r="J126" s="11">
        <v>7826</v>
      </c>
      <c r="K126" s="3">
        <v>15.31358855</v>
      </c>
      <c r="L126" s="3">
        <f t="shared" si="1"/>
        <v>0.15313588550000001</v>
      </c>
      <c r="M126">
        <v>121</v>
      </c>
      <c r="N126" s="6">
        <f>MediCare_Data[[#This Row],[Average_Wait_Time (mins)]]/1440</f>
        <v>8.4027777777777785E-2</v>
      </c>
      <c r="O126" s="2">
        <v>4</v>
      </c>
      <c r="P126" s="10">
        <v>19019</v>
      </c>
      <c r="Q126" s="17" t="str">
        <f>IF(AND(MediCare_Data[[#This Row],[Patient_Gender]]="Male", MediCare_Data[[#This Row],[Treatment_Type]]="Maternity"), "Gender-Treatment Mismatch", "Fine")</f>
        <v>Fine</v>
      </c>
      <c r="R126" s="10">
        <f>MediCare_Data[[#This Row],[Revenue_Generated]]-MediCare_Data[[#This Row],[Average_Treatment_Cost]]</f>
        <v>11193</v>
      </c>
      <c r="S126" s="3">
        <f>(MediCare_Data[[#This Row],[Profit]]/MediCare_Data[[#This Row],[Revenue_Generated]])</f>
        <v>0.58851674641148322</v>
      </c>
    </row>
    <row r="127" spans="1:19" x14ac:dyDescent="0.25">
      <c r="A127" t="s">
        <v>174</v>
      </c>
      <c r="B127" t="s">
        <v>49</v>
      </c>
      <c r="C127" t="s">
        <v>15</v>
      </c>
      <c r="D127" t="s">
        <v>21</v>
      </c>
      <c r="E127">
        <v>25</v>
      </c>
      <c r="F127" t="str">
        <f>IF(MediCare_Data[[#This Row],[Patient_Age]]&lt;=18,"0-18",IF(MediCare_Data[[#This Row],[Patient_Age]]&lt;=35,"19-35",IF(MediCare_Data[[#This Row],[Patient_Age]]&lt;=60,"36-60","60+")))</f>
        <v>19-35</v>
      </c>
      <c r="G127" t="s">
        <v>43</v>
      </c>
      <c r="H127" t="s">
        <v>33</v>
      </c>
      <c r="I127" s="2">
        <v>73</v>
      </c>
      <c r="J127" s="11">
        <v>6871</v>
      </c>
      <c r="K127" s="3">
        <v>23.387839459999999</v>
      </c>
      <c r="L127" s="3">
        <f t="shared" si="1"/>
        <v>0.23387839459999998</v>
      </c>
      <c r="M127">
        <v>65</v>
      </c>
      <c r="N127" s="6">
        <f>MediCare_Data[[#This Row],[Average_Wait_Time (mins)]]/1440</f>
        <v>4.5138888888888888E-2</v>
      </c>
      <c r="O127" s="2">
        <v>1</v>
      </c>
      <c r="P127" s="10">
        <v>10890</v>
      </c>
      <c r="Q127" s="17" t="str">
        <f>IF(AND(MediCare_Data[[#This Row],[Patient_Gender]]="Male", MediCare_Data[[#This Row],[Treatment_Type]]="Maternity"), "Gender-Treatment Mismatch", "Fine")</f>
        <v>Fine</v>
      </c>
      <c r="R127" s="10">
        <f>MediCare_Data[[#This Row],[Revenue_Generated]]-MediCare_Data[[#This Row],[Average_Treatment_Cost]]</f>
        <v>4019</v>
      </c>
      <c r="S127" s="3">
        <f>(MediCare_Data[[#This Row],[Profit]]/MediCare_Data[[#This Row],[Revenue_Generated]])</f>
        <v>0.36905417814508723</v>
      </c>
    </row>
    <row r="128" spans="1:19" x14ac:dyDescent="0.25">
      <c r="A128" t="s">
        <v>175</v>
      </c>
      <c r="B128" t="s">
        <v>64</v>
      </c>
      <c r="C128" t="s">
        <v>54</v>
      </c>
      <c r="D128" t="s">
        <v>21</v>
      </c>
      <c r="E128">
        <v>81</v>
      </c>
      <c r="F128" t="str">
        <f>IF(MediCare_Data[[#This Row],[Patient_Age]]&lt;=18,"0-18",IF(MediCare_Data[[#This Row],[Patient_Age]]&lt;=35,"19-35",IF(MediCare_Data[[#This Row],[Patient_Age]]&lt;=60,"36-60","60+")))</f>
        <v>60+</v>
      </c>
      <c r="G128" t="s">
        <v>26</v>
      </c>
      <c r="H128" t="s">
        <v>37</v>
      </c>
      <c r="I128" s="2">
        <v>86</v>
      </c>
      <c r="J128" s="11">
        <v>6859</v>
      </c>
      <c r="K128" s="3">
        <v>14.939269660000001</v>
      </c>
      <c r="L128" s="3">
        <f t="shared" si="1"/>
        <v>0.14939269660000001</v>
      </c>
      <c r="M128">
        <v>174</v>
      </c>
      <c r="N128" s="6">
        <f>MediCare_Data[[#This Row],[Average_Wait_Time (mins)]]/1440</f>
        <v>0.12083333333333333</v>
      </c>
      <c r="O128" s="2">
        <v>3</v>
      </c>
      <c r="P128" s="10">
        <v>41863</v>
      </c>
      <c r="Q128" s="17" t="str">
        <f>IF(AND(MediCare_Data[[#This Row],[Patient_Gender]]="Male", MediCare_Data[[#This Row],[Treatment_Type]]="Maternity"), "Gender-Treatment Mismatch", "Fine")</f>
        <v>Fine</v>
      </c>
      <c r="R128" s="10">
        <f>MediCare_Data[[#This Row],[Revenue_Generated]]-MediCare_Data[[#This Row],[Average_Treatment_Cost]]</f>
        <v>35004</v>
      </c>
      <c r="S128" s="3">
        <f>(MediCare_Data[[#This Row],[Profit]]/MediCare_Data[[#This Row],[Revenue_Generated]])</f>
        <v>0.83615603277357098</v>
      </c>
    </row>
    <row r="129" spans="1:19" x14ac:dyDescent="0.25">
      <c r="A129" t="s">
        <v>176</v>
      </c>
      <c r="B129" t="s">
        <v>39</v>
      </c>
      <c r="C129" t="s">
        <v>54</v>
      </c>
      <c r="D129" t="s">
        <v>16</v>
      </c>
      <c r="E129">
        <v>11</v>
      </c>
      <c r="F129" t="str">
        <f>IF(MediCare_Data[[#This Row],[Patient_Age]]&lt;=18,"0-18",IF(MediCare_Data[[#This Row],[Patient_Age]]&lt;=35,"19-35",IF(MediCare_Data[[#This Row],[Patient_Age]]&lt;=60,"36-60","60+")))</f>
        <v>0-18</v>
      </c>
      <c r="G129" t="s">
        <v>17</v>
      </c>
      <c r="H129" t="s">
        <v>18</v>
      </c>
      <c r="I129" s="2">
        <v>84</v>
      </c>
      <c r="J129" s="11">
        <v>8363</v>
      </c>
      <c r="K129" s="3">
        <v>24.843160300000001</v>
      </c>
      <c r="L129" s="3">
        <f t="shared" si="1"/>
        <v>0.248431603</v>
      </c>
      <c r="M129">
        <v>154</v>
      </c>
      <c r="N129" s="6">
        <f>MediCare_Data[[#This Row],[Average_Wait_Time (mins)]]/1440</f>
        <v>0.10694444444444444</v>
      </c>
      <c r="O129" s="2">
        <v>4</v>
      </c>
      <c r="P129" s="10">
        <v>46487</v>
      </c>
      <c r="Q129" s="17" t="str">
        <f>IF(AND(MediCare_Data[[#This Row],[Patient_Gender]]="Male", MediCare_Data[[#This Row],[Treatment_Type]]="Maternity"), "Gender-Treatment Mismatch", "Fine")</f>
        <v>Fine</v>
      </c>
      <c r="R129" s="10">
        <f>MediCare_Data[[#This Row],[Revenue_Generated]]-MediCare_Data[[#This Row],[Average_Treatment_Cost]]</f>
        <v>38124</v>
      </c>
      <c r="S129" s="3">
        <f>(MediCare_Data[[#This Row],[Profit]]/MediCare_Data[[#This Row],[Revenue_Generated]])</f>
        <v>0.82010024307871021</v>
      </c>
    </row>
    <row r="130" spans="1:19" x14ac:dyDescent="0.25">
      <c r="A130" t="s">
        <v>177</v>
      </c>
      <c r="B130" t="s">
        <v>39</v>
      </c>
      <c r="C130" t="s">
        <v>15</v>
      </c>
      <c r="D130" t="s">
        <v>21</v>
      </c>
      <c r="E130">
        <v>50</v>
      </c>
      <c r="F130" t="str">
        <f>IF(MediCare_Data[[#This Row],[Patient_Age]]&lt;=18,"0-18",IF(MediCare_Data[[#This Row],[Patient_Age]]&lt;=35,"19-35",IF(MediCare_Data[[#This Row],[Patient_Age]]&lt;=60,"36-60","60+")))</f>
        <v>36-60</v>
      </c>
      <c r="G130" t="s">
        <v>22</v>
      </c>
      <c r="H130" t="s">
        <v>33</v>
      </c>
      <c r="I130" s="2">
        <v>93</v>
      </c>
      <c r="J130" s="11">
        <v>3728</v>
      </c>
      <c r="K130" s="3">
        <v>22.028499149999998</v>
      </c>
      <c r="L130" s="3">
        <f t="shared" ref="L130:L193" si="2">K130/100</f>
        <v>0.22028499149999997</v>
      </c>
      <c r="M130">
        <v>166</v>
      </c>
      <c r="N130" s="6">
        <f>MediCare_Data[[#This Row],[Average_Wait_Time (mins)]]/1440</f>
        <v>0.11527777777777778</v>
      </c>
      <c r="O130" s="2">
        <v>2</v>
      </c>
      <c r="P130" s="10">
        <v>11283</v>
      </c>
      <c r="Q130" s="17" t="str">
        <f>IF(AND(MediCare_Data[[#This Row],[Patient_Gender]]="Male", MediCare_Data[[#This Row],[Treatment_Type]]="Maternity"), "Gender-Treatment Mismatch", "Fine")</f>
        <v>Fine</v>
      </c>
      <c r="R130" s="10">
        <f>MediCare_Data[[#This Row],[Revenue_Generated]]-MediCare_Data[[#This Row],[Average_Treatment_Cost]]</f>
        <v>7555</v>
      </c>
      <c r="S130" s="3">
        <f>(MediCare_Data[[#This Row],[Profit]]/MediCare_Data[[#This Row],[Revenue_Generated]])</f>
        <v>0.66959142072143929</v>
      </c>
    </row>
    <row r="131" spans="1:19" x14ac:dyDescent="0.25">
      <c r="A131" t="s">
        <v>178</v>
      </c>
      <c r="B131" t="s">
        <v>14</v>
      </c>
      <c r="C131" t="s">
        <v>36</v>
      </c>
      <c r="D131" t="s">
        <v>21</v>
      </c>
      <c r="E131">
        <v>60</v>
      </c>
      <c r="F131" t="str">
        <f>IF(MediCare_Data[[#This Row],[Patient_Age]]&lt;=18,"0-18",IF(MediCare_Data[[#This Row],[Patient_Age]]&lt;=35,"19-35",IF(MediCare_Data[[#This Row],[Patient_Age]]&lt;=60,"36-60","60+")))</f>
        <v>36-60</v>
      </c>
      <c r="G131" t="s">
        <v>43</v>
      </c>
      <c r="H131" t="s">
        <v>23</v>
      </c>
      <c r="I131" s="2">
        <v>89</v>
      </c>
      <c r="J131" s="11">
        <v>4219</v>
      </c>
      <c r="K131" s="3">
        <v>9.1702102869999997</v>
      </c>
      <c r="L131" s="3">
        <f t="shared" si="2"/>
        <v>9.1702102869999996E-2</v>
      </c>
      <c r="M131">
        <v>170</v>
      </c>
      <c r="N131" s="6">
        <f>MediCare_Data[[#This Row],[Average_Wait_Time (mins)]]/1440</f>
        <v>0.11805555555555555</v>
      </c>
      <c r="O131" s="2">
        <v>1</v>
      </c>
      <c r="P131" s="10">
        <v>19279</v>
      </c>
      <c r="Q131" s="17" t="str">
        <f>IF(AND(MediCare_Data[[#This Row],[Patient_Gender]]="Male", MediCare_Data[[#This Row],[Treatment_Type]]="Maternity"), "Gender-Treatment Mismatch", "Fine")</f>
        <v>Fine</v>
      </c>
      <c r="R131" s="10">
        <f>MediCare_Data[[#This Row],[Revenue_Generated]]-MediCare_Data[[#This Row],[Average_Treatment_Cost]]</f>
        <v>15060</v>
      </c>
      <c r="S131" s="3">
        <f>(MediCare_Data[[#This Row],[Profit]]/MediCare_Data[[#This Row],[Revenue_Generated]])</f>
        <v>0.78116084859173196</v>
      </c>
    </row>
    <row r="132" spans="1:19" x14ac:dyDescent="0.25">
      <c r="A132" t="s">
        <v>179</v>
      </c>
      <c r="B132" t="s">
        <v>56</v>
      </c>
      <c r="C132" t="s">
        <v>15</v>
      </c>
      <c r="D132" t="s">
        <v>32</v>
      </c>
      <c r="E132">
        <v>35</v>
      </c>
      <c r="F132" t="str">
        <f>IF(MediCare_Data[[#This Row],[Patient_Age]]&lt;=18,"0-18",IF(MediCare_Data[[#This Row],[Patient_Age]]&lt;=35,"19-35",IF(MediCare_Data[[#This Row],[Patient_Age]]&lt;=60,"36-60","60+")))</f>
        <v>19-35</v>
      </c>
      <c r="G132" t="s">
        <v>43</v>
      </c>
      <c r="H132" t="s">
        <v>18</v>
      </c>
      <c r="I132" s="2">
        <v>71</v>
      </c>
      <c r="J132" s="11">
        <v>2871</v>
      </c>
      <c r="K132" s="3">
        <v>23.611904289999998</v>
      </c>
      <c r="L132" s="3">
        <f t="shared" si="2"/>
        <v>0.23611904289999999</v>
      </c>
      <c r="M132">
        <v>69</v>
      </c>
      <c r="N132" s="6">
        <f>MediCare_Data[[#This Row],[Average_Wait_Time (mins)]]/1440</f>
        <v>4.791666666666667E-2</v>
      </c>
      <c r="O132" s="2">
        <v>2</v>
      </c>
      <c r="P132" s="10">
        <v>47999</v>
      </c>
      <c r="Q132" s="17" t="str">
        <f>IF(AND(MediCare_Data[[#This Row],[Patient_Gender]]="Male", MediCare_Data[[#This Row],[Treatment_Type]]="Maternity"), "Gender-Treatment Mismatch", "Fine")</f>
        <v>Fine</v>
      </c>
      <c r="R132" s="10">
        <f>MediCare_Data[[#This Row],[Revenue_Generated]]-MediCare_Data[[#This Row],[Average_Treatment_Cost]]</f>
        <v>45128</v>
      </c>
      <c r="S132" s="3">
        <f>(MediCare_Data[[#This Row],[Profit]]/MediCare_Data[[#This Row],[Revenue_Generated]])</f>
        <v>0.9401862538802892</v>
      </c>
    </row>
    <row r="133" spans="1:19" x14ac:dyDescent="0.25">
      <c r="A133" t="s">
        <v>180</v>
      </c>
      <c r="B133" t="s">
        <v>64</v>
      </c>
      <c r="C133" t="s">
        <v>20</v>
      </c>
      <c r="D133" t="s">
        <v>32</v>
      </c>
      <c r="E133">
        <v>26</v>
      </c>
      <c r="F133" t="str">
        <f>IF(MediCare_Data[[#This Row],[Patient_Age]]&lt;=18,"0-18",IF(MediCare_Data[[#This Row],[Patient_Age]]&lt;=35,"19-35",IF(MediCare_Data[[#This Row],[Patient_Age]]&lt;=60,"36-60","60+")))</f>
        <v>19-35</v>
      </c>
      <c r="G133" t="s">
        <v>17</v>
      </c>
      <c r="H133" t="s">
        <v>51</v>
      </c>
      <c r="I133" s="2">
        <v>76</v>
      </c>
      <c r="J133" s="11">
        <v>3391</v>
      </c>
      <c r="K133" s="3">
        <v>7.3273279579999997</v>
      </c>
      <c r="L133" s="3">
        <f t="shared" si="2"/>
        <v>7.3273279580000003E-2</v>
      </c>
      <c r="M133">
        <v>129</v>
      </c>
      <c r="N133" s="6">
        <f>MediCare_Data[[#This Row],[Average_Wait_Time (mins)]]/1440</f>
        <v>8.9583333333333334E-2</v>
      </c>
      <c r="O133" s="2">
        <v>1</v>
      </c>
      <c r="P133" s="10">
        <v>23908</v>
      </c>
      <c r="Q133" s="17" t="str">
        <f>IF(AND(MediCare_Data[[#This Row],[Patient_Gender]]="Male", MediCare_Data[[#This Row],[Treatment_Type]]="Maternity"), "Gender-Treatment Mismatch", "Fine")</f>
        <v>Fine</v>
      </c>
      <c r="R133" s="10">
        <f>MediCare_Data[[#This Row],[Revenue_Generated]]-MediCare_Data[[#This Row],[Average_Treatment_Cost]]</f>
        <v>20517</v>
      </c>
      <c r="S133" s="3">
        <f>(MediCare_Data[[#This Row],[Profit]]/MediCare_Data[[#This Row],[Revenue_Generated]])</f>
        <v>0.85816463108582897</v>
      </c>
    </row>
    <row r="134" spans="1:19" x14ac:dyDescent="0.25">
      <c r="A134" t="s">
        <v>181</v>
      </c>
      <c r="B134" t="s">
        <v>56</v>
      </c>
      <c r="C134" t="s">
        <v>15</v>
      </c>
      <c r="D134" t="s">
        <v>21</v>
      </c>
      <c r="E134">
        <v>74</v>
      </c>
      <c r="F134" t="str">
        <f>IF(MediCare_Data[[#This Row],[Patient_Age]]&lt;=18,"0-18",IF(MediCare_Data[[#This Row],[Patient_Age]]&lt;=35,"19-35",IF(MediCare_Data[[#This Row],[Patient_Age]]&lt;=60,"36-60","60+")))</f>
        <v>60+</v>
      </c>
      <c r="G134" t="s">
        <v>22</v>
      </c>
      <c r="H134" t="s">
        <v>23</v>
      </c>
      <c r="I134" s="2">
        <v>84</v>
      </c>
      <c r="J134" s="11">
        <v>4256</v>
      </c>
      <c r="K134" s="3">
        <v>21.348994170000001</v>
      </c>
      <c r="L134" s="3">
        <f t="shared" si="2"/>
        <v>0.21348994170000002</v>
      </c>
      <c r="M134">
        <v>147</v>
      </c>
      <c r="N134" s="6">
        <f>MediCare_Data[[#This Row],[Average_Wait_Time (mins)]]/1440</f>
        <v>0.10208333333333333</v>
      </c>
      <c r="O134" s="2">
        <v>4</v>
      </c>
      <c r="P134" s="10">
        <v>48466</v>
      </c>
      <c r="Q134" s="17" t="str">
        <f>IF(AND(MediCare_Data[[#This Row],[Patient_Gender]]="Male", MediCare_Data[[#This Row],[Treatment_Type]]="Maternity"), "Gender-Treatment Mismatch", "Fine")</f>
        <v>Fine</v>
      </c>
      <c r="R134" s="10">
        <f>MediCare_Data[[#This Row],[Revenue_Generated]]-MediCare_Data[[#This Row],[Average_Treatment_Cost]]</f>
        <v>44210</v>
      </c>
      <c r="S134" s="3">
        <f>(MediCare_Data[[#This Row],[Profit]]/MediCare_Data[[#This Row],[Revenue_Generated]])</f>
        <v>0.91218586225395126</v>
      </c>
    </row>
    <row r="135" spans="1:19" x14ac:dyDescent="0.25">
      <c r="A135" t="s">
        <v>182</v>
      </c>
      <c r="B135" t="s">
        <v>64</v>
      </c>
      <c r="C135" t="s">
        <v>15</v>
      </c>
      <c r="D135" t="s">
        <v>16</v>
      </c>
      <c r="E135">
        <v>38</v>
      </c>
      <c r="F135" t="str">
        <f>IF(MediCare_Data[[#This Row],[Patient_Age]]&lt;=18,"0-18",IF(MediCare_Data[[#This Row],[Patient_Age]]&lt;=35,"19-35",IF(MediCare_Data[[#This Row],[Patient_Age]]&lt;=60,"36-60","60+")))</f>
        <v>36-60</v>
      </c>
      <c r="G135" t="s">
        <v>22</v>
      </c>
      <c r="H135" t="s">
        <v>51</v>
      </c>
      <c r="I135" s="2">
        <v>50</v>
      </c>
      <c r="J135" s="11">
        <v>4725</v>
      </c>
      <c r="K135" s="3">
        <v>12.612465869999999</v>
      </c>
      <c r="L135" s="3">
        <f t="shared" si="2"/>
        <v>0.1261246587</v>
      </c>
      <c r="M135">
        <v>32</v>
      </c>
      <c r="N135" s="6">
        <f>MediCare_Data[[#This Row],[Average_Wait_Time (mins)]]/1440</f>
        <v>2.2222222222222223E-2</v>
      </c>
      <c r="O135" s="2">
        <v>3</v>
      </c>
      <c r="P135" s="10">
        <v>38952</v>
      </c>
      <c r="Q135" s="17" t="str">
        <f>IF(AND(MediCare_Data[[#This Row],[Patient_Gender]]="Male", MediCare_Data[[#This Row],[Treatment_Type]]="Maternity"), "Gender-Treatment Mismatch", "Fine")</f>
        <v>Fine</v>
      </c>
      <c r="R135" s="10">
        <f>MediCare_Data[[#This Row],[Revenue_Generated]]-MediCare_Data[[#This Row],[Average_Treatment_Cost]]</f>
        <v>34227</v>
      </c>
      <c r="S135" s="3">
        <f>(MediCare_Data[[#This Row],[Profit]]/MediCare_Data[[#This Row],[Revenue_Generated]])</f>
        <v>0.87869685767097971</v>
      </c>
    </row>
    <row r="136" spans="1:19" x14ac:dyDescent="0.25">
      <c r="A136" t="s">
        <v>183</v>
      </c>
      <c r="B136" t="s">
        <v>14</v>
      </c>
      <c r="C136" t="s">
        <v>46</v>
      </c>
      <c r="D136" t="s">
        <v>32</v>
      </c>
      <c r="E136">
        <v>80</v>
      </c>
      <c r="F136" t="str">
        <f>IF(MediCare_Data[[#This Row],[Patient_Age]]&lt;=18,"0-18",IF(MediCare_Data[[#This Row],[Patient_Age]]&lt;=35,"19-35",IF(MediCare_Data[[#This Row],[Patient_Age]]&lt;=60,"36-60","60+")))</f>
        <v>60+</v>
      </c>
      <c r="G136" t="s">
        <v>26</v>
      </c>
      <c r="H136" t="s">
        <v>23</v>
      </c>
      <c r="I136" s="2">
        <v>84</v>
      </c>
      <c r="J136" s="11">
        <v>594</v>
      </c>
      <c r="K136" s="3">
        <v>22.559486410000002</v>
      </c>
      <c r="L136" s="3">
        <f t="shared" si="2"/>
        <v>0.22559486410000001</v>
      </c>
      <c r="M136">
        <v>158</v>
      </c>
      <c r="N136" s="6">
        <f>MediCare_Data[[#This Row],[Average_Wait_Time (mins)]]/1440</f>
        <v>0.10972222222222222</v>
      </c>
      <c r="O136" s="2">
        <v>3</v>
      </c>
      <c r="P136" s="10">
        <v>36170</v>
      </c>
      <c r="Q136" s="17" t="str">
        <f>IF(AND(MediCare_Data[[#This Row],[Patient_Gender]]="Male", MediCare_Data[[#This Row],[Treatment_Type]]="Maternity"), "Gender-Treatment Mismatch", "Fine")</f>
        <v>Fine</v>
      </c>
      <c r="R136" s="10">
        <f>MediCare_Data[[#This Row],[Revenue_Generated]]-MediCare_Data[[#This Row],[Average_Treatment_Cost]]</f>
        <v>35576</v>
      </c>
      <c r="S136" s="3">
        <f>(MediCare_Data[[#This Row],[Profit]]/MediCare_Data[[#This Row],[Revenue_Generated]])</f>
        <v>0.98357755045617912</v>
      </c>
    </row>
    <row r="137" spans="1:19" x14ac:dyDescent="0.25">
      <c r="A137" t="s">
        <v>184</v>
      </c>
      <c r="B137" t="s">
        <v>74</v>
      </c>
      <c r="C137" t="s">
        <v>54</v>
      </c>
      <c r="D137" t="s">
        <v>21</v>
      </c>
      <c r="E137">
        <v>41</v>
      </c>
      <c r="F137" t="str">
        <f>IF(MediCare_Data[[#This Row],[Patient_Age]]&lt;=18,"0-18",IF(MediCare_Data[[#This Row],[Patient_Age]]&lt;=35,"19-35",IF(MediCare_Data[[#This Row],[Patient_Age]]&lt;=60,"36-60","60+")))</f>
        <v>36-60</v>
      </c>
      <c r="G137" t="s">
        <v>43</v>
      </c>
      <c r="H137" t="s">
        <v>37</v>
      </c>
      <c r="I137" s="2">
        <v>86</v>
      </c>
      <c r="J137" s="11">
        <v>3174</v>
      </c>
      <c r="K137" s="3">
        <v>22.361133800000001</v>
      </c>
      <c r="L137" s="3">
        <f t="shared" si="2"/>
        <v>0.22361133800000002</v>
      </c>
      <c r="M137">
        <v>22</v>
      </c>
      <c r="N137" s="6">
        <f>MediCare_Data[[#This Row],[Average_Wait_Time (mins)]]/1440</f>
        <v>1.5277777777777777E-2</v>
      </c>
      <c r="O137" s="2">
        <v>3</v>
      </c>
      <c r="P137" s="10">
        <v>38663</v>
      </c>
      <c r="Q137" s="17" t="str">
        <f>IF(AND(MediCare_Data[[#This Row],[Patient_Gender]]="Male", MediCare_Data[[#This Row],[Treatment_Type]]="Maternity"), "Gender-Treatment Mismatch", "Fine")</f>
        <v>Fine</v>
      </c>
      <c r="R137" s="10">
        <f>MediCare_Data[[#This Row],[Revenue_Generated]]-MediCare_Data[[#This Row],[Average_Treatment_Cost]]</f>
        <v>35489</v>
      </c>
      <c r="S137" s="3">
        <f>(MediCare_Data[[#This Row],[Profit]]/MediCare_Data[[#This Row],[Revenue_Generated]])</f>
        <v>0.91790600832837599</v>
      </c>
    </row>
    <row r="138" spans="1:19" x14ac:dyDescent="0.25">
      <c r="A138" t="s">
        <v>185</v>
      </c>
      <c r="B138" t="s">
        <v>25</v>
      </c>
      <c r="C138" t="s">
        <v>36</v>
      </c>
      <c r="D138" t="s">
        <v>32</v>
      </c>
      <c r="E138">
        <v>10</v>
      </c>
      <c r="F138" t="str">
        <f>IF(MediCare_Data[[#This Row],[Patient_Age]]&lt;=18,"0-18",IF(MediCare_Data[[#This Row],[Patient_Age]]&lt;=35,"19-35",IF(MediCare_Data[[#This Row],[Patient_Age]]&lt;=60,"36-60","60+")))</f>
        <v>0-18</v>
      </c>
      <c r="G138" t="s">
        <v>26</v>
      </c>
      <c r="H138" t="s">
        <v>47</v>
      </c>
      <c r="I138" s="2">
        <v>96</v>
      </c>
      <c r="J138" s="11">
        <v>7398</v>
      </c>
      <c r="K138" s="3">
        <v>21.118507999999999</v>
      </c>
      <c r="L138" s="3">
        <f t="shared" si="2"/>
        <v>0.21118508</v>
      </c>
      <c r="M138">
        <v>110</v>
      </c>
      <c r="N138" s="6">
        <f>MediCare_Data[[#This Row],[Average_Wait_Time (mins)]]/1440</f>
        <v>7.6388888888888895E-2</v>
      </c>
      <c r="O138" s="2">
        <v>1</v>
      </c>
      <c r="P138" s="10">
        <v>45172</v>
      </c>
      <c r="Q138" s="17" t="str">
        <f>IF(AND(MediCare_Data[[#This Row],[Patient_Gender]]="Male", MediCare_Data[[#This Row],[Treatment_Type]]="Maternity"), "Gender-Treatment Mismatch", "Fine")</f>
        <v>Fine</v>
      </c>
      <c r="R138" s="10">
        <f>MediCare_Data[[#This Row],[Revenue_Generated]]-MediCare_Data[[#This Row],[Average_Treatment_Cost]]</f>
        <v>37774</v>
      </c>
      <c r="S138" s="3">
        <f>(MediCare_Data[[#This Row],[Profit]]/MediCare_Data[[#This Row],[Revenue_Generated]])</f>
        <v>0.8362259806960064</v>
      </c>
    </row>
    <row r="139" spans="1:19" x14ac:dyDescent="0.25">
      <c r="A139" t="s">
        <v>186</v>
      </c>
      <c r="B139" t="s">
        <v>45</v>
      </c>
      <c r="C139" t="s">
        <v>46</v>
      </c>
      <c r="D139" t="s">
        <v>32</v>
      </c>
      <c r="E139">
        <v>13</v>
      </c>
      <c r="F139" t="str">
        <f>IF(MediCare_Data[[#This Row],[Patient_Age]]&lt;=18,"0-18",IF(MediCare_Data[[#This Row],[Patient_Age]]&lt;=35,"19-35",IF(MediCare_Data[[#This Row],[Patient_Age]]&lt;=60,"36-60","60+")))</f>
        <v>0-18</v>
      </c>
      <c r="G139" t="s">
        <v>43</v>
      </c>
      <c r="H139" t="s">
        <v>18</v>
      </c>
      <c r="I139" s="2">
        <v>63</v>
      </c>
      <c r="J139" s="11">
        <v>1293</v>
      </c>
      <c r="K139" s="3">
        <v>20.80060873</v>
      </c>
      <c r="L139" s="3">
        <f t="shared" si="2"/>
        <v>0.2080060873</v>
      </c>
      <c r="M139">
        <v>170</v>
      </c>
      <c r="N139" s="6">
        <f>MediCare_Data[[#This Row],[Average_Wait_Time (mins)]]/1440</f>
        <v>0.11805555555555555</v>
      </c>
      <c r="O139" s="2">
        <v>4</v>
      </c>
      <c r="P139" s="10">
        <v>48929</v>
      </c>
      <c r="Q139" s="17" t="str">
        <f>IF(AND(MediCare_Data[[#This Row],[Patient_Gender]]="Male", MediCare_Data[[#This Row],[Treatment_Type]]="Maternity"), "Gender-Treatment Mismatch", "Fine")</f>
        <v>Fine</v>
      </c>
      <c r="R139" s="10">
        <f>MediCare_Data[[#This Row],[Revenue_Generated]]-MediCare_Data[[#This Row],[Average_Treatment_Cost]]</f>
        <v>47636</v>
      </c>
      <c r="S139" s="3">
        <f>(MediCare_Data[[#This Row],[Profit]]/MediCare_Data[[#This Row],[Revenue_Generated]])</f>
        <v>0.9735739540967524</v>
      </c>
    </row>
    <row r="140" spans="1:19" x14ac:dyDescent="0.25">
      <c r="A140" t="s">
        <v>187</v>
      </c>
      <c r="B140" t="s">
        <v>45</v>
      </c>
      <c r="C140" t="s">
        <v>54</v>
      </c>
      <c r="D140" t="s">
        <v>21</v>
      </c>
      <c r="E140">
        <v>87</v>
      </c>
      <c r="F140" t="str">
        <f>IF(MediCare_Data[[#This Row],[Patient_Age]]&lt;=18,"0-18",IF(MediCare_Data[[#This Row],[Patient_Age]]&lt;=35,"19-35",IF(MediCare_Data[[#This Row],[Patient_Age]]&lt;=60,"36-60","60+")))</f>
        <v>60+</v>
      </c>
      <c r="G140" t="s">
        <v>17</v>
      </c>
      <c r="H140" t="s">
        <v>23</v>
      </c>
      <c r="I140" s="2">
        <v>52</v>
      </c>
      <c r="J140" s="11">
        <v>2616</v>
      </c>
      <c r="K140" s="3">
        <v>11.09358278</v>
      </c>
      <c r="L140" s="3">
        <f t="shared" si="2"/>
        <v>0.1109358278</v>
      </c>
      <c r="M140">
        <v>33</v>
      </c>
      <c r="N140" s="6">
        <f>MediCare_Data[[#This Row],[Average_Wait_Time (mins)]]/1440</f>
        <v>2.2916666666666665E-2</v>
      </c>
      <c r="O140" s="2">
        <v>2</v>
      </c>
      <c r="P140" s="10">
        <v>10343</v>
      </c>
      <c r="Q140" s="17" t="str">
        <f>IF(AND(MediCare_Data[[#This Row],[Patient_Gender]]="Male", MediCare_Data[[#This Row],[Treatment_Type]]="Maternity"), "Gender-Treatment Mismatch", "Fine")</f>
        <v>Fine</v>
      </c>
      <c r="R140" s="10">
        <f>MediCare_Data[[#This Row],[Revenue_Generated]]-MediCare_Data[[#This Row],[Average_Treatment_Cost]]</f>
        <v>7727</v>
      </c>
      <c r="S140" s="3">
        <f>(MediCare_Data[[#This Row],[Profit]]/MediCare_Data[[#This Row],[Revenue_Generated]])</f>
        <v>0.74707531663927296</v>
      </c>
    </row>
    <row r="141" spans="1:19" x14ac:dyDescent="0.25">
      <c r="A141" t="s">
        <v>188</v>
      </c>
      <c r="B141" t="s">
        <v>41</v>
      </c>
      <c r="C141" t="s">
        <v>15</v>
      </c>
      <c r="D141" t="s">
        <v>21</v>
      </c>
      <c r="E141">
        <v>70</v>
      </c>
      <c r="F141" t="str">
        <f>IF(MediCare_Data[[#This Row],[Patient_Age]]&lt;=18,"0-18",IF(MediCare_Data[[#This Row],[Patient_Age]]&lt;=35,"19-35",IF(MediCare_Data[[#This Row],[Patient_Age]]&lt;=60,"36-60","60+")))</f>
        <v>60+</v>
      </c>
      <c r="G141" t="s">
        <v>26</v>
      </c>
      <c r="H141" t="s">
        <v>47</v>
      </c>
      <c r="I141" s="2">
        <v>50</v>
      </c>
      <c r="J141" s="11">
        <v>6279</v>
      </c>
      <c r="K141" s="3">
        <v>6.6183856609999996</v>
      </c>
      <c r="L141" s="3">
        <f t="shared" si="2"/>
        <v>6.6183856609999994E-2</v>
      </c>
      <c r="M141">
        <v>117</v>
      </c>
      <c r="N141" s="6">
        <f>MediCare_Data[[#This Row],[Average_Wait_Time (mins)]]/1440</f>
        <v>8.1250000000000003E-2</v>
      </c>
      <c r="O141" s="2">
        <v>4</v>
      </c>
      <c r="P141" s="10">
        <v>11637</v>
      </c>
      <c r="Q141" s="17" t="str">
        <f>IF(AND(MediCare_Data[[#This Row],[Patient_Gender]]="Male", MediCare_Data[[#This Row],[Treatment_Type]]="Maternity"), "Gender-Treatment Mismatch", "Fine")</f>
        <v>Fine</v>
      </c>
      <c r="R141" s="10">
        <f>MediCare_Data[[#This Row],[Revenue_Generated]]-MediCare_Data[[#This Row],[Average_Treatment_Cost]]</f>
        <v>5358</v>
      </c>
      <c r="S141" s="3">
        <f>(MediCare_Data[[#This Row],[Profit]]/MediCare_Data[[#This Row],[Revenue_Generated]])</f>
        <v>0.46042794534673886</v>
      </c>
    </row>
    <row r="142" spans="1:19" x14ac:dyDescent="0.25">
      <c r="A142" t="s">
        <v>189</v>
      </c>
      <c r="B142" t="s">
        <v>74</v>
      </c>
      <c r="C142" t="s">
        <v>54</v>
      </c>
      <c r="D142" t="s">
        <v>16</v>
      </c>
      <c r="E142">
        <v>52</v>
      </c>
      <c r="F142" t="str">
        <f>IF(MediCare_Data[[#This Row],[Patient_Age]]&lt;=18,"0-18",IF(MediCare_Data[[#This Row],[Patient_Age]]&lt;=35,"19-35",IF(MediCare_Data[[#This Row],[Patient_Age]]&lt;=60,"36-60","60+")))</f>
        <v>36-60</v>
      </c>
      <c r="G142" t="s">
        <v>43</v>
      </c>
      <c r="H142" t="s">
        <v>33</v>
      </c>
      <c r="I142" s="2">
        <v>54</v>
      </c>
      <c r="J142" s="11">
        <v>6666</v>
      </c>
      <c r="K142" s="3">
        <v>13.059603579999999</v>
      </c>
      <c r="L142" s="3">
        <f t="shared" si="2"/>
        <v>0.13059603579999998</v>
      </c>
      <c r="M142">
        <v>20</v>
      </c>
      <c r="N142" s="6">
        <f>MediCare_Data[[#This Row],[Average_Wait_Time (mins)]]/1440</f>
        <v>1.3888888888888888E-2</v>
      </c>
      <c r="O142" s="2">
        <v>2</v>
      </c>
      <c r="P142" s="10">
        <v>35724</v>
      </c>
      <c r="Q142" s="17" t="str">
        <f>IF(AND(MediCare_Data[[#This Row],[Patient_Gender]]="Male", MediCare_Data[[#This Row],[Treatment_Type]]="Maternity"), "Gender-Treatment Mismatch", "Fine")</f>
        <v>Fine</v>
      </c>
      <c r="R142" s="10">
        <f>MediCare_Data[[#This Row],[Revenue_Generated]]-MediCare_Data[[#This Row],[Average_Treatment_Cost]]</f>
        <v>29058</v>
      </c>
      <c r="S142" s="3">
        <f>(MediCare_Data[[#This Row],[Profit]]/MediCare_Data[[#This Row],[Revenue_Generated]])</f>
        <v>0.81340275445078936</v>
      </c>
    </row>
    <row r="143" spans="1:19" x14ac:dyDescent="0.25">
      <c r="A143" t="s">
        <v>190</v>
      </c>
      <c r="B143" t="s">
        <v>41</v>
      </c>
      <c r="C143" t="s">
        <v>29</v>
      </c>
      <c r="D143" t="s">
        <v>21</v>
      </c>
      <c r="E143">
        <v>51</v>
      </c>
      <c r="F143" t="str">
        <f>IF(MediCare_Data[[#This Row],[Patient_Age]]&lt;=18,"0-18",IF(MediCare_Data[[#This Row],[Patient_Age]]&lt;=35,"19-35",IF(MediCare_Data[[#This Row],[Patient_Age]]&lt;=60,"36-60","60+")))</f>
        <v>36-60</v>
      </c>
      <c r="G143" t="s">
        <v>22</v>
      </c>
      <c r="H143" t="s">
        <v>47</v>
      </c>
      <c r="I143" s="2">
        <v>75</v>
      </c>
      <c r="J143" s="11">
        <v>1314</v>
      </c>
      <c r="K143" s="3">
        <v>8.4704902999999998</v>
      </c>
      <c r="L143" s="3">
        <f t="shared" si="2"/>
        <v>8.4704902999999998E-2</v>
      </c>
      <c r="M143">
        <v>26</v>
      </c>
      <c r="N143" s="6">
        <f>MediCare_Data[[#This Row],[Average_Wait_Time (mins)]]/1440</f>
        <v>1.8055555555555554E-2</v>
      </c>
      <c r="O143" s="2">
        <v>1</v>
      </c>
      <c r="P143" s="10">
        <v>40791</v>
      </c>
      <c r="Q143" s="17" t="str">
        <f>IF(AND(MediCare_Data[[#This Row],[Patient_Gender]]="Male", MediCare_Data[[#This Row],[Treatment_Type]]="Maternity"), "Gender-Treatment Mismatch", "Fine")</f>
        <v>Fine</v>
      </c>
      <c r="R143" s="10">
        <f>MediCare_Data[[#This Row],[Revenue_Generated]]-MediCare_Data[[#This Row],[Average_Treatment_Cost]]</f>
        <v>39477</v>
      </c>
      <c r="S143" s="3">
        <f>(MediCare_Data[[#This Row],[Profit]]/MediCare_Data[[#This Row],[Revenue_Generated]])</f>
        <v>0.96778701184084726</v>
      </c>
    </row>
    <row r="144" spans="1:19" x14ac:dyDescent="0.25">
      <c r="A144" t="s">
        <v>191</v>
      </c>
      <c r="B144" t="s">
        <v>39</v>
      </c>
      <c r="C144" t="s">
        <v>42</v>
      </c>
      <c r="D144" t="s">
        <v>32</v>
      </c>
      <c r="E144">
        <v>76</v>
      </c>
      <c r="F144" t="str">
        <f>IF(MediCare_Data[[#This Row],[Patient_Age]]&lt;=18,"0-18",IF(MediCare_Data[[#This Row],[Patient_Age]]&lt;=35,"19-35",IF(MediCare_Data[[#This Row],[Patient_Age]]&lt;=60,"36-60","60+")))</f>
        <v>60+</v>
      </c>
      <c r="G144" t="s">
        <v>17</v>
      </c>
      <c r="H144" t="s">
        <v>51</v>
      </c>
      <c r="I144" s="2">
        <v>63</v>
      </c>
      <c r="J144" s="11">
        <v>845</v>
      </c>
      <c r="K144" s="3">
        <v>18.899021780000002</v>
      </c>
      <c r="L144" s="3">
        <f t="shared" si="2"/>
        <v>0.18899021780000003</v>
      </c>
      <c r="M144">
        <v>34</v>
      </c>
      <c r="N144" s="6">
        <f>MediCare_Data[[#This Row],[Average_Wait_Time (mins)]]/1440</f>
        <v>2.361111111111111E-2</v>
      </c>
      <c r="O144" s="2">
        <v>1</v>
      </c>
      <c r="P144" s="10">
        <v>30134</v>
      </c>
      <c r="Q144" s="17" t="str">
        <f>IF(AND(MediCare_Data[[#This Row],[Patient_Gender]]="Male", MediCare_Data[[#This Row],[Treatment_Type]]="Maternity"), "Gender-Treatment Mismatch", "Fine")</f>
        <v>Fine</v>
      </c>
      <c r="R144" s="10">
        <f>MediCare_Data[[#This Row],[Revenue_Generated]]-MediCare_Data[[#This Row],[Average_Treatment_Cost]]</f>
        <v>29289</v>
      </c>
      <c r="S144" s="3">
        <f>(MediCare_Data[[#This Row],[Profit]]/MediCare_Data[[#This Row],[Revenue_Generated]])</f>
        <v>0.97195858498705778</v>
      </c>
    </row>
    <row r="145" spans="1:19" x14ac:dyDescent="0.25">
      <c r="A145" t="s">
        <v>192</v>
      </c>
      <c r="B145" t="s">
        <v>35</v>
      </c>
      <c r="C145" t="s">
        <v>42</v>
      </c>
      <c r="D145" t="s">
        <v>16</v>
      </c>
      <c r="E145">
        <v>25</v>
      </c>
      <c r="F145" t="str">
        <f>IF(MediCare_Data[[#This Row],[Patient_Age]]&lt;=18,"0-18",IF(MediCare_Data[[#This Row],[Patient_Age]]&lt;=35,"19-35",IF(MediCare_Data[[#This Row],[Patient_Age]]&lt;=60,"36-60","60+")))</f>
        <v>19-35</v>
      </c>
      <c r="G145" t="s">
        <v>43</v>
      </c>
      <c r="H145" t="s">
        <v>33</v>
      </c>
      <c r="I145" s="2">
        <v>88</v>
      </c>
      <c r="J145" s="11">
        <v>9054</v>
      </c>
      <c r="K145" s="3">
        <v>11.921994529999999</v>
      </c>
      <c r="L145" s="3">
        <f t="shared" si="2"/>
        <v>0.11921994529999999</v>
      </c>
      <c r="M145">
        <v>103</v>
      </c>
      <c r="N145" s="6">
        <f>MediCare_Data[[#This Row],[Average_Wait_Time (mins)]]/1440</f>
        <v>7.1527777777777773E-2</v>
      </c>
      <c r="O145" s="2">
        <v>2</v>
      </c>
      <c r="P145" s="10">
        <v>47830</v>
      </c>
      <c r="Q145" s="17" t="str">
        <f>IF(AND(MediCare_Data[[#This Row],[Patient_Gender]]="Male", MediCare_Data[[#This Row],[Treatment_Type]]="Maternity"), "Gender-Treatment Mismatch", "Fine")</f>
        <v>Fine</v>
      </c>
      <c r="R145" s="10">
        <f>MediCare_Data[[#This Row],[Revenue_Generated]]-MediCare_Data[[#This Row],[Average_Treatment_Cost]]</f>
        <v>38776</v>
      </c>
      <c r="S145" s="3">
        <f>(MediCare_Data[[#This Row],[Profit]]/MediCare_Data[[#This Row],[Revenue_Generated]])</f>
        <v>0.81070457871628687</v>
      </c>
    </row>
    <row r="146" spans="1:19" x14ac:dyDescent="0.25">
      <c r="A146" t="s">
        <v>193</v>
      </c>
      <c r="B146" t="s">
        <v>56</v>
      </c>
      <c r="C146" t="s">
        <v>31</v>
      </c>
      <c r="D146" t="s">
        <v>21</v>
      </c>
      <c r="E146">
        <v>72</v>
      </c>
      <c r="F146" t="str">
        <f>IF(MediCare_Data[[#This Row],[Patient_Age]]&lt;=18,"0-18",IF(MediCare_Data[[#This Row],[Patient_Age]]&lt;=35,"19-35",IF(MediCare_Data[[#This Row],[Patient_Age]]&lt;=60,"36-60","60+")))</f>
        <v>60+</v>
      </c>
      <c r="G146" t="s">
        <v>26</v>
      </c>
      <c r="H146" t="s">
        <v>37</v>
      </c>
      <c r="I146" s="2">
        <v>76</v>
      </c>
      <c r="J146" s="11">
        <v>2943</v>
      </c>
      <c r="K146" s="3">
        <v>24.512204019999999</v>
      </c>
      <c r="L146" s="3">
        <f t="shared" si="2"/>
        <v>0.24512204019999997</v>
      </c>
      <c r="M146">
        <v>30</v>
      </c>
      <c r="N146" s="6">
        <f>MediCare_Data[[#This Row],[Average_Wait_Time (mins)]]/1440</f>
        <v>2.0833333333333332E-2</v>
      </c>
      <c r="O146" s="2">
        <v>2</v>
      </c>
      <c r="P146" s="10">
        <v>48101</v>
      </c>
      <c r="Q146" s="17" t="str">
        <f>IF(AND(MediCare_Data[[#This Row],[Patient_Gender]]="Male", MediCare_Data[[#This Row],[Treatment_Type]]="Maternity"), "Gender-Treatment Mismatch", "Fine")</f>
        <v>Fine</v>
      </c>
      <c r="R146" s="10">
        <f>MediCare_Data[[#This Row],[Revenue_Generated]]-MediCare_Data[[#This Row],[Average_Treatment_Cost]]</f>
        <v>45158</v>
      </c>
      <c r="S146" s="3">
        <f>(MediCare_Data[[#This Row],[Profit]]/MediCare_Data[[#This Row],[Revenue_Generated]])</f>
        <v>0.9388162408265941</v>
      </c>
    </row>
    <row r="147" spans="1:19" x14ac:dyDescent="0.25">
      <c r="A147" t="s">
        <v>194</v>
      </c>
      <c r="B147" t="s">
        <v>35</v>
      </c>
      <c r="C147" t="s">
        <v>20</v>
      </c>
      <c r="D147" t="s">
        <v>32</v>
      </c>
      <c r="E147">
        <v>85</v>
      </c>
      <c r="F147" t="str">
        <f>IF(MediCare_Data[[#This Row],[Patient_Age]]&lt;=18,"0-18",IF(MediCare_Data[[#This Row],[Patient_Age]]&lt;=35,"19-35",IF(MediCare_Data[[#This Row],[Patient_Age]]&lt;=60,"36-60","60+")))</f>
        <v>60+</v>
      </c>
      <c r="G147" t="s">
        <v>26</v>
      </c>
      <c r="H147" t="s">
        <v>37</v>
      </c>
      <c r="I147" s="2">
        <v>58</v>
      </c>
      <c r="J147" s="11">
        <v>8283</v>
      </c>
      <c r="K147" s="3">
        <v>17.819441550000001</v>
      </c>
      <c r="L147" s="3">
        <f t="shared" si="2"/>
        <v>0.17819441550000001</v>
      </c>
      <c r="M147">
        <v>93</v>
      </c>
      <c r="N147" s="6">
        <f>MediCare_Data[[#This Row],[Average_Wait_Time (mins)]]/1440</f>
        <v>6.458333333333334E-2</v>
      </c>
      <c r="O147" s="2">
        <v>2</v>
      </c>
      <c r="P147" s="10">
        <v>4907</v>
      </c>
      <c r="Q147" s="17" t="str">
        <f>IF(AND(MediCare_Data[[#This Row],[Patient_Gender]]="Male", MediCare_Data[[#This Row],[Treatment_Type]]="Maternity"), "Gender-Treatment Mismatch", "Fine")</f>
        <v>Fine</v>
      </c>
      <c r="R147" s="10">
        <f>MediCare_Data[[#This Row],[Revenue_Generated]]-MediCare_Data[[#This Row],[Average_Treatment_Cost]]</f>
        <v>-3376</v>
      </c>
      <c r="S147" s="3">
        <f>(MediCare_Data[[#This Row],[Profit]]/MediCare_Data[[#This Row],[Revenue_Generated]])</f>
        <v>-0.68799673935194616</v>
      </c>
    </row>
    <row r="148" spans="1:19" x14ac:dyDescent="0.25">
      <c r="A148" t="s">
        <v>195</v>
      </c>
      <c r="B148" t="s">
        <v>14</v>
      </c>
      <c r="C148" t="s">
        <v>15</v>
      </c>
      <c r="D148" t="s">
        <v>16</v>
      </c>
      <c r="E148">
        <v>69</v>
      </c>
      <c r="F148" t="str">
        <f>IF(MediCare_Data[[#This Row],[Patient_Age]]&lt;=18,"0-18",IF(MediCare_Data[[#This Row],[Patient_Age]]&lt;=35,"19-35",IF(MediCare_Data[[#This Row],[Patient_Age]]&lt;=60,"36-60","60+")))</f>
        <v>60+</v>
      </c>
      <c r="G148" t="s">
        <v>43</v>
      </c>
      <c r="H148" t="s">
        <v>51</v>
      </c>
      <c r="I148" s="2">
        <v>64</v>
      </c>
      <c r="J148" s="11">
        <v>1484</v>
      </c>
      <c r="K148" s="3">
        <v>21.449611269999998</v>
      </c>
      <c r="L148" s="3">
        <f t="shared" si="2"/>
        <v>0.21449611269999999</v>
      </c>
      <c r="M148">
        <v>149</v>
      </c>
      <c r="N148" s="6">
        <f>MediCare_Data[[#This Row],[Average_Wait_Time (mins)]]/1440</f>
        <v>0.10347222222222222</v>
      </c>
      <c r="O148" s="2">
        <v>4</v>
      </c>
      <c r="P148" s="10">
        <v>34575</v>
      </c>
      <c r="Q148" s="17" t="str">
        <f>IF(AND(MediCare_Data[[#This Row],[Patient_Gender]]="Male", MediCare_Data[[#This Row],[Treatment_Type]]="Maternity"), "Gender-Treatment Mismatch", "Fine")</f>
        <v>Fine</v>
      </c>
      <c r="R148" s="10">
        <f>MediCare_Data[[#This Row],[Revenue_Generated]]-MediCare_Data[[#This Row],[Average_Treatment_Cost]]</f>
        <v>33091</v>
      </c>
      <c r="S148" s="3">
        <f>(MediCare_Data[[#This Row],[Profit]]/MediCare_Data[[#This Row],[Revenue_Generated]])</f>
        <v>0.95707881417208962</v>
      </c>
    </row>
    <row r="149" spans="1:19" x14ac:dyDescent="0.25">
      <c r="A149" t="s">
        <v>196</v>
      </c>
      <c r="B149" t="s">
        <v>64</v>
      </c>
      <c r="C149" t="s">
        <v>15</v>
      </c>
      <c r="D149" t="s">
        <v>16</v>
      </c>
      <c r="E149">
        <v>43</v>
      </c>
      <c r="F149" t="str">
        <f>IF(MediCare_Data[[#This Row],[Patient_Age]]&lt;=18,"0-18",IF(MediCare_Data[[#This Row],[Patient_Age]]&lt;=35,"19-35",IF(MediCare_Data[[#This Row],[Patient_Age]]&lt;=60,"36-60","60+")))</f>
        <v>36-60</v>
      </c>
      <c r="G149" t="s">
        <v>17</v>
      </c>
      <c r="H149" t="s">
        <v>33</v>
      </c>
      <c r="I149" s="2">
        <v>64</v>
      </c>
      <c r="J149" s="11">
        <v>8290</v>
      </c>
      <c r="K149" s="3">
        <v>7.6504934550000003</v>
      </c>
      <c r="L149" s="3">
        <f t="shared" si="2"/>
        <v>7.6504934550000001E-2</v>
      </c>
      <c r="M149">
        <v>46</v>
      </c>
      <c r="N149" s="6">
        <f>MediCare_Data[[#This Row],[Average_Wait_Time (mins)]]/1440</f>
        <v>3.1944444444444442E-2</v>
      </c>
      <c r="O149" s="2">
        <v>2</v>
      </c>
      <c r="P149" s="10">
        <v>47799</v>
      </c>
      <c r="Q149" s="17" t="str">
        <f>IF(AND(MediCare_Data[[#This Row],[Patient_Gender]]="Male", MediCare_Data[[#This Row],[Treatment_Type]]="Maternity"), "Gender-Treatment Mismatch", "Fine")</f>
        <v>Fine</v>
      </c>
      <c r="R149" s="10">
        <f>MediCare_Data[[#This Row],[Revenue_Generated]]-MediCare_Data[[#This Row],[Average_Treatment_Cost]]</f>
        <v>39509</v>
      </c>
      <c r="S149" s="3">
        <f>(MediCare_Data[[#This Row],[Profit]]/MediCare_Data[[#This Row],[Revenue_Generated]])</f>
        <v>0.82656540931818656</v>
      </c>
    </row>
    <row r="150" spans="1:19" x14ac:dyDescent="0.25">
      <c r="A150" t="s">
        <v>197</v>
      </c>
      <c r="B150" t="s">
        <v>58</v>
      </c>
      <c r="C150" t="s">
        <v>29</v>
      </c>
      <c r="D150" t="s">
        <v>16</v>
      </c>
      <c r="E150">
        <v>51</v>
      </c>
      <c r="F150" t="str">
        <f>IF(MediCare_Data[[#This Row],[Patient_Age]]&lt;=18,"0-18",IF(MediCare_Data[[#This Row],[Patient_Age]]&lt;=35,"19-35",IF(MediCare_Data[[#This Row],[Patient_Age]]&lt;=60,"36-60","60+")))</f>
        <v>36-60</v>
      </c>
      <c r="G150" t="s">
        <v>43</v>
      </c>
      <c r="H150" t="s">
        <v>47</v>
      </c>
      <c r="I150" s="2">
        <v>75</v>
      </c>
      <c r="J150" s="11">
        <v>1327</v>
      </c>
      <c r="K150" s="3">
        <v>22.240289650000001</v>
      </c>
      <c r="L150" s="3">
        <f t="shared" si="2"/>
        <v>0.2224028965</v>
      </c>
      <c r="M150">
        <v>51</v>
      </c>
      <c r="N150" s="6">
        <f>MediCare_Data[[#This Row],[Average_Wait_Time (mins)]]/1440</f>
        <v>3.5416666666666666E-2</v>
      </c>
      <c r="O150" s="2">
        <v>1</v>
      </c>
      <c r="P150" s="10">
        <v>5827</v>
      </c>
      <c r="Q150" s="17" t="str">
        <f>IF(AND(MediCare_Data[[#This Row],[Patient_Gender]]="Male", MediCare_Data[[#This Row],[Treatment_Type]]="Maternity"), "Gender-Treatment Mismatch", "Fine")</f>
        <v>Fine</v>
      </c>
      <c r="R150" s="10">
        <f>MediCare_Data[[#This Row],[Revenue_Generated]]-MediCare_Data[[#This Row],[Average_Treatment_Cost]]</f>
        <v>4500</v>
      </c>
      <c r="S150" s="3">
        <f>(MediCare_Data[[#This Row],[Profit]]/MediCare_Data[[#This Row],[Revenue_Generated]])</f>
        <v>0.77226703277844522</v>
      </c>
    </row>
    <row r="151" spans="1:19" x14ac:dyDescent="0.25">
      <c r="A151" t="s">
        <v>198</v>
      </c>
      <c r="B151" t="s">
        <v>25</v>
      </c>
      <c r="C151" t="s">
        <v>29</v>
      </c>
      <c r="D151" t="s">
        <v>32</v>
      </c>
      <c r="E151">
        <v>58</v>
      </c>
      <c r="F151" t="str">
        <f>IF(MediCare_Data[[#This Row],[Patient_Age]]&lt;=18,"0-18",IF(MediCare_Data[[#This Row],[Patient_Age]]&lt;=35,"19-35",IF(MediCare_Data[[#This Row],[Patient_Age]]&lt;=60,"36-60","60+")))</f>
        <v>36-60</v>
      </c>
      <c r="G151" t="s">
        <v>26</v>
      </c>
      <c r="H151" t="s">
        <v>51</v>
      </c>
      <c r="I151" s="2">
        <v>91</v>
      </c>
      <c r="J151" s="11">
        <v>4031</v>
      </c>
      <c r="K151" s="3">
        <v>23.455143809999999</v>
      </c>
      <c r="L151" s="3">
        <f t="shared" si="2"/>
        <v>0.23455143809999998</v>
      </c>
      <c r="M151">
        <v>154</v>
      </c>
      <c r="N151" s="6">
        <f>MediCare_Data[[#This Row],[Average_Wait_Time (mins)]]/1440</f>
        <v>0.10694444444444444</v>
      </c>
      <c r="O151" s="2">
        <v>1</v>
      </c>
      <c r="P151" s="10">
        <v>31607</v>
      </c>
      <c r="Q151" s="17" t="str">
        <f>IF(AND(MediCare_Data[[#This Row],[Patient_Gender]]="Male", MediCare_Data[[#This Row],[Treatment_Type]]="Maternity"), "Gender-Treatment Mismatch", "Fine")</f>
        <v>Fine</v>
      </c>
      <c r="R151" s="10">
        <f>MediCare_Data[[#This Row],[Revenue_Generated]]-MediCare_Data[[#This Row],[Average_Treatment_Cost]]</f>
        <v>27576</v>
      </c>
      <c r="S151" s="3">
        <f>(MediCare_Data[[#This Row],[Profit]]/MediCare_Data[[#This Row],[Revenue_Generated]])</f>
        <v>0.87246496029360587</v>
      </c>
    </row>
    <row r="152" spans="1:19" x14ac:dyDescent="0.25">
      <c r="A152" t="s">
        <v>199</v>
      </c>
      <c r="B152" t="s">
        <v>41</v>
      </c>
      <c r="C152" t="s">
        <v>20</v>
      </c>
      <c r="D152" t="s">
        <v>32</v>
      </c>
      <c r="E152">
        <v>5</v>
      </c>
      <c r="F152" t="str">
        <f>IF(MediCare_Data[[#This Row],[Patient_Age]]&lt;=18,"0-18",IF(MediCare_Data[[#This Row],[Patient_Age]]&lt;=35,"19-35",IF(MediCare_Data[[#This Row],[Patient_Age]]&lt;=60,"36-60","60+")))</f>
        <v>0-18</v>
      </c>
      <c r="G152" t="s">
        <v>26</v>
      </c>
      <c r="H152" t="s">
        <v>47</v>
      </c>
      <c r="I152" s="2">
        <v>62</v>
      </c>
      <c r="J152" s="11">
        <v>7647</v>
      </c>
      <c r="K152" s="3">
        <v>14.74123838</v>
      </c>
      <c r="L152" s="3">
        <f t="shared" si="2"/>
        <v>0.14741238379999999</v>
      </c>
      <c r="M152">
        <v>110</v>
      </c>
      <c r="N152" s="6">
        <f>MediCare_Data[[#This Row],[Average_Wait_Time (mins)]]/1440</f>
        <v>7.6388888888888895E-2</v>
      </c>
      <c r="O152" s="2">
        <v>3</v>
      </c>
      <c r="P152" s="10">
        <v>14699</v>
      </c>
      <c r="Q152" s="17" t="str">
        <f>IF(AND(MediCare_Data[[#This Row],[Patient_Gender]]="Male", MediCare_Data[[#This Row],[Treatment_Type]]="Maternity"), "Gender-Treatment Mismatch", "Fine")</f>
        <v>Fine</v>
      </c>
      <c r="R152" s="10">
        <f>MediCare_Data[[#This Row],[Revenue_Generated]]-MediCare_Data[[#This Row],[Average_Treatment_Cost]]</f>
        <v>7052</v>
      </c>
      <c r="S152" s="3">
        <f>(MediCare_Data[[#This Row],[Profit]]/MediCare_Data[[#This Row],[Revenue_Generated]])</f>
        <v>0.47976052792706986</v>
      </c>
    </row>
    <row r="153" spans="1:19" x14ac:dyDescent="0.25">
      <c r="A153" t="s">
        <v>200</v>
      </c>
      <c r="B153" t="s">
        <v>64</v>
      </c>
      <c r="C153" t="s">
        <v>36</v>
      </c>
      <c r="D153" t="s">
        <v>16</v>
      </c>
      <c r="E153">
        <v>50</v>
      </c>
      <c r="F153" t="str">
        <f>IF(MediCare_Data[[#This Row],[Patient_Age]]&lt;=18,"0-18",IF(MediCare_Data[[#This Row],[Patient_Age]]&lt;=35,"19-35",IF(MediCare_Data[[#This Row],[Patient_Age]]&lt;=60,"36-60","60+")))</f>
        <v>36-60</v>
      </c>
      <c r="G153" t="s">
        <v>22</v>
      </c>
      <c r="H153" t="s">
        <v>33</v>
      </c>
      <c r="I153" s="2">
        <v>81</v>
      </c>
      <c r="J153" s="11">
        <v>4951</v>
      </c>
      <c r="K153" s="3">
        <v>17.125058760000002</v>
      </c>
      <c r="L153" s="3">
        <f t="shared" si="2"/>
        <v>0.1712505876</v>
      </c>
      <c r="M153">
        <v>57</v>
      </c>
      <c r="N153" s="6">
        <f>MediCare_Data[[#This Row],[Average_Wait_Time (mins)]]/1440</f>
        <v>3.9583333333333331E-2</v>
      </c>
      <c r="O153" s="2">
        <v>2</v>
      </c>
      <c r="P153" s="10">
        <v>38292</v>
      </c>
      <c r="Q153" s="17" t="str">
        <f>IF(AND(MediCare_Data[[#This Row],[Patient_Gender]]="Male", MediCare_Data[[#This Row],[Treatment_Type]]="Maternity"), "Gender-Treatment Mismatch", "Fine")</f>
        <v>Fine</v>
      </c>
      <c r="R153" s="10">
        <f>MediCare_Data[[#This Row],[Revenue_Generated]]-MediCare_Data[[#This Row],[Average_Treatment_Cost]]</f>
        <v>33341</v>
      </c>
      <c r="S153" s="3">
        <f>(MediCare_Data[[#This Row],[Profit]]/MediCare_Data[[#This Row],[Revenue_Generated]])</f>
        <v>0.87070406351196072</v>
      </c>
    </row>
    <row r="154" spans="1:19" x14ac:dyDescent="0.25">
      <c r="A154" t="s">
        <v>201</v>
      </c>
      <c r="B154" t="s">
        <v>58</v>
      </c>
      <c r="C154" t="s">
        <v>54</v>
      </c>
      <c r="D154" t="s">
        <v>32</v>
      </c>
      <c r="E154">
        <v>48</v>
      </c>
      <c r="F154" t="str">
        <f>IF(MediCare_Data[[#This Row],[Patient_Age]]&lt;=18,"0-18",IF(MediCare_Data[[#This Row],[Patient_Age]]&lt;=35,"19-35",IF(MediCare_Data[[#This Row],[Patient_Age]]&lt;=60,"36-60","60+")))</f>
        <v>36-60</v>
      </c>
      <c r="G154" t="s">
        <v>22</v>
      </c>
      <c r="H154" t="s">
        <v>37</v>
      </c>
      <c r="I154" s="2">
        <v>88</v>
      </c>
      <c r="J154" s="11">
        <v>4376</v>
      </c>
      <c r="K154" s="3">
        <v>20.29619602</v>
      </c>
      <c r="L154" s="3">
        <f t="shared" si="2"/>
        <v>0.20296196020000001</v>
      </c>
      <c r="M154">
        <v>112</v>
      </c>
      <c r="N154" s="6">
        <f>MediCare_Data[[#This Row],[Average_Wait_Time (mins)]]/1440</f>
        <v>7.7777777777777779E-2</v>
      </c>
      <c r="O154" s="2">
        <v>4</v>
      </c>
      <c r="P154" s="10">
        <v>48961</v>
      </c>
      <c r="Q154" s="17" t="str">
        <f>IF(AND(MediCare_Data[[#This Row],[Patient_Gender]]="Male", MediCare_Data[[#This Row],[Treatment_Type]]="Maternity"), "Gender-Treatment Mismatch", "Fine")</f>
        <v>Fine</v>
      </c>
      <c r="R154" s="10">
        <f>MediCare_Data[[#This Row],[Revenue_Generated]]-MediCare_Data[[#This Row],[Average_Treatment_Cost]]</f>
        <v>44585</v>
      </c>
      <c r="S154" s="3">
        <f>(MediCare_Data[[#This Row],[Profit]]/MediCare_Data[[#This Row],[Revenue_Generated]])</f>
        <v>0.91062274054859993</v>
      </c>
    </row>
    <row r="155" spans="1:19" x14ac:dyDescent="0.25">
      <c r="A155" t="s">
        <v>202</v>
      </c>
      <c r="B155" t="s">
        <v>64</v>
      </c>
      <c r="C155" t="s">
        <v>31</v>
      </c>
      <c r="D155" t="s">
        <v>16</v>
      </c>
      <c r="E155">
        <v>17</v>
      </c>
      <c r="F155" t="str">
        <f>IF(MediCare_Data[[#This Row],[Patient_Age]]&lt;=18,"0-18",IF(MediCare_Data[[#This Row],[Patient_Age]]&lt;=35,"19-35",IF(MediCare_Data[[#This Row],[Patient_Age]]&lt;=60,"36-60","60+")))</f>
        <v>0-18</v>
      </c>
      <c r="G155" t="s">
        <v>26</v>
      </c>
      <c r="H155" t="s">
        <v>47</v>
      </c>
      <c r="I155" s="2">
        <v>98</v>
      </c>
      <c r="J155" s="11">
        <v>6459</v>
      </c>
      <c r="K155" s="3">
        <v>8.4967725450000007</v>
      </c>
      <c r="L155" s="3">
        <f t="shared" si="2"/>
        <v>8.4967725450000003E-2</v>
      </c>
      <c r="M155">
        <v>37</v>
      </c>
      <c r="N155" s="6">
        <f>MediCare_Data[[#This Row],[Average_Wait_Time (mins)]]/1440</f>
        <v>2.5694444444444443E-2</v>
      </c>
      <c r="O155" s="2">
        <v>4</v>
      </c>
      <c r="P155" s="10">
        <v>26883</v>
      </c>
      <c r="Q155" s="17" t="str">
        <f>IF(AND(MediCare_Data[[#This Row],[Patient_Gender]]="Male", MediCare_Data[[#This Row],[Treatment_Type]]="Maternity"), "Gender-Treatment Mismatch", "Fine")</f>
        <v>Fine</v>
      </c>
      <c r="R155" s="10">
        <f>MediCare_Data[[#This Row],[Revenue_Generated]]-MediCare_Data[[#This Row],[Average_Treatment_Cost]]</f>
        <v>20424</v>
      </c>
      <c r="S155" s="3">
        <f>(MediCare_Data[[#This Row],[Profit]]/MediCare_Data[[#This Row],[Revenue_Generated]])</f>
        <v>0.75973663653610091</v>
      </c>
    </row>
    <row r="156" spans="1:19" x14ac:dyDescent="0.25">
      <c r="A156" t="s">
        <v>203</v>
      </c>
      <c r="B156" t="s">
        <v>64</v>
      </c>
      <c r="C156" t="s">
        <v>29</v>
      </c>
      <c r="D156" t="s">
        <v>16</v>
      </c>
      <c r="E156">
        <v>27</v>
      </c>
      <c r="F156" t="str">
        <f>IF(MediCare_Data[[#This Row],[Patient_Age]]&lt;=18,"0-18",IF(MediCare_Data[[#This Row],[Patient_Age]]&lt;=35,"19-35",IF(MediCare_Data[[#This Row],[Patient_Age]]&lt;=60,"36-60","60+")))</f>
        <v>19-35</v>
      </c>
      <c r="G156" t="s">
        <v>22</v>
      </c>
      <c r="H156" t="s">
        <v>47</v>
      </c>
      <c r="I156" s="2">
        <v>81</v>
      </c>
      <c r="J156" s="11">
        <v>626</v>
      </c>
      <c r="K156" s="3">
        <v>15.051321529999999</v>
      </c>
      <c r="L156" s="3">
        <f t="shared" si="2"/>
        <v>0.1505132153</v>
      </c>
      <c r="M156">
        <v>50</v>
      </c>
      <c r="N156" s="6">
        <f>MediCare_Data[[#This Row],[Average_Wait_Time (mins)]]/1440</f>
        <v>3.4722222222222224E-2</v>
      </c>
      <c r="O156" s="2">
        <v>4</v>
      </c>
      <c r="P156" s="10">
        <v>49991</v>
      </c>
      <c r="Q156" s="17" t="str">
        <f>IF(AND(MediCare_Data[[#This Row],[Patient_Gender]]="Male", MediCare_Data[[#This Row],[Treatment_Type]]="Maternity"), "Gender-Treatment Mismatch", "Fine")</f>
        <v>Fine</v>
      </c>
      <c r="R156" s="10">
        <f>MediCare_Data[[#This Row],[Revenue_Generated]]-MediCare_Data[[#This Row],[Average_Treatment_Cost]]</f>
        <v>49365</v>
      </c>
      <c r="S156" s="3">
        <f>(MediCare_Data[[#This Row],[Profit]]/MediCare_Data[[#This Row],[Revenue_Generated]])</f>
        <v>0.98747774599427895</v>
      </c>
    </row>
    <row r="157" spans="1:19" x14ac:dyDescent="0.25">
      <c r="A157" t="s">
        <v>204</v>
      </c>
      <c r="B157" t="s">
        <v>49</v>
      </c>
      <c r="C157" t="s">
        <v>46</v>
      </c>
      <c r="D157" t="s">
        <v>32</v>
      </c>
      <c r="E157">
        <v>40</v>
      </c>
      <c r="F157" t="str">
        <f>IF(MediCare_Data[[#This Row],[Patient_Age]]&lt;=18,"0-18",IF(MediCare_Data[[#This Row],[Patient_Age]]&lt;=35,"19-35",IF(MediCare_Data[[#This Row],[Patient_Age]]&lt;=60,"36-60","60+")))</f>
        <v>36-60</v>
      </c>
      <c r="G157" t="s">
        <v>22</v>
      </c>
      <c r="H157" t="s">
        <v>37</v>
      </c>
      <c r="I157" s="2">
        <v>53</v>
      </c>
      <c r="J157" s="11">
        <v>3677</v>
      </c>
      <c r="K157" s="3">
        <v>12.97326056</v>
      </c>
      <c r="L157" s="3">
        <f t="shared" si="2"/>
        <v>0.12973260559999999</v>
      </c>
      <c r="M157">
        <v>108</v>
      </c>
      <c r="N157" s="6">
        <f>MediCare_Data[[#This Row],[Average_Wait_Time (mins)]]/1440</f>
        <v>7.4999999999999997E-2</v>
      </c>
      <c r="O157" s="2">
        <v>3</v>
      </c>
      <c r="P157" s="10">
        <v>6313</v>
      </c>
      <c r="Q157" s="17" t="str">
        <f>IF(AND(MediCare_Data[[#This Row],[Patient_Gender]]="Male", MediCare_Data[[#This Row],[Treatment_Type]]="Maternity"), "Gender-Treatment Mismatch", "Fine")</f>
        <v>Fine</v>
      </c>
      <c r="R157" s="10">
        <f>MediCare_Data[[#This Row],[Revenue_Generated]]-MediCare_Data[[#This Row],[Average_Treatment_Cost]]</f>
        <v>2636</v>
      </c>
      <c r="S157" s="3">
        <f>(MediCare_Data[[#This Row],[Profit]]/MediCare_Data[[#This Row],[Revenue_Generated]])</f>
        <v>0.41755108506256933</v>
      </c>
    </row>
    <row r="158" spans="1:19" x14ac:dyDescent="0.25">
      <c r="A158" t="s">
        <v>205</v>
      </c>
      <c r="B158" t="s">
        <v>64</v>
      </c>
      <c r="C158" t="s">
        <v>42</v>
      </c>
      <c r="D158" t="s">
        <v>32</v>
      </c>
      <c r="E158">
        <v>19</v>
      </c>
      <c r="F158" t="str">
        <f>IF(MediCare_Data[[#This Row],[Patient_Age]]&lt;=18,"0-18",IF(MediCare_Data[[#This Row],[Patient_Age]]&lt;=35,"19-35",IF(MediCare_Data[[#This Row],[Patient_Age]]&lt;=60,"36-60","60+")))</f>
        <v>19-35</v>
      </c>
      <c r="G158" t="s">
        <v>43</v>
      </c>
      <c r="H158" t="s">
        <v>51</v>
      </c>
      <c r="I158" s="2">
        <v>79</v>
      </c>
      <c r="J158" s="11">
        <v>9295</v>
      </c>
      <c r="K158" s="3">
        <v>7.9274798430000004</v>
      </c>
      <c r="L158" s="3">
        <f t="shared" si="2"/>
        <v>7.9274798430000001E-2</v>
      </c>
      <c r="M158">
        <v>56</v>
      </c>
      <c r="N158" s="6">
        <f>MediCare_Data[[#This Row],[Average_Wait_Time (mins)]]/1440</f>
        <v>3.888888888888889E-2</v>
      </c>
      <c r="O158" s="2">
        <v>1</v>
      </c>
      <c r="P158" s="10">
        <v>14598</v>
      </c>
      <c r="Q158" s="17" t="str">
        <f>IF(AND(MediCare_Data[[#This Row],[Patient_Gender]]="Male", MediCare_Data[[#This Row],[Treatment_Type]]="Maternity"), "Gender-Treatment Mismatch", "Fine")</f>
        <v>Fine</v>
      </c>
      <c r="R158" s="10">
        <f>MediCare_Data[[#This Row],[Revenue_Generated]]-MediCare_Data[[#This Row],[Average_Treatment_Cost]]</f>
        <v>5303</v>
      </c>
      <c r="S158" s="3">
        <f>(MediCare_Data[[#This Row],[Profit]]/MediCare_Data[[#This Row],[Revenue_Generated]])</f>
        <v>0.36326894095081519</v>
      </c>
    </row>
    <row r="159" spans="1:19" x14ac:dyDescent="0.25">
      <c r="A159" t="s">
        <v>206</v>
      </c>
      <c r="B159" t="s">
        <v>82</v>
      </c>
      <c r="C159" t="s">
        <v>15</v>
      </c>
      <c r="D159" t="s">
        <v>16</v>
      </c>
      <c r="E159">
        <v>73</v>
      </c>
      <c r="F159" t="str">
        <f>IF(MediCare_Data[[#This Row],[Patient_Age]]&lt;=18,"0-18",IF(MediCare_Data[[#This Row],[Patient_Age]]&lt;=35,"19-35",IF(MediCare_Data[[#This Row],[Patient_Age]]&lt;=60,"36-60","60+")))</f>
        <v>60+</v>
      </c>
      <c r="G159" t="s">
        <v>17</v>
      </c>
      <c r="H159" t="s">
        <v>23</v>
      </c>
      <c r="I159" s="2">
        <v>86</v>
      </c>
      <c r="J159" s="11">
        <v>6524</v>
      </c>
      <c r="K159" s="3">
        <v>12.35068845</v>
      </c>
      <c r="L159" s="3">
        <f t="shared" si="2"/>
        <v>0.1235068845</v>
      </c>
      <c r="M159">
        <v>155</v>
      </c>
      <c r="N159" s="6">
        <f>MediCare_Data[[#This Row],[Average_Wait_Time (mins)]]/1440</f>
        <v>0.1076388888888889</v>
      </c>
      <c r="O159" s="2">
        <v>4</v>
      </c>
      <c r="P159" s="10">
        <v>46826</v>
      </c>
      <c r="Q159" s="17" t="str">
        <f>IF(AND(MediCare_Data[[#This Row],[Patient_Gender]]="Male", MediCare_Data[[#This Row],[Treatment_Type]]="Maternity"), "Gender-Treatment Mismatch", "Fine")</f>
        <v>Fine</v>
      </c>
      <c r="R159" s="10">
        <f>MediCare_Data[[#This Row],[Revenue_Generated]]-MediCare_Data[[#This Row],[Average_Treatment_Cost]]</f>
        <v>40302</v>
      </c>
      <c r="S159" s="3">
        <f>(MediCare_Data[[#This Row],[Profit]]/MediCare_Data[[#This Row],[Revenue_Generated]])</f>
        <v>0.86067569299107338</v>
      </c>
    </row>
    <row r="160" spans="1:19" x14ac:dyDescent="0.25">
      <c r="A160" t="s">
        <v>207</v>
      </c>
      <c r="B160" t="s">
        <v>35</v>
      </c>
      <c r="C160" t="s">
        <v>42</v>
      </c>
      <c r="D160" t="s">
        <v>32</v>
      </c>
      <c r="E160">
        <v>83</v>
      </c>
      <c r="F160" t="str">
        <f>IF(MediCare_Data[[#This Row],[Patient_Age]]&lt;=18,"0-18",IF(MediCare_Data[[#This Row],[Patient_Age]]&lt;=35,"19-35",IF(MediCare_Data[[#This Row],[Patient_Age]]&lt;=60,"36-60","60+")))</f>
        <v>60+</v>
      </c>
      <c r="G160" t="s">
        <v>43</v>
      </c>
      <c r="H160" t="s">
        <v>47</v>
      </c>
      <c r="I160" s="2">
        <v>72</v>
      </c>
      <c r="J160" s="11">
        <v>5609</v>
      </c>
      <c r="K160" s="3">
        <v>6.3634461880000002</v>
      </c>
      <c r="L160" s="3">
        <f t="shared" si="2"/>
        <v>6.3634461880000007E-2</v>
      </c>
      <c r="M160">
        <v>114</v>
      </c>
      <c r="N160" s="6">
        <f>MediCare_Data[[#This Row],[Average_Wait_Time (mins)]]/1440</f>
        <v>7.9166666666666663E-2</v>
      </c>
      <c r="O160" s="2">
        <v>1</v>
      </c>
      <c r="P160" s="10">
        <v>29807</v>
      </c>
      <c r="Q160" s="17" t="str">
        <f>IF(AND(MediCare_Data[[#This Row],[Patient_Gender]]="Male", MediCare_Data[[#This Row],[Treatment_Type]]="Maternity"), "Gender-Treatment Mismatch", "Fine")</f>
        <v>Fine</v>
      </c>
      <c r="R160" s="10">
        <f>MediCare_Data[[#This Row],[Revenue_Generated]]-MediCare_Data[[#This Row],[Average_Treatment_Cost]]</f>
        <v>24198</v>
      </c>
      <c r="S160" s="3">
        <f>(MediCare_Data[[#This Row],[Profit]]/MediCare_Data[[#This Row],[Revenue_Generated]])</f>
        <v>0.81182272620525375</v>
      </c>
    </row>
    <row r="161" spans="1:19" x14ac:dyDescent="0.25">
      <c r="A161" t="s">
        <v>208</v>
      </c>
      <c r="B161" t="s">
        <v>41</v>
      </c>
      <c r="C161" t="s">
        <v>29</v>
      </c>
      <c r="D161" t="s">
        <v>21</v>
      </c>
      <c r="E161">
        <v>54</v>
      </c>
      <c r="F161" t="str">
        <f>IF(MediCare_Data[[#This Row],[Patient_Age]]&lt;=18,"0-18",IF(MediCare_Data[[#This Row],[Patient_Age]]&lt;=35,"19-35",IF(MediCare_Data[[#This Row],[Patient_Age]]&lt;=60,"36-60","60+")))</f>
        <v>36-60</v>
      </c>
      <c r="G161" t="s">
        <v>43</v>
      </c>
      <c r="H161" t="s">
        <v>18</v>
      </c>
      <c r="I161" s="2">
        <v>88</v>
      </c>
      <c r="J161" s="11">
        <v>4646</v>
      </c>
      <c r="K161" s="3">
        <v>5.5162381390000004</v>
      </c>
      <c r="L161" s="3">
        <f t="shared" si="2"/>
        <v>5.5162381390000001E-2</v>
      </c>
      <c r="M161">
        <v>133</v>
      </c>
      <c r="N161" s="6">
        <f>MediCare_Data[[#This Row],[Average_Wait_Time (mins)]]/1440</f>
        <v>9.2361111111111116E-2</v>
      </c>
      <c r="O161" s="2">
        <v>3</v>
      </c>
      <c r="P161" s="10">
        <v>5887</v>
      </c>
      <c r="Q161" s="17" t="str">
        <f>IF(AND(MediCare_Data[[#This Row],[Patient_Gender]]="Male", MediCare_Data[[#This Row],[Treatment_Type]]="Maternity"), "Gender-Treatment Mismatch", "Fine")</f>
        <v>Fine</v>
      </c>
      <c r="R161" s="10">
        <f>MediCare_Data[[#This Row],[Revenue_Generated]]-MediCare_Data[[#This Row],[Average_Treatment_Cost]]</f>
        <v>1241</v>
      </c>
      <c r="S161" s="3">
        <f>(MediCare_Data[[#This Row],[Profit]]/MediCare_Data[[#This Row],[Revenue_Generated]])</f>
        <v>0.21080346526244267</v>
      </c>
    </row>
    <row r="162" spans="1:19" x14ac:dyDescent="0.25">
      <c r="A162" t="s">
        <v>209</v>
      </c>
      <c r="B162" t="s">
        <v>14</v>
      </c>
      <c r="C162" t="s">
        <v>29</v>
      </c>
      <c r="D162" t="s">
        <v>16</v>
      </c>
      <c r="E162">
        <v>24</v>
      </c>
      <c r="F162" t="str">
        <f>IF(MediCare_Data[[#This Row],[Patient_Age]]&lt;=18,"0-18",IF(MediCare_Data[[#This Row],[Patient_Age]]&lt;=35,"19-35",IF(MediCare_Data[[#This Row],[Patient_Age]]&lt;=60,"36-60","60+")))</f>
        <v>19-35</v>
      </c>
      <c r="G162" t="s">
        <v>22</v>
      </c>
      <c r="H162" t="s">
        <v>18</v>
      </c>
      <c r="I162" s="2">
        <v>94</v>
      </c>
      <c r="J162" s="11">
        <v>7696</v>
      </c>
      <c r="K162" s="3">
        <v>7.7033257830000004</v>
      </c>
      <c r="L162" s="3">
        <f t="shared" si="2"/>
        <v>7.7033257830000007E-2</v>
      </c>
      <c r="M162">
        <v>22</v>
      </c>
      <c r="N162" s="6">
        <f>MediCare_Data[[#This Row],[Average_Wait_Time (mins)]]/1440</f>
        <v>1.5277777777777777E-2</v>
      </c>
      <c r="O162" s="2">
        <v>2</v>
      </c>
      <c r="P162" s="10">
        <v>4854</v>
      </c>
      <c r="Q162" s="17" t="str">
        <f>IF(AND(MediCare_Data[[#This Row],[Patient_Gender]]="Male", MediCare_Data[[#This Row],[Treatment_Type]]="Maternity"), "Gender-Treatment Mismatch", "Fine")</f>
        <v>Fine</v>
      </c>
      <c r="R162" s="10">
        <f>MediCare_Data[[#This Row],[Revenue_Generated]]-MediCare_Data[[#This Row],[Average_Treatment_Cost]]</f>
        <v>-2842</v>
      </c>
      <c r="S162" s="3">
        <f>(MediCare_Data[[#This Row],[Profit]]/MediCare_Data[[#This Row],[Revenue_Generated]])</f>
        <v>-0.58549649773382773</v>
      </c>
    </row>
    <row r="163" spans="1:19" x14ac:dyDescent="0.25">
      <c r="A163" t="s">
        <v>210</v>
      </c>
      <c r="B163" t="s">
        <v>61</v>
      </c>
      <c r="C163" t="s">
        <v>46</v>
      </c>
      <c r="D163" t="s">
        <v>16</v>
      </c>
      <c r="E163">
        <v>81</v>
      </c>
      <c r="F163" t="str">
        <f>IF(MediCare_Data[[#This Row],[Patient_Age]]&lt;=18,"0-18",IF(MediCare_Data[[#This Row],[Patient_Age]]&lt;=35,"19-35",IF(MediCare_Data[[#This Row],[Patient_Age]]&lt;=60,"36-60","60+")))</f>
        <v>60+</v>
      </c>
      <c r="G163" t="s">
        <v>22</v>
      </c>
      <c r="H163" t="s">
        <v>51</v>
      </c>
      <c r="I163" s="2">
        <v>64</v>
      </c>
      <c r="J163" s="11">
        <v>3868</v>
      </c>
      <c r="K163" s="3">
        <v>24.26230223</v>
      </c>
      <c r="L163" s="3">
        <f t="shared" si="2"/>
        <v>0.24262302229999999</v>
      </c>
      <c r="M163">
        <v>150</v>
      </c>
      <c r="N163" s="6">
        <f>MediCare_Data[[#This Row],[Average_Wait_Time (mins)]]/1440</f>
        <v>0.10416666666666667</v>
      </c>
      <c r="O163" s="2">
        <v>2</v>
      </c>
      <c r="P163" s="10">
        <v>46226</v>
      </c>
      <c r="Q163" s="17" t="str">
        <f>IF(AND(MediCare_Data[[#This Row],[Patient_Gender]]="Male", MediCare_Data[[#This Row],[Treatment_Type]]="Maternity"), "Gender-Treatment Mismatch", "Fine")</f>
        <v>Fine</v>
      </c>
      <c r="R163" s="10">
        <f>MediCare_Data[[#This Row],[Revenue_Generated]]-MediCare_Data[[#This Row],[Average_Treatment_Cost]]</f>
        <v>42358</v>
      </c>
      <c r="S163" s="3">
        <f>(MediCare_Data[[#This Row],[Profit]]/MediCare_Data[[#This Row],[Revenue_Generated]])</f>
        <v>0.91632414658417338</v>
      </c>
    </row>
    <row r="164" spans="1:19" x14ac:dyDescent="0.25">
      <c r="A164" t="s">
        <v>211</v>
      </c>
      <c r="B164" t="s">
        <v>56</v>
      </c>
      <c r="C164" t="s">
        <v>46</v>
      </c>
      <c r="D164" t="s">
        <v>32</v>
      </c>
      <c r="E164">
        <v>71</v>
      </c>
      <c r="F164" t="str">
        <f>IF(MediCare_Data[[#This Row],[Patient_Age]]&lt;=18,"0-18",IF(MediCare_Data[[#This Row],[Patient_Age]]&lt;=35,"19-35",IF(MediCare_Data[[#This Row],[Patient_Age]]&lt;=60,"36-60","60+")))</f>
        <v>60+</v>
      </c>
      <c r="G164" t="s">
        <v>17</v>
      </c>
      <c r="H164" t="s">
        <v>47</v>
      </c>
      <c r="I164" s="2">
        <v>92</v>
      </c>
      <c r="J164" s="11">
        <v>4297</v>
      </c>
      <c r="K164" s="3">
        <v>15.99059072</v>
      </c>
      <c r="L164" s="3">
        <f t="shared" si="2"/>
        <v>0.1599059072</v>
      </c>
      <c r="M164">
        <v>109</v>
      </c>
      <c r="N164" s="6">
        <f>MediCare_Data[[#This Row],[Average_Wait_Time (mins)]]/1440</f>
        <v>7.5694444444444439E-2</v>
      </c>
      <c r="O164" s="2">
        <v>2</v>
      </c>
      <c r="P164" s="10">
        <v>15536</v>
      </c>
      <c r="Q164" s="17" t="str">
        <f>IF(AND(MediCare_Data[[#This Row],[Patient_Gender]]="Male", MediCare_Data[[#This Row],[Treatment_Type]]="Maternity"), "Gender-Treatment Mismatch", "Fine")</f>
        <v>Fine</v>
      </c>
      <c r="R164" s="10">
        <f>MediCare_Data[[#This Row],[Revenue_Generated]]-MediCare_Data[[#This Row],[Average_Treatment_Cost]]</f>
        <v>11239</v>
      </c>
      <c r="S164" s="3">
        <f>(MediCare_Data[[#This Row],[Profit]]/MediCare_Data[[#This Row],[Revenue_Generated]])</f>
        <v>0.72341658084449023</v>
      </c>
    </row>
    <row r="165" spans="1:19" x14ac:dyDescent="0.25">
      <c r="A165" t="s">
        <v>212</v>
      </c>
      <c r="B165" t="s">
        <v>56</v>
      </c>
      <c r="C165" t="s">
        <v>42</v>
      </c>
      <c r="D165" t="s">
        <v>32</v>
      </c>
      <c r="E165">
        <v>22</v>
      </c>
      <c r="F165" t="str">
        <f>IF(MediCare_Data[[#This Row],[Patient_Age]]&lt;=18,"0-18",IF(MediCare_Data[[#This Row],[Patient_Age]]&lt;=35,"19-35",IF(MediCare_Data[[#This Row],[Patient_Age]]&lt;=60,"36-60","60+")))</f>
        <v>19-35</v>
      </c>
      <c r="G165" t="s">
        <v>17</v>
      </c>
      <c r="H165" t="s">
        <v>47</v>
      </c>
      <c r="I165" s="2">
        <v>78</v>
      </c>
      <c r="J165" s="11">
        <v>2292</v>
      </c>
      <c r="K165" s="3">
        <v>24.31644322</v>
      </c>
      <c r="L165" s="3">
        <f t="shared" si="2"/>
        <v>0.2431644322</v>
      </c>
      <c r="M165">
        <v>40</v>
      </c>
      <c r="N165" s="6">
        <f>MediCare_Data[[#This Row],[Average_Wait_Time (mins)]]/1440</f>
        <v>2.7777777777777776E-2</v>
      </c>
      <c r="O165" s="2">
        <v>4</v>
      </c>
      <c r="P165" s="10">
        <v>4558</v>
      </c>
      <c r="Q165" s="17" t="str">
        <f>IF(AND(MediCare_Data[[#This Row],[Patient_Gender]]="Male", MediCare_Data[[#This Row],[Treatment_Type]]="Maternity"), "Gender-Treatment Mismatch", "Fine")</f>
        <v>Fine</v>
      </c>
      <c r="R165" s="10">
        <f>MediCare_Data[[#This Row],[Revenue_Generated]]-MediCare_Data[[#This Row],[Average_Treatment_Cost]]</f>
        <v>2266</v>
      </c>
      <c r="S165" s="3">
        <f>(MediCare_Data[[#This Row],[Profit]]/MediCare_Data[[#This Row],[Revenue_Generated]])</f>
        <v>0.4971478718736288</v>
      </c>
    </row>
    <row r="166" spans="1:19" x14ac:dyDescent="0.25">
      <c r="A166" t="s">
        <v>213</v>
      </c>
      <c r="B166" t="s">
        <v>53</v>
      </c>
      <c r="C166" t="s">
        <v>20</v>
      </c>
      <c r="D166" t="s">
        <v>32</v>
      </c>
      <c r="E166">
        <v>89</v>
      </c>
      <c r="F166" t="str">
        <f>IF(MediCare_Data[[#This Row],[Patient_Age]]&lt;=18,"0-18",IF(MediCare_Data[[#This Row],[Patient_Age]]&lt;=35,"19-35",IF(MediCare_Data[[#This Row],[Patient_Age]]&lt;=60,"36-60","60+")))</f>
        <v>60+</v>
      </c>
      <c r="G166" t="s">
        <v>17</v>
      </c>
      <c r="H166" t="s">
        <v>23</v>
      </c>
      <c r="I166" s="2">
        <v>85</v>
      </c>
      <c r="J166" s="11">
        <v>6232</v>
      </c>
      <c r="K166" s="3">
        <v>13.64995757</v>
      </c>
      <c r="L166" s="3">
        <f t="shared" si="2"/>
        <v>0.13649957569999999</v>
      </c>
      <c r="M166">
        <v>139</v>
      </c>
      <c r="N166" s="6">
        <f>MediCare_Data[[#This Row],[Average_Wait_Time (mins)]]/1440</f>
        <v>9.6527777777777782E-2</v>
      </c>
      <c r="O166" s="2">
        <v>2</v>
      </c>
      <c r="P166" s="10">
        <v>10772</v>
      </c>
      <c r="Q166" s="17" t="str">
        <f>IF(AND(MediCare_Data[[#This Row],[Patient_Gender]]="Male", MediCare_Data[[#This Row],[Treatment_Type]]="Maternity"), "Gender-Treatment Mismatch", "Fine")</f>
        <v>Fine</v>
      </c>
      <c r="R166" s="10">
        <f>MediCare_Data[[#This Row],[Revenue_Generated]]-MediCare_Data[[#This Row],[Average_Treatment_Cost]]</f>
        <v>4540</v>
      </c>
      <c r="S166" s="3">
        <f>(MediCare_Data[[#This Row],[Profit]]/MediCare_Data[[#This Row],[Revenue_Generated]])</f>
        <v>0.42146305235796511</v>
      </c>
    </row>
    <row r="167" spans="1:19" x14ac:dyDescent="0.25">
      <c r="A167" t="s">
        <v>214</v>
      </c>
      <c r="B167" t="s">
        <v>61</v>
      </c>
      <c r="C167" t="s">
        <v>42</v>
      </c>
      <c r="D167" t="s">
        <v>21</v>
      </c>
      <c r="E167">
        <v>5</v>
      </c>
      <c r="F167" t="str">
        <f>IF(MediCare_Data[[#This Row],[Patient_Age]]&lt;=18,"0-18",IF(MediCare_Data[[#This Row],[Patient_Age]]&lt;=35,"19-35",IF(MediCare_Data[[#This Row],[Patient_Age]]&lt;=60,"36-60","60+")))</f>
        <v>0-18</v>
      </c>
      <c r="G167" t="s">
        <v>43</v>
      </c>
      <c r="H167" t="s">
        <v>33</v>
      </c>
      <c r="I167" s="2">
        <v>62</v>
      </c>
      <c r="J167" s="11">
        <v>3976</v>
      </c>
      <c r="K167" s="3">
        <v>11.236322660000001</v>
      </c>
      <c r="L167" s="3">
        <f t="shared" si="2"/>
        <v>0.1123632266</v>
      </c>
      <c r="M167">
        <v>25</v>
      </c>
      <c r="N167" s="6">
        <f>MediCare_Data[[#This Row],[Average_Wait_Time (mins)]]/1440</f>
        <v>1.7361111111111112E-2</v>
      </c>
      <c r="O167" s="2">
        <v>4</v>
      </c>
      <c r="P167" s="10">
        <v>37343</v>
      </c>
      <c r="Q167" s="17" t="str">
        <f>IF(AND(MediCare_Data[[#This Row],[Patient_Gender]]="Male", MediCare_Data[[#This Row],[Treatment_Type]]="Maternity"), "Gender-Treatment Mismatch", "Fine")</f>
        <v>Fine</v>
      </c>
      <c r="R167" s="10">
        <f>MediCare_Data[[#This Row],[Revenue_Generated]]-MediCare_Data[[#This Row],[Average_Treatment_Cost]]</f>
        <v>33367</v>
      </c>
      <c r="S167" s="3">
        <f>(MediCare_Data[[#This Row],[Profit]]/MediCare_Data[[#This Row],[Revenue_Generated]])</f>
        <v>0.89352756875451889</v>
      </c>
    </row>
    <row r="168" spans="1:19" x14ac:dyDescent="0.25">
      <c r="A168" t="s">
        <v>215</v>
      </c>
      <c r="B168" t="s">
        <v>56</v>
      </c>
      <c r="C168" t="s">
        <v>29</v>
      </c>
      <c r="D168" t="s">
        <v>32</v>
      </c>
      <c r="E168">
        <v>60</v>
      </c>
      <c r="F168" t="str">
        <f>IF(MediCare_Data[[#This Row],[Patient_Age]]&lt;=18,"0-18",IF(MediCare_Data[[#This Row],[Patient_Age]]&lt;=35,"19-35",IF(MediCare_Data[[#This Row],[Patient_Age]]&lt;=60,"36-60","60+")))</f>
        <v>36-60</v>
      </c>
      <c r="G168" t="s">
        <v>17</v>
      </c>
      <c r="H168" t="s">
        <v>23</v>
      </c>
      <c r="I168" s="2">
        <v>81</v>
      </c>
      <c r="J168" s="11">
        <v>3917</v>
      </c>
      <c r="K168" s="3">
        <v>15.122837260000001</v>
      </c>
      <c r="L168" s="3">
        <f t="shared" si="2"/>
        <v>0.15122837259999999</v>
      </c>
      <c r="M168">
        <v>146</v>
      </c>
      <c r="N168" s="6">
        <f>MediCare_Data[[#This Row],[Average_Wait_Time (mins)]]/1440</f>
        <v>0.10138888888888889</v>
      </c>
      <c r="O168" s="2">
        <v>3</v>
      </c>
      <c r="P168" s="10">
        <v>36186</v>
      </c>
      <c r="Q168" s="17" t="str">
        <f>IF(AND(MediCare_Data[[#This Row],[Patient_Gender]]="Male", MediCare_Data[[#This Row],[Treatment_Type]]="Maternity"), "Gender-Treatment Mismatch", "Fine")</f>
        <v>Fine</v>
      </c>
      <c r="R168" s="10">
        <f>MediCare_Data[[#This Row],[Revenue_Generated]]-MediCare_Data[[#This Row],[Average_Treatment_Cost]]</f>
        <v>32269</v>
      </c>
      <c r="S168" s="3">
        <f>(MediCare_Data[[#This Row],[Profit]]/MediCare_Data[[#This Row],[Revenue_Generated]])</f>
        <v>0.89175371690709115</v>
      </c>
    </row>
    <row r="169" spans="1:19" x14ac:dyDescent="0.25">
      <c r="A169" t="s">
        <v>216</v>
      </c>
      <c r="B169" t="s">
        <v>61</v>
      </c>
      <c r="C169" t="s">
        <v>42</v>
      </c>
      <c r="D169" t="s">
        <v>16</v>
      </c>
      <c r="E169">
        <v>36</v>
      </c>
      <c r="F169" t="str">
        <f>IF(MediCare_Data[[#This Row],[Patient_Age]]&lt;=18,"0-18",IF(MediCare_Data[[#This Row],[Patient_Age]]&lt;=35,"19-35",IF(MediCare_Data[[#This Row],[Patient_Age]]&lt;=60,"36-60","60+")))</f>
        <v>36-60</v>
      </c>
      <c r="G169" t="s">
        <v>26</v>
      </c>
      <c r="H169" t="s">
        <v>18</v>
      </c>
      <c r="I169" s="2">
        <v>56</v>
      </c>
      <c r="J169" s="11">
        <v>2145</v>
      </c>
      <c r="K169" s="3">
        <v>13.79023377</v>
      </c>
      <c r="L169" s="3">
        <f t="shared" si="2"/>
        <v>0.13790233770000002</v>
      </c>
      <c r="M169">
        <v>82</v>
      </c>
      <c r="N169" s="6">
        <f>MediCare_Data[[#This Row],[Average_Wait_Time (mins)]]/1440</f>
        <v>5.6944444444444443E-2</v>
      </c>
      <c r="O169" s="2">
        <v>3</v>
      </c>
      <c r="P169" s="10">
        <v>37966</v>
      </c>
      <c r="Q169" s="17" t="str">
        <f>IF(AND(MediCare_Data[[#This Row],[Patient_Gender]]="Male", MediCare_Data[[#This Row],[Treatment_Type]]="Maternity"), "Gender-Treatment Mismatch", "Fine")</f>
        <v>Fine</v>
      </c>
      <c r="R169" s="10">
        <f>MediCare_Data[[#This Row],[Revenue_Generated]]-MediCare_Data[[#This Row],[Average_Treatment_Cost]]</f>
        <v>35821</v>
      </c>
      <c r="S169" s="3">
        <f>(MediCare_Data[[#This Row],[Profit]]/MediCare_Data[[#This Row],[Revenue_Generated]])</f>
        <v>0.94350208080914499</v>
      </c>
    </row>
    <row r="170" spans="1:19" x14ac:dyDescent="0.25">
      <c r="A170" t="s">
        <v>217</v>
      </c>
      <c r="B170" t="s">
        <v>61</v>
      </c>
      <c r="C170" t="s">
        <v>15</v>
      </c>
      <c r="D170" t="s">
        <v>32</v>
      </c>
      <c r="E170">
        <v>16</v>
      </c>
      <c r="F170" t="str">
        <f>IF(MediCare_Data[[#This Row],[Patient_Age]]&lt;=18,"0-18",IF(MediCare_Data[[#This Row],[Patient_Age]]&lt;=35,"19-35",IF(MediCare_Data[[#This Row],[Patient_Age]]&lt;=60,"36-60","60+")))</f>
        <v>0-18</v>
      </c>
      <c r="G170" t="s">
        <v>26</v>
      </c>
      <c r="H170" t="s">
        <v>18</v>
      </c>
      <c r="I170" s="2">
        <v>71</v>
      </c>
      <c r="J170" s="11">
        <v>9897</v>
      </c>
      <c r="K170" s="3">
        <v>7.1132936850000004</v>
      </c>
      <c r="L170" s="3">
        <f t="shared" si="2"/>
        <v>7.1132936850000009E-2</v>
      </c>
      <c r="M170">
        <v>175</v>
      </c>
      <c r="N170" s="6">
        <f>MediCare_Data[[#This Row],[Average_Wait_Time (mins)]]/1440</f>
        <v>0.12152777777777778</v>
      </c>
      <c r="O170" s="2">
        <v>4</v>
      </c>
      <c r="P170" s="10">
        <v>34769</v>
      </c>
      <c r="Q170" s="17" t="str">
        <f>IF(AND(MediCare_Data[[#This Row],[Patient_Gender]]="Male", MediCare_Data[[#This Row],[Treatment_Type]]="Maternity"), "Gender-Treatment Mismatch", "Fine")</f>
        <v>Fine</v>
      </c>
      <c r="R170" s="10">
        <f>MediCare_Data[[#This Row],[Revenue_Generated]]-MediCare_Data[[#This Row],[Average_Treatment_Cost]]</f>
        <v>24872</v>
      </c>
      <c r="S170" s="3">
        <f>(MediCare_Data[[#This Row],[Profit]]/MediCare_Data[[#This Row],[Revenue_Generated]])</f>
        <v>0.71534988064080074</v>
      </c>
    </row>
    <row r="171" spans="1:19" x14ac:dyDescent="0.25">
      <c r="A171" t="s">
        <v>218</v>
      </c>
      <c r="B171" t="s">
        <v>45</v>
      </c>
      <c r="C171" t="s">
        <v>20</v>
      </c>
      <c r="D171" t="s">
        <v>32</v>
      </c>
      <c r="E171">
        <v>57</v>
      </c>
      <c r="F171" t="str">
        <f>IF(MediCare_Data[[#This Row],[Patient_Age]]&lt;=18,"0-18",IF(MediCare_Data[[#This Row],[Patient_Age]]&lt;=35,"19-35",IF(MediCare_Data[[#This Row],[Patient_Age]]&lt;=60,"36-60","60+")))</f>
        <v>36-60</v>
      </c>
      <c r="G171" t="s">
        <v>43</v>
      </c>
      <c r="H171" t="s">
        <v>33</v>
      </c>
      <c r="I171" s="2">
        <v>77</v>
      </c>
      <c r="J171" s="11">
        <v>3530</v>
      </c>
      <c r="K171" s="3">
        <v>17.816526289999999</v>
      </c>
      <c r="L171" s="3">
        <f t="shared" si="2"/>
        <v>0.17816526289999998</v>
      </c>
      <c r="M171">
        <v>63</v>
      </c>
      <c r="N171" s="6">
        <f>MediCare_Data[[#This Row],[Average_Wait_Time (mins)]]/1440</f>
        <v>4.3749999999999997E-2</v>
      </c>
      <c r="O171" s="2">
        <v>1</v>
      </c>
      <c r="P171" s="10">
        <v>40887</v>
      </c>
      <c r="Q171" s="17" t="str">
        <f>IF(AND(MediCare_Data[[#This Row],[Patient_Gender]]="Male", MediCare_Data[[#This Row],[Treatment_Type]]="Maternity"), "Gender-Treatment Mismatch", "Fine")</f>
        <v>Fine</v>
      </c>
      <c r="R171" s="10">
        <f>MediCare_Data[[#This Row],[Revenue_Generated]]-MediCare_Data[[#This Row],[Average_Treatment_Cost]]</f>
        <v>37357</v>
      </c>
      <c r="S171" s="3">
        <f>(MediCare_Data[[#This Row],[Profit]]/MediCare_Data[[#This Row],[Revenue_Generated]])</f>
        <v>0.91366448993567639</v>
      </c>
    </row>
    <row r="172" spans="1:19" x14ac:dyDescent="0.25">
      <c r="A172" t="s">
        <v>219</v>
      </c>
      <c r="B172" t="s">
        <v>14</v>
      </c>
      <c r="C172" t="s">
        <v>29</v>
      </c>
      <c r="D172" t="s">
        <v>16</v>
      </c>
      <c r="E172">
        <v>7</v>
      </c>
      <c r="F172" t="str">
        <f>IF(MediCare_Data[[#This Row],[Patient_Age]]&lt;=18,"0-18",IF(MediCare_Data[[#This Row],[Patient_Age]]&lt;=35,"19-35",IF(MediCare_Data[[#This Row],[Patient_Age]]&lt;=60,"36-60","60+")))</f>
        <v>0-18</v>
      </c>
      <c r="G172" t="s">
        <v>22</v>
      </c>
      <c r="H172" t="s">
        <v>18</v>
      </c>
      <c r="I172" s="2">
        <v>51</v>
      </c>
      <c r="J172" s="11">
        <v>3372</v>
      </c>
      <c r="K172" s="3">
        <v>9.32076365</v>
      </c>
      <c r="L172" s="3">
        <f t="shared" si="2"/>
        <v>9.3207636499999996E-2</v>
      </c>
      <c r="M172">
        <v>109</v>
      </c>
      <c r="N172" s="6">
        <f>MediCare_Data[[#This Row],[Average_Wait_Time (mins)]]/1440</f>
        <v>7.5694444444444439E-2</v>
      </c>
      <c r="O172" s="2">
        <v>2</v>
      </c>
      <c r="P172" s="10">
        <v>20229</v>
      </c>
      <c r="Q172" s="17" t="str">
        <f>IF(AND(MediCare_Data[[#This Row],[Patient_Gender]]="Male", MediCare_Data[[#This Row],[Treatment_Type]]="Maternity"), "Gender-Treatment Mismatch", "Fine")</f>
        <v>Fine</v>
      </c>
      <c r="R172" s="10">
        <f>MediCare_Data[[#This Row],[Revenue_Generated]]-MediCare_Data[[#This Row],[Average_Treatment_Cost]]</f>
        <v>16857</v>
      </c>
      <c r="S172" s="3">
        <f>(MediCare_Data[[#This Row],[Profit]]/MediCare_Data[[#This Row],[Revenue_Generated]])</f>
        <v>0.83330861634287412</v>
      </c>
    </row>
    <row r="173" spans="1:19" x14ac:dyDescent="0.25">
      <c r="A173" t="s">
        <v>220</v>
      </c>
      <c r="B173" t="s">
        <v>74</v>
      </c>
      <c r="C173" t="s">
        <v>29</v>
      </c>
      <c r="D173" t="s">
        <v>16</v>
      </c>
      <c r="E173">
        <v>7</v>
      </c>
      <c r="F173" t="str">
        <f>IF(MediCare_Data[[#This Row],[Patient_Age]]&lt;=18,"0-18",IF(MediCare_Data[[#This Row],[Patient_Age]]&lt;=35,"19-35",IF(MediCare_Data[[#This Row],[Patient_Age]]&lt;=60,"36-60","60+")))</f>
        <v>0-18</v>
      </c>
      <c r="G173" t="s">
        <v>17</v>
      </c>
      <c r="H173" t="s">
        <v>18</v>
      </c>
      <c r="I173" s="2">
        <v>91</v>
      </c>
      <c r="J173" s="11">
        <v>3572</v>
      </c>
      <c r="K173" s="3">
        <v>17.391759100000002</v>
      </c>
      <c r="L173" s="3">
        <f t="shared" si="2"/>
        <v>0.17391759100000001</v>
      </c>
      <c r="M173">
        <v>118</v>
      </c>
      <c r="N173" s="6">
        <f>MediCare_Data[[#This Row],[Average_Wait_Time (mins)]]/1440</f>
        <v>8.1944444444444445E-2</v>
      </c>
      <c r="O173" s="2">
        <v>2</v>
      </c>
      <c r="P173" s="10">
        <v>10673</v>
      </c>
      <c r="Q173" s="17" t="str">
        <f>IF(AND(MediCare_Data[[#This Row],[Patient_Gender]]="Male", MediCare_Data[[#This Row],[Treatment_Type]]="Maternity"), "Gender-Treatment Mismatch", "Fine")</f>
        <v>Fine</v>
      </c>
      <c r="R173" s="10">
        <f>MediCare_Data[[#This Row],[Revenue_Generated]]-MediCare_Data[[#This Row],[Average_Treatment_Cost]]</f>
        <v>7101</v>
      </c>
      <c r="S173" s="3">
        <f>(MediCare_Data[[#This Row],[Profit]]/MediCare_Data[[#This Row],[Revenue_Generated]])</f>
        <v>0.66532371404478596</v>
      </c>
    </row>
    <row r="174" spans="1:19" x14ac:dyDescent="0.25">
      <c r="A174" t="s">
        <v>221</v>
      </c>
      <c r="B174" t="s">
        <v>61</v>
      </c>
      <c r="C174" t="s">
        <v>42</v>
      </c>
      <c r="D174" t="s">
        <v>21</v>
      </c>
      <c r="E174">
        <v>31</v>
      </c>
      <c r="F174" t="str">
        <f>IF(MediCare_Data[[#This Row],[Patient_Age]]&lt;=18,"0-18",IF(MediCare_Data[[#This Row],[Patient_Age]]&lt;=35,"19-35",IF(MediCare_Data[[#This Row],[Patient_Age]]&lt;=60,"36-60","60+")))</f>
        <v>19-35</v>
      </c>
      <c r="G174" t="s">
        <v>26</v>
      </c>
      <c r="H174" t="s">
        <v>47</v>
      </c>
      <c r="I174" s="2">
        <v>94</v>
      </c>
      <c r="J174" s="11">
        <v>2354</v>
      </c>
      <c r="K174" s="3">
        <v>18.004021850000001</v>
      </c>
      <c r="L174" s="3">
        <f t="shared" si="2"/>
        <v>0.18004021850000002</v>
      </c>
      <c r="M174">
        <v>96</v>
      </c>
      <c r="N174" s="6">
        <f>MediCare_Data[[#This Row],[Average_Wait_Time (mins)]]/1440</f>
        <v>6.6666666666666666E-2</v>
      </c>
      <c r="O174" s="2">
        <v>2</v>
      </c>
      <c r="P174" s="10">
        <v>28877</v>
      </c>
      <c r="Q174" s="17" t="str">
        <f>IF(AND(MediCare_Data[[#This Row],[Patient_Gender]]="Male", MediCare_Data[[#This Row],[Treatment_Type]]="Maternity"), "Gender-Treatment Mismatch", "Fine")</f>
        <v>Fine</v>
      </c>
      <c r="R174" s="10">
        <f>MediCare_Data[[#This Row],[Revenue_Generated]]-MediCare_Data[[#This Row],[Average_Treatment_Cost]]</f>
        <v>26523</v>
      </c>
      <c r="S174" s="3">
        <f>(MediCare_Data[[#This Row],[Profit]]/MediCare_Data[[#This Row],[Revenue_Generated]])</f>
        <v>0.91848183675589568</v>
      </c>
    </row>
    <row r="175" spans="1:19" x14ac:dyDescent="0.25">
      <c r="A175" t="s">
        <v>222</v>
      </c>
      <c r="B175" t="s">
        <v>45</v>
      </c>
      <c r="C175" t="s">
        <v>54</v>
      </c>
      <c r="D175" t="s">
        <v>32</v>
      </c>
      <c r="E175">
        <v>88</v>
      </c>
      <c r="F175" t="str">
        <f>IF(MediCare_Data[[#This Row],[Patient_Age]]&lt;=18,"0-18",IF(MediCare_Data[[#This Row],[Patient_Age]]&lt;=35,"19-35",IF(MediCare_Data[[#This Row],[Patient_Age]]&lt;=60,"36-60","60+")))</f>
        <v>60+</v>
      </c>
      <c r="G175" t="s">
        <v>17</v>
      </c>
      <c r="H175" t="s">
        <v>33</v>
      </c>
      <c r="I175" s="2">
        <v>55</v>
      </c>
      <c r="J175" s="11">
        <v>4521</v>
      </c>
      <c r="K175" s="3">
        <v>8.0404970630000001</v>
      </c>
      <c r="L175" s="3">
        <f t="shared" si="2"/>
        <v>8.0404970630000003E-2</v>
      </c>
      <c r="M175">
        <v>171</v>
      </c>
      <c r="N175" s="6">
        <f>MediCare_Data[[#This Row],[Average_Wait_Time (mins)]]/1440</f>
        <v>0.11874999999999999</v>
      </c>
      <c r="O175" s="2">
        <v>4</v>
      </c>
      <c r="P175" s="10">
        <v>32601</v>
      </c>
      <c r="Q175" s="17" t="str">
        <f>IF(AND(MediCare_Data[[#This Row],[Patient_Gender]]="Male", MediCare_Data[[#This Row],[Treatment_Type]]="Maternity"), "Gender-Treatment Mismatch", "Fine")</f>
        <v>Fine</v>
      </c>
      <c r="R175" s="10">
        <f>MediCare_Data[[#This Row],[Revenue_Generated]]-MediCare_Data[[#This Row],[Average_Treatment_Cost]]</f>
        <v>28080</v>
      </c>
      <c r="S175" s="3">
        <f>(MediCare_Data[[#This Row],[Profit]]/MediCare_Data[[#This Row],[Revenue_Generated]])</f>
        <v>0.86132327229226102</v>
      </c>
    </row>
    <row r="176" spans="1:19" x14ac:dyDescent="0.25">
      <c r="A176" t="s">
        <v>223</v>
      </c>
      <c r="B176" t="s">
        <v>64</v>
      </c>
      <c r="C176" t="s">
        <v>31</v>
      </c>
      <c r="D176" t="s">
        <v>21</v>
      </c>
      <c r="E176">
        <v>54</v>
      </c>
      <c r="F176" t="str">
        <f>IF(MediCare_Data[[#This Row],[Patient_Age]]&lt;=18,"0-18",IF(MediCare_Data[[#This Row],[Patient_Age]]&lt;=35,"19-35",IF(MediCare_Data[[#This Row],[Patient_Age]]&lt;=60,"36-60","60+")))</f>
        <v>36-60</v>
      </c>
      <c r="G176" t="s">
        <v>26</v>
      </c>
      <c r="H176" t="s">
        <v>18</v>
      </c>
      <c r="I176" s="2">
        <v>77</v>
      </c>
      <c r="J176" s="11">
        <v>5162</v>
      </c>
      <c r="K176" s="3">
        <v>6.2269925419999996</v>
      </c>
      <c r="L176" s="3">
        <f t="shared" si="2"/>
        <v>6.2269925419999997E-2</v>
      </c>
      <c r="M176">
        <v>146</v>
      </c>
      <c r="N176" s="6">
        <f>MediCare_Data[[#This Row],[Average_Wait_Time (mins)]]/1440</f>
        <v>0.10138888888888889</v>
      </c>
      <c r="O176" s="2">
        <v>3</v>
      </c>
      <c r="P176" s="10">
        <v>39084</v>
      </c>
      <c r="Q176" s="17" t="str">
        <f>IF(AND(MediCare_Data[[#This Row],[Patient_Gender]]="Male", MediCare_Data[[#This Row],[Treatment_Type]]="Maternity"), "Gender-Treatment Mismatch", "Fine")</f>
        <v>Fine</v>
      </c>
      <c r="R176" s="10">
        <f>MediCare_Data[[#This Row],[Revenue_Generated]]-MediCare_Data[[#This Row],[Average_Treatment_Cost]]</f>
        <v>33922</v>
      </c>
      <c r="S176" s="3">
        <f>(MediCare_Data[[#This Row],[Profit]]/MediCare_Data[[#This Row],[Revenue_Generated]])</f>
        <v>0.86792549380820794</v>
      </c>
    </row>
    <row r="177" spans="1:19" x14ac:dyDescent="0.25">
      <c r="A177" t="s">
        <v>224</v>
      </c>
      <c r="B177" t="s">
        <v>41</v>
      </c>
      <c r="C177" t="s">
        <v>29</v>
      </c>
      <c r="D177" t="s">
        <v>16</v>
      </c>
      <c r="E177">
        <v>70</v>
      </c>
      <c r="F177" t="str">
        <f>IF(MediCare_Data[[#This Row],[Patient_Age]]&lt;=18,"0-18",IF(MediCare_Data[[#This Row],[Patient_Age]]&lt;=35,"19-35",IF(MediCare_Data[[#This Row],[Patient_Age]]&lt;=60,"36-60","60+")))</f>
        <v>60+</v>
      </c>
      <c r="G177" t="s">
        <v>26</v>
      </c>
      <c r="H177" t="s">
        <v>23</v>
      </c>
      <c r="I177" s="2">
        <v>77</v>
      </c>
      <c r="J177" s="11">
        <v>7014</v>
      </c>
      <c r="K177" s="3">
        <v>20.615231720000001</v>
      </c>
      <c r="L177" s="3">
        <f t="shared" si="2"/>
        <v>0.20615231720000002</v>
      </c>
      <c r="M177">
        <v>17</v>
      </c>
      <c r="N177" s="6">
        <f>MediCare_Data[[#This Row],[Average_Wait_Time (mins)]]/1440</f>
        <v>1.1805555555555555E-2</v>
      </c>
      <c r="O177" s="2">
        <v>2</v>
      </c>
      <c r="P177" s="10">
        <v>17244</v>
      </c>
      <c r="Q177" s="17" t="str">
        <f>IF(AND(MediCare_Data[[#This Row],[Patient_Gender]]="Male", MediCare_Data[[#This Row],[Treatment_Type]]="Maternity"), "Gender-Treatment Mismatch", "Fine")</f>
        <v>Fine</v>
      </c>
      <c r="R177" s="10">
        <f>MediCare_Data[[#This Row],[Revenue_Generated]]-MediCare_Data[[#This Row],[Average_Treatment_Cost]]</f>
        <v>10230</v>
      </c>
      <c r="S177" s="3">
        <f>(MediCare_Data[[#This Row],[Profit]]/MediCare_Data[[#This Row],[Revenue_Generated]])</f>
        <v>0.59324982602644394</v>
      </c>
    </row>
    <row r="178" spans="1:19" x14ac:dyDescent="0.25">
      <c r="A178" t="s">
        <v>225</v>
      </c>
      <c r="B178" t="s">
        <v>35</v>
      </c>
      <c r="C178" t="s">
        <v>36</v>
      </c>
      <c r="D178" t="s">
        <v>16</v>
      </c>
      <c r="E178">
        <v>42</v>
      </c>
      <c r="F178" t="str">
        <f>IF(MediCare_Data[[#This Row],[Patient_Age]]&lt;=18,"0-18",IF(MediCare_Data[[#This Row],[Patient_Age]]&lt;=35,"19-35",IF(MediCare_Data[[#This Row],[Patient_Age]]&lt;=60,"36-60","60+")))</f>
        <v>36-60</v>
      </c>
      <c r="G178" t="s">
        <v>17</v>
      </c>
      <c r="H178" t="s">
        <v>47</v>
      </c>
      <c r="I178" s="2">
        <v>93</v>
      </c>
      <c r="J178" s="11">
        <v>5531</v>
      </c>
      <c r="K178" s="3">
        <v>14.19600848</v>
      </c>
      <c r="L178" s="3">
        <f t="shared" si="2"/>
        <v>0.1419600848</v>
      </c>
      <c r="M178">
        <v>16</v>
      </c>
      <c r="N178" s="6">
        <f>MediCare_Data[[#This Row],[Average_Wait_Time (mins)]]/1440</f>
        <v>1.1111111111111112E-2</v>
      </c>
      <c r="O178" s="2">
        <v>3</v>
      </c>
      <c r="P178" s="10">
        <v>28356</v>
      </c>
      <c r="Q178" s="17" t="str">
        <f>IF(AND(MediCare_Data[[#This Row],[Patient_Gender]]="Male", MediCare_Data[[#This Row],[Treatment_Type]]="Maternity"), "Gender-Treatment Mismatch", "Fine")</f>
        <v>Fine</v>
      </c>
      <c r="R178" s="10">
        <f>MediCare_Data[[#This Row],[Revenue_Generated]]-MediCare_Data[[#This Row],[Average_Treatment_Cost]]</f>
        <v>22825</v>
      </c>
      <c r="S178" s="3">
        <f>(MediCare_Data[[#This Row],[Profit]]/MediCare_Data[[#This Row],[Revenue_Generated]])</f>
        <v>0.80494427987022144</v>
      </c>
    </row>
    <row r="179" spans="1:19" x14ac:dyDescent="0.25">
      <c r="A179" t="s">
        <v>226</v>
      </c>
      <c r="B179" t="s">
        <v>58</v>
      </c>
      <c r="C179" t="s">
        <v>36</v>
      </c>
      <c r="D179" t="s">
        <v>16</v>
      </c>
      <c r="E179">
        <v>59</v>
      </c>
      <c r="F179" t="str">
        <f>IF(MediCare_Data[[#This Row],[Patient_Age]]&lt;=18,"0-18",IF(MediCare_Data[[#This Row],[Patient_Age]]&lt;=35,"19-35",IF(MediCare_Data[[#This Row],[Patient_Age]]&lt;=60,"36-60","60+")))</f>
        <v>36-60</v>
      </c>
      <c r="G179" t="s">
        <v>26</v>
      </c>
      <c r="H179" t="s">
        <v>37</v>
      </c>
      <c r="I179" s="2">
        <v>93</v>
      </c>
      <c r="J179" s="11">
        <v>3208</v>
      </c>
      <c r="K179" s="3">
        <v>6.1632759100000003</v>
      </c>
      <c r="L179" s="3">
        <f t="shared" si="2"/>
        <v>6.1632759100000004E-2</v>
      </c>
      <c r="M179">
        <v>45</v>
      </c>
      <c r="N179" s="6">
        <f>MediCare_Data[[#This Row],[Average_Wait_Time (mins)]]/1440</f>
        <v>3.125E-2</v>
      </c>
      <c r="O179" s="2">
        <v>2</v>
      </c>
      <c r="P179" s="10">
        <v>17806</v>
      </c>
      <c r="Q179" s="17" t="str">
        <f>IF(AND(MediCare_Data[[#This Row],[Patient_Gender]]="Male", MediCare_Data[[#This Row],[Treatment_Type]]="Maternity"), "Gender-Treatment Mismatch", "Fine")</f>
        <v>Gender-Treatment Mismatch</v>
      </c>
      <c r="R179" s="10">
        <f>MediCare_Data[[#This Row],[Revenue_Generated]]-MediCare_Data[[#This Row],[Average_Treatment_Cost]]</f>
        <v>14598</v>
      </c>
      <c r="S179" s="3">
        <f>(MediCare_Data[[#This Row],[Profit]]/MediCare_Data[[#This Row],[Revenue_Generated]])</f>
        <v>0.81983601033359543</v>
      </c>
    </row>
    <row r="180" spans="1:19" x14ac:dyDescent="0.25">
      <c r="A180" t="s">
        <v>227</v>
      </c>
      <c r="B180" t="s">
        <v>28</v>
      </c>
      <c r="C180" t="s">
        <v>29</v>
      </c>
      <c r="D180" t="s">
        <v>16</v>
      </c>
      <c r="E180">
        <v>28</v>
      </c>
      <c r="F180" t="str">
        <f>IF(MediCare_Data[[#This Row],[Patient_Age]]&lt;=18,"0-18",IF(MediCare_Data[[#This Row],[Patient_Age]]&lt;=35,"19-35",IF(MediCare_Data[[#This Row],[Patient_Age]]&lt;=60,"36-60","60+")))</f>
        <v>19-35</v>
      </c>
      <c r="G180" t="s">
        <v>17</v>
      </c>
      <c r="H180" t="s">
        <v>33</v>
      </c>
      <c r="I180" s="2">
        <v>69</v>
      </c>
      <c r="J180" s="11">
        <v>7612</v>
      </c>
      <c r="K180" s="3">
        <v>24.897326339999999</v>
      </c>
      <c r="L180" s="3">
        <f t="shared" si="2"/>
        <v>0.24897326340000001</v>
      </c>
      <c r="M180">
        <v>27</v>
      </c>
      <c r="N180" s="6">
        <f>MediCare_Data[[#This Row],[Average_Wait_Time (mins)]]/1440</f>
        <v>1.8749999999999999E-2</v>
      </c>
      <c r="O180" s="2">
        <v>2</v>
      </c>
      <c r="P180" s="10">
        <v>24099</v>
      </c>
      <c r="Q180" s="17" t="str">
        <f>IF(AND(MediCare_Data[[#This Row],[Patient_Gender]]="Male", MediCare_Data[[#This Row],[Treatment_Type]]="Maternity"), "Gender-Treatment Mismatch", "Fine")</f>
        <v>Fine</v>
      </c>
      <c r="R180" s="10">
        <f>MediCare_Data[[#This Row],[Revenue_Generated]]-MediCare_Data[[#This Row],[Average_Treatment_Cost]]</f>
        <v>16487</v>
      </c>
      <c r="S180" s="3">
        <f>(MediCare_Data[[#This Row],[Profit]]/MediCare_Data[[#This Row],[Revenue_Generated]])</f>
        <v>0.68413627121457321</v>
      </c>
    </row>
    <row r="181" spans="1:19" x14ac:dyDescent="0.25">
      <c r="A181" t="s">
        <v>228</v>
      </c>
      <c r="B181" t="s">
        <v>49</v>
      </c>
      <c r="C181" t="s">
        <v>31</v>
      </c>
      <c r="D181" t="s">
        <v>16</v>
      </c>
      <c r="E181">
        <v>22</v>
      </c>
      <c r="F181" t="str">
        <f>IF(MediCare_Data[[#This Row],[Patient_Age]]&lt;=18,"0-18",IF(MediCare_Data[[#This Row],[Patient_Age]]&lt;=35,"19-35",IF(MediCare_Data[[#This Row],[Patient_Age]]&lt;=60,"36-60","60+")))</f>
        <v>19-35</v>
      </c>
      <c r="G181" t="s">
        <v>26</v>
      </c>
      <c r="H181" t="s">
        <v>51</v>
      </c>
      <c r="I181" s="2">
        <v>79</v>
      </c>
      <c r="J181" s="11">
        <v>8893</v>
      </c>
      <c r="K181" s="3">
        <v>6.1556112199999999</v>
      </c>
      <c r="L181" s="3">
        <f t="shared" si="2"/>
        <v>6.1556112199999999E-2</v>
      </c>
      <c r="M181">
        <v>12</v>
      </c>
      <c r="N181" s="6">
        <f>MediCare_Data[[#This Row],[Average_Wait_Time (mins)]]/1440</f>
        <v>8.3333333333333332E-3</v>
      </c>
      <c r="O181" s="2">
        <v>4</v>
      </c>
      <c r="P181" s="10">
        <v>45641</v>
      </c>
      <c r="Q181" s="17" t="str">
        <f>IF(AND(MediCare_Data[[#This Row],[Patient_Gender]]="Male", MediCare_Data[[#This Row],[Treatment_Type]]="Maternity"), "Gender-Treatment Mismatch", "Fine")</f>
        <v>Fine</v>
      </c>
      <c r="R181" s="10">
        <f>MediCare_Data[[#This Row],[Revenue_Generated]]-MediCare_Data[[#This Row],[Average_Treatment_Cost]]</f>
        <v>36748</v>
      </c>
      <c r="S181" s="3">
        <f>(MediCare_Data[[#This Row],[Profit]]/MediCare_Data[[#This Row],[Revenue_Generated]])</f>
        <v>0.80515326132205689</v>
      </c>
    </row>
    <row r="182" spans="1:19" x14ac:dyDescent="0.25">
      <c r="A182" t="s">
        <v>229</v>
      </c>
      <c r="B182" t="s">
        <v>61</v>
      </c>
      <c r="C182" t="s">
        <v>54</v>
      </c>
      <c r="D182" t="s">
        <v>21</v>
      </c>
      <c r="E182">
        <v>23</v>
      </c>
      <c r="F182" t="str">
        <f>IF(MediCare_Data[[#This Row],[Patient_Age]]&lt;=18,"0-18",IF(MediCare_Data[[#This Row],[Patient_Age]]&lt;=35,"19-35",IF(MediCare_Data[[#This Row],[Patient_Age]]&lt;=60,"36-60","60+")))</f>
        <v>19-35</v>
      </c>
      <c r="G182" t="s">
        <v>22</v>
      </c>
      <c r="H182" t="s">
        <v>23</v>
      </c>
      <c r="I182" s="2">
        <v>60</v>
      </c>
      <c r="J182" s="11">
        <v>4007</v>
      </c>
      <c r="K182" s="3">
        <v>18.900704579999999</v>
      </c>
      <c r="L182" s="3">
        <f t="shared" si="2"/>
        <v>0.1890070458</v>
      </c>
      <c r="M182">
        <v>37</v>
      </c>
      <c r="N182" s="6">
        <f>MediCare_Data[[#This Row],[Average_Wait_Time (mins)]]/1440</f>
        <v>2.5694444444444443E-2</v>
      </c>
      <c r="O182" s="2">
        <v>1</v>
      </c>
      <c r="P182" s="10">
        <v>38034</v>
      </c>
      <c r="Q182" s="17" t="str">
        <f>IF(AND(MediCare_Data[[#This Row],[Patient_Gender]]="Male", MediCare_Data[[#This Row],[Treatment_Type]]="Maternity"), "Gender-Treatment Mismatch", "Fine")</f>
        <v>Fine</v>
      </c>
      <c r="R182" s="10">
        <f>MediCare_Data[[#This Row],[Revenue_Generated]]-MediCare_Data[[#This Row],[Average_Treatment_Cost]]</f>
        <v>34027</v>
      </c>
      <c r="S182" s="3">
        <f>(MediCare_Data[[#This Row],[Profit]]/MediCare_Data[[#This Row],[Revenue_Generated]])</f>
        <v>0.89464689488352522</v>
      </c>
    </row>
    <row r="183" spans="1:19" x14ac:dyDescent="0.25">
      <c r="A183" t="s">
        <v>230</v>
      </c>
      <c r="B183" t="s">
        <v>35</v>
      </c>
      <c r="C183" t="s">
        <v>29</v>
      </c>
      <c r="D183" t="s">
        <v>32</v>
      </c>
      <c r="E183">
        <v>3</v>
      </c>
      <c r="F183" t="str">
        <f>IF(MediCare_Data[[#This Row],[Patient_Age]]&lt;=18,"0-18",IF(MediCare_Data[[#This Row],[Patient_Age]]&lt;=35,"19-35",IF(MediCare_Data[[#This Row],[Patient_Age]]&lt;=60,"36-60","60+")))</f>
        <v>0-18</v>
      </c>
      <c r="G183" t="s">
        <v>43</v>
      </c>
      <c r="H183" t="s">
        <v>51</v>
      </c>
      <c r="I183" s="2">
        <v>77</v>
      </c>
      <c r="J183" s="11">
        <v>6956</v>
      </c>
      <c r="K183" s="3">
        <v>24.673578509999999</v>
      </c>
      <c r="L183" s="3">
        <f t="shared" si="2"/>
        <v>0.24673578509999999</v>
      </c>
      <c r="M183">
        <v>79</v>
      </c>
      <c r="N183" s="6">
        <f>MediCare_Data[[#This Row],[Average_Wait_Time (mins)]]/1440</f>
        <v>5.486111111111111E-2</v>
      </c>
      <c r="O183" s="2">
        <v>4</v>
      </c>
      <c r="P183" s="10">
        <v>41317</v>
      </c>
      <c r="Q183" s="17" t="str">
        <f>IF(AND(MediCare_Data[[#This Row],[Patient_Gender]]="Male", MediCare_Data[[#This Row],[Treatment_Type]]="Maternity"), "Gender-Treatment Mismatch", "Fine")</f>
        <v>Fine</v>
      </c>
      <c r="R183" s="10">
        <f>MediCare_Data[[#This Row],[Revenue_Generated]]-MediCare_Data[[#This Row],[Average_Treatment_Cost]]</f>
        <v>34361</v>
      </c>
      <c r="S183" s="3">
        <f>(MediCare_Data[[#This Row],[Profit]]/MediCare_Data[[#This Row],[Revenue_Generated]])</f>
        <v>0.83164314930900118</v>
      </c>
    </row>
    <row r="184" spans="1:19" x14ac:dyDescent="0.25">
      <c r="A184" t="s">
        <v>231</v>
      </c>
      <c r="B184" t="s">
        <v>49</v>
      </c>
      <c r="C184" t="s">
        <v>15</v>
      </c>
      <c r="D184" t="s">
        <v>16</v>
      </c>
      <c r="E184">
        <v>2</v>
      </c>
      <c r="F184" t="str">
        <f>IF(MediCare_Data[[#This Row],[Patient_Age]]&lt;=18,"0-18",IF(MediCare_Data[[#This Row],[Patient_Age]]&lt;=35,"19-35",IF(MediCare_Data[[#This Row],[Patient_Age]]&lt;=60,"36-60","60+")))</f>
        <v>0-18</v>
      </c>
      <c r="G184" t="s">
        <v>43</v>
      </c>
      <c r="H184" t="s">
        <v>37</v>
      </c>
      <c r="I184" s="2">
        <v>74</v>
      </c>
      <c r="J184" s="11">
        <v>4712</v>
      </c>
      <c r="K184" s="3">
        <v>9.783602084</v>
      </c>
      <c r="L184" s="3">
        <f t="shared" si="2"/>
        <v>9.7836020839999996E-2</v>
      </c>
      <c r="M184">
        <v>158</v>
      </c>
      <c r="N184" s="6">
        <f>MediCare_Data[[#This Row],[Average_Wait_Time (mins)]]/1440</f>
        <v>0.10972222222222222</v>
      </c>
      <c r="O184" s="2">
        <v>2</v>
      </c>
      <c r="P184" s="10">
        <v>20094</v>
      </c>
      <c r="Q184" s="17" t="str">
        <f>IF(AND(MediCare_Data[[#This Row],[Patient_Gender]]="Male", MediCare_Data[[#This Row],[Treatment_Type]]="Maternity"), "Gender-Treatment Mismatch", "Fine")</f>
        <v>Gender-Treatment Mismatch</v>
      </c>
      <c r="R184" s="10">
        <f>MediCare_Data[[#This Row],[Revenue_Generated]]-MediCare_Data[[#This Row],[Average_Treatment_Cost]]</f>
        <v>15382</v>
      </c>
      <c r="S184" s="3">
        <f>(MediCare_Data[[#This Row],[Profit]]/MediCare_Data[[#This Row],[Revenue_Generated]])</f>
        <v>0.76550213994227134</v>
      </c>
    </row>
    <row r="185" spans="1:19" x14ac:dyDescent="0.25">
      <c r="A185" t="s">
        <v>232</v>
      </c>
      <c r="B185" t="s">
        <v>39</v>
      </c>
      <c r="C185" t="s">
        <v>31</v>
      </c>
      <c r="D185" t="s">
        <v>32</v>
      </c>
      <c r="E185">
        <v>55</v>
      </c>
      <c r="F185" t="str">
        <f>IF(MediCare_Data[[#This Row],[Patient_Age]]&lt;=18,"0-18",IF(MediCare_Data[[#This Row],[Patient_Age]]&lt;=35,"19-35",IF(MediCare_Data[[#This Row],[Patient_Age]]&lt;=60,"36-60","60+")))</f>
        <v>36-60</v>
      </c>
      <c r="G185" t="s">
        <v>17</v>
      </c>
      <c r="H185" t="s">
        <v>37</v>
      </c>
      <c r="I185" s="2">
        <v>88</v>
      </c>
      <c r="J185" s="11">
        <v>8470</v>
      </c>
      <c r="K185" s="3">
        <v>7.8449873739999996</v>
      </c>
      <c r="L185" s="3">
        <f t="shared" si="2"/>
        <v>7.8449873739999995E-2</v>
      </c>
      <c r="M185">
        <v>37</v>
      </c>
      <c r="N185" s="6">
        <f>MediCare_Data[[#This Row],[Average_Wait_Time (mins)]]/1440</f>
        <v>2.5694444444444443E-2</v>
      </c>
      <c r="O185" s="2">
        <v>2</v>
      </c>
      <c r="P185" s="10">
        <v>11589</v>
      </c>
      <c r="Q185" s="17" t="str">
        <f>IF(AND(MediCare_Data[[#This Row],[Patient_Gender]]="Male", MediCare_Data[[#This Row],[Treatment_Type]]="Maternity"), "Gender-Treatment Mismatch", "Fine")</f>
        <v>Fine</v>
      </c>
      <c r="R185" s="10">
        <f>MediCare_Data[[#This Row],[Revenue_Generated]]-MediCare_Data[[#This Row],[Average_Treatment_Cost]]</f>
        <v>3119</v>
      </c>
      <c r="S185" s="3">
        <f>(MediCare_Data[[#This Row],[Profit]]/MediCare_Data[[#This Row],[Revenue_Generated]])</f>
        <v>0.26913452411769784</v>
      </c>
    </row>
    <row r="186" spans="1:19" x14ac:dyDescent="0.25">
      <c r="A186" t="s">
        <v>233</v>
      </c>
      <c r="B186" t="s">
        <v>74</v>
      </c>
      <c r="C186" t="s">
        <v>31</v>
      </c>
      <c r="D186" t="s">
        <v>16</v>
      </c>
      <c r="E186">
        <v>38</v>
      </c>
      <c r="F186" t="str">
        <f>IF(MediCare_Data[[#This Row],[Patient_Age]]&lt;=18,"0-18",IF(MediCare_Data[[#This Row],[Patient_Age]]&lt;=35,"19-35",IF(MediCare_Data[[#This Row],[Patient_Age]]&lt;=60,"36-60","60+")))</f>
        <v>36-60</v>
      </c>
      <c r="G186" t="s">
        <v>43</v>
      </c>
      <c r="H186" t="s">
        <v>18</v>
      </c>
      <c r="I186" s="2">
        <v>82</v>
      </c>
      <c r="J186" s="11">
        <v>9266</v>
      </c>
      <c r="K186" s="3">
        <v>7.4276987879999998</v>
      </c>
      <c r="L186" s="3">
        <f t="shared" si="2"/>
        <v>7.4276987879999992E-2</v>
      </c>
      <c r="M186">
        <v>63</v>
      </c>
      <c r="N186" s="6">
        <f>MediCare_Data[[#This Row],[Average_Wait_Time (mins)]]/1440</f>
        <v>4.3749999999999997E-2</v>
      </c>
      <c r="O186" s="2">
        <v>1</v>
      </c>
      <c r="P186" s="10">
        <v>2657</v>
      </c>
      <c r="Q186" s="17" t="str">
        <f>IF(AND(MediCare_Data[[#This Row],[Patient_Gender]]="Male", MediCare_Data[[#This Row],[Treatment_Type]]="Maternity"), "Gender-Treatment Mismatch", "Fine")</f>
        <v>Fine</v>
      </c>
      <c r="R186" s="10">
        <f>MediCare_Data[[#This Row],[Revenue_Generated]]-MediCare_Data[[#This Row],[Average_Treatment_Cost]]</f>
        <v>-6609</v>
      </c>
      <c r="S186" s="3">
        <f>(MediCare_Data[[#This Row],[Profit]]/MediCare_Data[[#This Row],[Revenue_Generated]])</f>
        <v>-2.4873917952578095</v>
      </c>
    </row>
    <row r="187" spans="1:19" x14ac:dyDescent="0.25">
      <c r="A187" t="s">
        <v>234</v>
      </c>
      <c r="B187" t="s">
        <v>82</v>
      </c>
      <c r="C187" t="s">
        <v>42</v>
      </c>
      <c r="D187" t="s">
        <v>21</v>
      </c>
      <c r="E187">
        <v>43</v>
      </c>
      <c r="F187" t="str">
        <f>IF(MediCare_Data[[#This Row],[Patient_Age]]&lt;=18,"0-18",IF(MediCare_Data[[#This Row],[Patient_Age]]&lt;=35,"19-35",IF(MediCare_Data[[#This Row],[Patient_Age]]&lt;=60,"36-60","60+")))</f>
        <v>36-60</v>
      </c>
      <c r="G187" t="s">
        <v>43</v>
      </c>
      <c r="H187" t="s">
        <v>18</v>
      </c>
      <c r="I187" s="2">
        <v>50</v>
      </c>
      <c r="J187" s="11">
        <v>1036</v>
      </c>
      <c r="K187" s="3">
        <v>11.065502950000001</v>
      </c>
      <c r="L187" s="3">
        <f t="shared" si="2"/>
        <v>0.1106550295</v>
      </c>
      <c r="M187">
        <v>74</v>
      </c>
      <c r="N187" s="6">
        <f>MediCare_Data[[#This Row],[Average_Wait_Time (mins)]]/1440</f>
        <v>5.1388888888888887E-2</v>
      </c>
      <c r="O187" s="2">
        <v>3</v>
      </c>
      <c r="P187" s="10">
        <v>33764</v>
      </c>
      <c r="Q187" s="17" t="str">
        <f>IF(AND(MediCare_Data[[#This Row],[Patient_Gender]]="Male", MediCare_Data[[#This Row],[Treatment_Type]]="Maternity"), "Gender-Treatment Mismatch", "Fine")</f>
        <v>Fine</v>
      </c>
      <c r="R187" s="10">
        <f>MediCare_Data[[#This Row],[Revenue_Generated]]-MediCare_Data[[#This Row],[Average_Treatment_Cost]]</f>
        <v>32728</v>
      </c>
      <c r="S187" s="3">
        <f>(MediCare_Data[[#This Row],[Profit]]/MediCare_Data[[#This Row],[Revenue_Generated]])</f>
        <v>0.96931643170240489</v>
      </c>
    </row>
    <row r="188" spans="1:19" x14ac:dyDescent="0.25">
      <c r="A188" t="s">
        <v>235</v>
      </c>
      <c r="B188" t="s">
        <v>45</v>
      </c>
      <c r="C188" t="s">
        <v>54</v>
      </c>
      <c r="D188" t="s">
        <v>21</v>
      </c>
      <c r="E188">
        <v>30</v>
      </c>
      <c r="F188" t="str">
        <f>IF(MediCare_Data[[#This Row],[Patient_Age]]&lt;=18,"0-18",IF(MediCare_Data[[#This Row],[Patient_Age]]&lt;=35,"19-35",IF(MediCare_Data[[#This Row],[Patient_Age]]&lt;=60,"36-60","60+")))</f>
        <v>19-35</v>
      </c>
      <c r="G188" t="s">
        <v>43</v>
      </c>
      <c r="H188" t="s">
        <v>33</v>
      </c>
      <c r="I188" s="2">
        <v>76</v>
      </c>
      <c r="J188" s="11">
        <v>2125</v>
      </c>
      <c r="K188" s="3">
        <v>7.0209162200000002</v>
      </c>
      <c r="L188" s="3">
        <f t="shared" si="2"/>
        <v>7.0209162200000008E-2</v>
      </c>
      <c r="M188">
        <v>109</v>
      </c>
      <c r="N188" s="6">
        <f>MediCare_Data[[#This Row],[Average_Wait_Time (mins)]]/1440</f>
        <v>7.5694444444444439E-2</v>
      </c>
      <c r="O188" s="2">
        <v>3</v>
      </c>
      <c r="P188" s="10">
        <v>40531</v>
      </c>
      <c r="Q188" s="17" t="str">
        <f>IF(AND(MediCare_Data[[#This Row],[Patient_Gender]]="Male", MediCare_Data[[#This Row],[Treatment_Type]]="Maternity"), "Gender-Treatment Mismatch", "Fine")</f>
        <v>Fine</v>
      </c>
      <c r="R188" s="10">
        <f>MediCare_Data[[#This Row],[Revenue_Generated]]-MediCare_Data[[#This Row],[Average_Treatment_Cost]]</f>
        <v>38406</v>
      </c>
      <c r="S188" s="3">
        <f>(MediCare_Data[[#This Row],[Profit]]/MediCare_Data[[#This Row],[Revenue_Generated]])</f>
        <v>0.94757099504083298</v>
      </c>
    </row>
    <row r="189" spans="1:19" x14ac:dyDescent="0.25">
      <c r="A189" t="s">
        <v>236</v>
      </c>
      <c r="B189" t="s">
        <v>41</v>
      </c>
      <c r="C189" t="s">
        <v>15</v>
      </c>
      <c r="D189" t="s">
        <v>21</v>
      </c>
      <c r="E189">
        <v>86</v>
      </c>
      <c r="F189" t="str">
        <f>IF(MediCare_Data[[#This Row],[Patient_Age]]&lt;=18,"0-18",IF(MediCare_Data[[#This Row],[Patient_Age]]&lt;=35,"19-35",IF(MediCare_Data[[#This Row],[Patient_Age]]&lt;=60,"36-60","60+")))</f>
        <v>60+</v>
      </c>
      <c r="G189" t="s">
        <v>43</v>
      </c>
      <c r="H189" t="s">
        <v>37</v>
      </c>
      <c r="I189" s="2">
        <v>62</v>
      </c>
      <c r="J189" s="11">
        <v>8473</v>
      </c>
      <c r="K189" s="3">
        <v>18.843226829999999</v>
      </c>
      <c r="L189" s="3">
        <f t="shared" si="2"/>
        <v>0.18843226829999998</v>
      </c>
      <c r="M189">
        <v>30</v>
      </c>
      <c r="N189" s="6">
        <f>MediCare_Data[[#This Row],[Average_Wait_Time (mins)]]/1440</f>
        <v>2.0833333333333332E-2</v>
      </c>
      <c r="O189" s="2">
        <v>2</v>
      </c>
      <c r="P189" s="10">
        <v>4164</v>
      </c>
      <c r="Q189" s="17" t="str">
        <f>IF(AND(MediCare_Data[[#This Row],[Patient_Gender]]="Male", MediCare_Data[[#This Row],[Treatment_Type]]="Maternity"), "Gender-Treatment Mismatch", "Fine")</f>
        <v>Fine</v>
      </c>
      <c r="R189" s="10">
        <f>MediCare_Data[[#This Row],[Revenue_Generated]]-MediCare_Data[[#This Row],[Average_Treatment_Cost]]</f>
        <v>-4309</v>
      </c>
      <c r="S189" s="3">
        <f>(MediCare_Data[[#This Row],[Profit]]/MediCare_Data[[#This Row],[Revenue_Generated]])</f>
        <v>-1.0348222862632084</v>
      </c>
    </row>
    <row r="190" spans="1:19" x14ac:dyDescent="0.25">
      <c r="A190" t="s">
        <v>237</v>
      </c>
      <c r="B190" t="s">
        <v>82</v>
      </c>
      <c r="C190" t="s">
        <v>20</v>
      </c>
      <c r="D190" t="s">
        <v>21</v>
      </c>
      <c r="E190">
        <v>24</v>
      </c>
      <c r="F190" t="str">
        <f>IF(MediCare_Data[[#This Row],[Patient_Age]]&lt;=18,"0-18",IF(MediCare_Data[[#This Row],[Patient_Age]]&lt;=35,"19-35",IF(MediCare_Data[[#This Row],[Patient_Age]]&lt;=60,"36-60","60+")))</f>
        <v>19-35</v>
      </c>
      <c r="G190" t="s">
        <v>22</v>
      </c>
      <c r="H190" t="s">
        <v>47</v>
      </c>
      <c r="I190" s="2">
        <v>90</v>
      </c>
      <c r="J190" s="11">
        <v>9077</v>
      </c>
      <c r="K190" s="3">
        <v>6.2458359630000002</v>
      </c>
      <c r="L190" s="3">
        <f t="shared" si="2"/>
        <v>6.2458359630000002E-2</v>
      </c>
      <c r="M190">
        <v>22</v>
      </c>
      <c r="N190" s="6">
        <f>MediCare_Data[[#This Row],[Average_Wait_Time (mins)]]/1440</f>
        <v>1.5277777777777777E-2</v>
      </c>
      <c r="O190" s="2">
        <v>3</v>
      </c>
      <c r="P190" s="10">
        <v>28542</v>
      </c>
      <c r="Q190" s="17" t="str">
        <f>IF(AND(MediCare_Data[[#This Row],[Patient_Gender]]="Male", MediCare_Data[[#This Row],[Treatment_Type]]="Maternity"), "Gender-Treatment Mismatch", "Fine")</f>
        <v>Fine</v>
      </c>
      <c r="R190" s="10">
        <f>MediCare_Data[[#This Row],[Revenue_Generated]]-MediCare_Data[[#This Row],[Average_Treatment_Cost]]</f>
        <v>19465</v>
      </c>
      <c r="S190" s="3">
        <f>(MediCare_Data[[#This Row],[Profit]]/MediCare_Data[[#This Row],[Revenue_Generated]])</f>
        <v>0.68197743675986267</v>
      </c>
    </row>
    <row r="191" spans="1:19" x14ac:dyDescent="0.25">
      <c r="A191" t="s">
        <v>238</v>
      </c>
      <c r="B191" t="s">
        <v>64</v>
      </c>
      <c r="C191" t="s">
        <v>42</v>
      </c>
      <c r="D191" t="s">
        <v>32</v>
      </c>
      <c r="E191">
        <v>82</v>
      </c>
      <c r="F191" t="str">
        <f>IF(MediCare_Data[[#This Row],[Patient_Age]]&lt;=18,"0-18",IF(MediCare_Data[[#This Row],[Patient_Age]]&lt;=35,"19-35",IF(MediCare_Data[[#This Row],[Patient_Age]]&lt;=60,"36-60","60+")))</f>
        <v>60+</v>
      </c>
      <c r="G191" t="s">
        <v>22</v>
      </c>
      <c r="H191" t="s">
        <v>47</v>
      </c>
      <c r="I191" s="2">
        <v>52</v>
      </c>
      <c r="J191" s="11">
        <v>8570</v>
      </c>
      <c r="K191" s="3">
        <v>15.18844256</v>
      </c>
      <c r="L191" s="3">
        <f t="shared" si="2"/>
        <v>0.15188442560000001</v>
      </c>
      <c r="M191">
        <v>66</v>
      </c>
      <c r="N191" s="6">
        <f>MediCare_Data[[#This Row],[Average_Wait_Time (mins)]]/1440</f>
        <v>4.583333333333333E-2</v>
      </c>
      <c r="O191" s="2">
        <v>2</v>
      </c>
      <c r="P191" s="10">
        <v>19437</v>
      </c>
      <c r="Q191" s="17" t="str">
        <f>IF(AND(MediCare_Data[[#This Row],[Patient_Gender]]="Male", MediCare_Data[[#This Row],[Treatment_Type]]="Maternity"), "Gender-Treatment Mismatch", "Fine")</f>
        <v>Fine</v>
      </c>
      <c r="R191" s="10">
        <f>MediCare_Data[[#This Row],[Revenue_Generated]]-MediCare_Data[[#This Row],[Average_Treatment_Cost]]</f>
        <v>10867</v>
      </c>
      <c r="S191" s="3">
        <f>(MediCare_Data[[#This Row],[Profit]]/MediCare_Data[[#This Row],[Revenue_Generated]])</f>
        <v>0.55908833667747082</v>
      </c>
    </row>
    <row r="192" spans="1:19" x14ac:dyDescent="0.25">
      <c r="A192" t="s">
        <v>239</v>
      </c>
      <c r="B192" t="s">
        <v>39</v>
      </c>
      <c r="C192" t="s">
        <v>36</v>
      </c>
      <c r="D192" t="s">
        <v>21</v>
      </c>
      <c r="E192">
        <v>71</v>
      </c>
      <c r="F192" t="str">
        <f>IF(MediCare_Data[[#This Row],[Patient_Age]]&lt;=18,"0-18",IF(MediCare_Data[[#This Row],[Patient_Age]]&lt;=35,"19-35",IF(MediCare_Data[[#This Row],[Patient_Age]]&lt;=60,"36-60","60+")))</f>
        <v>60+</v>
      </c>
      <c r="G192" t="s">
        <v>43</v>
      </c>
      <c r="H192" t="s">
        <v>23</v>
      </c>
      <c r="I192" s="2">
        <v>88</v>
      </c>
      <c r="J192" s="11">
        <v>9166</v>
      </c>
      <c r="K192" s="3">
        <v>24.93393708</v>
      </c>
      <c r="L192" s="3">
        <f t="shared" si="2"/>
        <v>0.24933937079999999</v>
      </c>
      <c r="M192">
        <v>58</v>
      </c>
      <c r="N192" s="6">
        <f>MediCare_Data[[#This Row],[Average_Wait_Time (mins)]]/1440</f>
        <v>4.027777777777778E-2</v>
      </c>
      <c r="O192" s="2">
        <v>1</v>
      </c>
      <c r="P192" s="10">
        <v>42247</v>
      </c>
      <c r="Q192" s="17" t="str">
        <f>IF(AND(MediCare_Data[[#This Row],[Patient_Gender]]="Male", MediCare_Data[[#This Row],[Treatment_Type]]="Maternity"), "Gender-Treatment Mismatch", "Fine")</f>
        <v>Fine</v>
      </c>
      <c r="R192" s="10">
        <f>MediCare_Data[[#This Row],[Revenue_Generated]]-MediCare_Data[[#This Row],[Average_Treatment_Cost]]</f>
        <v>33081</v>
      </c>
      <c r="S192" s="3">
        <f>(MediCare_Data[[#This Row],[Profit]]/MediCare_Data[[#This Row],[Revenue_Generated]])</f>
        <v>0.78303784884133787</v>
      </c>
    </row>
    <row r="193" spans="1:19" x14ac:dyDescent="0.25">
      <c r="A193" t="s">
        <v>240</v>
      </c>
      <c r="B193" t="s">
        <v>14</v>
      </c>
      <c r="C193" t="s">
        <v>15</v>
      </c>
      <c r="D193" t="s">
        <v>21</v>
      </c>
      <c r="E193">
        <v>60</v>
      </c>
      <c r="F193" t="str">
        <f>IF(MediCare_Data[[#This Row],[Patient_Age]]&lt;=18,"0-18",IF(MediCare_Data[[#This Row],[Patient_Age]]&lt;=35,"19-35",IF(MediCare_Data[[#This Row],[Patient_Age]]&lt;=60,"36-60","60+")))</f>
        <v>36-60</v>
      </c>
      <c r="G193" t="s">
        <v>22</v>
      </c>
      <c r="H193" t="s">
        <v>51</v>
      </c>
      <c r="I193" s="2">
        <v>55</v>
      </c>
      <c r="J193" s="11">
        <v>9109</v>
      </c>
      <c r="K193" s="3">
        <v>21.279405390000001</v>
      </c>
      <c r="L193" s="3">
        <f t="shared" si="2"/>
        <v>0.2127940539</v>
      </c>
      <c r="M193">
        <v>127</v>
      </c>
      <c r="N193" s="6">
        <f>MediCare_Data[[#This Row],[Average_Wait_Time (mins)]]/1440</f>
        <v>8.819444444444445E-2</v>
      </c>
      <c r="O193" s="2">
        <v>1</v>
      </c>
      <c r="P193" s="10">
        <v>39505</v>
      </c>
      <c r="Q193" s="17" t="str">
        <f>IF(AND(MediCare_Data[[#This Row],[Patient_Gender]]="Male", MediCare_Data[[#This Row],[Treatment_Type]]="Maternity"), "Gender-Treatment Mismatch", "Fine")</f>
        <v>Fine</v>
      </c>
      <c r="R193" s="10">
        <f>MediCare_Data[[#This Row],[Revenue_Generated]]-MediCare_Data[[#This Row],[Average_Treatment_Cost]]</f>
        <v>30396</v>
      </c>
      <c r="S193" s="3">
        <f>(MediCare_Data[[#This Row],[Profit]]/MediCare_Data[[#This Row],[Revenue_Generated]])</f>
        <v>0.76942159220351858</v>
      </c>
    </row>
    <row r="194" spans="1:19" x14ac:dyDescent="0.25">
      <c r="A194" t="s">
        <v>241</v>
      </c>
      <c r="B194" t="s">
        <v>39</v>
      </c>
      <c r="C194" t="s">
        <v>36</v>
      </c>
      <c r="D194" t="s">
        <v>21</v>
      </c>
      <c r="E194">
        <v>32</v>
      </c>
      <c r="F194" t="str">
        <f>IF(MediCare_Data[[#This Row],[Patient_Age]]&lt;=18,"0-18",IF(MediCare_Data[[#This Row],[Patient_Age]]&lt;=35,"19-35",IF(MediCare_Data[[#This Row],[Patient_Age]]&lt;=60,"36-60","60+")))</f>
        <v>19-35</v>
      </c>
      <c r="G194" t="s">
        <v>22</v>
      </c>
      <c r="H194" t="s">
        <v>33</v>
      </c>
      <c r="I194" s="2">
        <v>57</v>
      </c>
      <c r="J194" s="11">
        <v>6990</v>
      </c>
      <c r="K194" s="3">
        <v>17.304388759999998</v>
      </c>
      <c r="L194" s="3">
        <f t="shared" ref="L194:L257" si="3">K194/100</f>
        <v>0.17304388759999997</v>
      </c>
      <c r="M194">
        <v>63</v>
      </c>
      <c r="N194" s="6">
        <f>MediCare_Data[[#This Row],[Average_Wait_Time (mins)]]/1440</f>
        <v>4.3749999999999997E-2</v>
      </c>
      <c r="O194" s="2">
        <v>2</v>
      </c>
      <c r="P194" s="10">
        <v>20601</v>
      </c>
      <c r="Q194" s="17" t="str">
        <f>IF(AND(MediCare_Data[[#This Row],[Patient_Gender]]="Male", MediCare_Data[[#This Row],[Treatment_Type]]="Maternity"), "Gender-Treatment Mismatch", "Fine")</f>
        <v>Fine</v>
      </c>
      <c r="R194" s="10">
        <f>MediCare_Data[[#This Row],[Revenue_Generated]]-MediCare_Data[[#This Row],[Average_Treatment_Cost]]</f>
        <v>13611</v>
      </c>
      <c r="S194" s="3">
        <f>(MediCare_Data[[#This Row],[Profit]]/MediCare_Data[[#This Row],[Revenue_Generated]])</f>
        <v>0.66069608271443137</v>
      </c>
    </row>
    <row r="195" spans="1:19" x14ac:dyDescent="0.25">
      <c r="A195" t="s">
        <v>242</v>
      </c>
      <c r="B195" t="s">
        <v>58</v>
      </c>
      <c r="C195" t="s">
        <v>15</v>
      </c>
      <c r="D195" t="s">
        <v>16</v>
      </c>
      <c r="E195">
        <v>47</v>
      </c>
      <c r="F195" t="str">
        <f>IF(MediCare_Data[[#This Row],[Patient_Age]]&lt;=18,"0-18",IF(MediCare_Data[[#This Row],[Patient_Age]]&lt;=35,"19-35",IF(MediCare_Data[[#This Row],[Patient_Age]]&lt;=60,"36-60","60+")))</f>
        <v>36-60</v>
      </c>
      <c r="G195" t="s">
        <v>43</v>
      </c>
      <c r="H195" t="s">
        <v>47</v>
      </c>
      <c r="I195" s="2">
        <v>76</v>
      </c>
      <c r="J195" s="11">
        <v>4100</v>
      </c>
      <c r="K195" s="3">
        <v>11.12507242</v>
      </c>
      <c r="L195" s="3">
        <f t="shared" si="3"/>
        <v>0.1112507242</v>
      </c>
      <c r="M195">
        <v>147</v>
      </c>
      <c r="N195" s="6">
        <f>MediCare_Data[[#This Row],[Average_Wait_Time (mins)]]/1440</f>
        <v>0.10208333333333333</v>
      </c>
      <c r="O195" s="2">
        <v>1</v>
      </c>
      <c r="P195" s="10">
        <v>29430</v>
      </c>
      <c r="Q195" s="17" t="str">
        <f>IF(AND(MediCare_Data[[#This Row],[Patient_Gender]]="Male", MediCare_Data[[#This Row],[Treatment_Type]]="Maternity"), "Gender-Treatment Mismatch", "Fine")</f>
        <v>Fine</v>
      </c>
      <c r="R195" s="10">
        <f>MediCare_Data[[#This Row],[Revenue_Generated]]-MediCare_Data[[#This Row],[Average_Treatment_Cost]]</f>
        <v>25330</v>
      </c>
      <c r="S195" s="3">
        <f>(MediCare_Data[[#This Row],[Profit]]/MediCare_Data[[#This Row],[Revenue_Generated]])</f>
        <v>0.86068637444784235</v>
      </c>
    </row>
    <row r="196" spans="1:19" x14ac:dyDescent="0.25">
      <c r="A196" t="s">
        <v>243</v>
      </c>
      <c r="B196" t="s">
        <v>49</v>
      </c>
      <c r="C196" t="s">
        <v>15</v>
      </c>
      <c r="D196" t="s">
        <v>21</v>
      </c>
      <c r="E196">
        <v>56</v>
      </c>
      <c r="F196" t="str">
        <f>IF(MediCare_Data[[#This Row],[Patient_Age]]&lt;=18,"0-18",IF(MediCare_Data[[#This Row],[Patient_Age]]&lt;=35,"19-35",IF(MediCare_Data[[#This Row],[Patient_Age]]&lt;=60,"36-60","60+")))</f>
        <v>36-60</v>
      </c>
      <c r="G196" t="s">
        <v>17</v>
      </c>
      <c r="H196" t="s">
        <v>47</v>
      </c>
      <c r="I196" s="2">
        <v>58</v>
      </c>
      <c r="J196" s="11">
        <v>7283</v>
      </c>
      <c r="K196" s="3">
        <v>17.47791673</v>
      </c>
      <c r="L196" s="3">
        <f t="shared" si="3"/>
        <v>0.17477916730000001</v>
      </c>
      <c r="M196">
        <v>62</v>
      </c>
      <c r="N196" s="6">
        <f>MediCare_Data[[#This Row],[Average_Wait_Time (mins)]]/1440</f>
        <v>4.3055555555555555E-2</v>
      </c>
      <c r="O196" s="2">
        <v>4</v>
      </c>
      <c r="P196" s="10">
        <v>7009</v>
      </c>
      <c r="Q196" s="17" t="str">
        <f>IF(AND(MediCare_Data[[#This Row],[Patient_Gender]]="Male", MediCare_Data[[#This Row],[Treatment_Type]]="Maternity"), "Gender-Treatment Mismatch", "Fine")</f>
        <v>Fine</v>
      </c>
      <c r="R196" s="10">
        <f>MediCare_Data[[#This Row],[Revenue_Generated]]-MediCare_Data[[#This Row],[Average_Treatment_Cost]]</f>
        <v>-274</v>
      </c>
      <c r="S196" s="3">
        <f>(MediCare_Data[[#This Row],[Profit]]/MediCare_Data[[#This Row],[Revenue_Generated]])</f>
        <v>-3.9092595234698248E-2</v>
      </c>
    </row>
    <row r="197" spans="1:19" x14ac:dyDescent="0.25">
      <c r="A197" t="s">
        <v>244</v>
      </c>
      <c r="B197" t="s">
        <v>56</v>
      </c>
      <c r="C197" t="s">
        <v>54</v>
      </c>
      <c r="D197" t="s">
        <v>32</v>
      </c>
      <c r="E197">
        <v>11</v>
      </c>
      <c r="F197" t="str">
        <f>IF(MediCare_Data[[#This Row],[Patient_Age]]&lt;=18,"0-18",IF(MediCare_Data[[#This Row],[Patient_Age]]&lt;=35,"19-35",IF(MediCare_Data[[#This Row],[Patient_Age]]&lt;=60,"36-60","60+")))</f>
        <v>0-18</v>
      </c>
      <c r="G197" t="s">
        <v>43</v>
      </c>
      <c r="H197" t="s">
        <v>37</v>
      </c>
      <c r="I197" s="2">
        <v>86</v>
      </c>
      <c r="J197" s="11">
        <v>9646</v>
      </c>
      <c r="K197" s="3">
        <v>15.540829280000001</v>
      </c>
      <c r="L197" s="3">
        <f t="shared" si="3"/>
        <v>0.15540829280000001</v>
      </c>
      <c r="M197">
        <v>53</v>
      </c>
      <c r="N197" s="6">
        <f>MediCare_Data[[#This Row],[Average_Wait_Time (mins)]]/1440</f>
        <v>3.6805555555555557E-2</v>
      </c>
      <c r="O197" s="2">
        <v>4</v>
      </c>
      <c r="P197" s="10">
        <v>5552</v>
      </c>
      <c r="Q197" s="17" t="str">
        <f>IF(AND(MediCare_Data[[#This Row],[Patient_Gender]]="Male", MediCare_Data[[#This Row],[Treatment_Type]]="Maternity"), "Gender-Treatment Mismatch", "Fine")</f>
        <v>Fine</v>
      </c>
      <c r="R197" s="10">
        <f>MediCare_Data[[#This Row],[Revenue_Generated]]-MediCare_Data[[#This Row],[Average_Treatment_Cost]]</f>
        <v>-4094</v>
      </c>
      <c r="S197" s="3">
        <f>(MediCare_Data[[#This Row],[Profit]]/MediCare_Data[[#This Row],[Revenue_Generated]])</f>
        <v>-0.73739193083573484</v>
      </c>
    </row>
    <row r="198" spans="1:19" x14ac:dyDescent="0.25">
      <c r="A198" t="s">
        <v>245</v>
      </c>
      <c r="B198" t="s">
        <v>49</v>
      </c>
      <c r="C198" t="s">
        <v>31</v>
      </c>
      <c r="D198" t="s">
        <v>16</v>
      </c>
      <c r="E198">
        <v>23</v>
      </c>
      <c r="F198" t="str">
        <f>IF(MediCare_Data[[#This Row],[Patient_Age]]&lt;=18,"0-18",IF(MediCare_Data[[#This Row],[Patient_Age]]&lt;=35,"19-35",IF(MediCare_Data[[#This Row],[Patient_Age]]&lt;=60,"36-60","60+")))</f>
        <v>19-35</v>
      </c>
      <c r="G198" t="s">
        <v>22</v>
      </c>
      <c r="H198" t="s">
        <v>51</v>
      </c>
      <c r="I198" s="2">
        <v>82</v>
      </c>
      <c r="J198" s="11">
        <v>5471</v>
      </c>
      <c r="K198" s="3">
        <v>13.52166768</v>
      </c>
      <c r="L198" s="3">
        <f t="shared" si="3"/>
        <v>0.13521667679999999</v>
      </c>
      <c r="M198">
        <v>56</v>
      </c>
      <c r="N198" s="6">
        <f>MediCare_Data[[#This Row],[Average_Wait_Time (mins)]]/1440</f>
        <v>3.888888888888889E-2</v>
      </c>
      <c r="O198" s="2">
        <v>1</v>
      </c>
      <c r="P198" s="10">
        <v>10417</v>
      </c>
      <c r="Q198" s="17" t="str">
        <f>IF(AND(MediCare_Data[[#This Row],[Patient_Gender]]="Male", MediCare_Data[[#This Row],[Treatment_Type]]="Maternity"), "Gender-Treatment Mismatch", "Fine")</f>
        <v>Fine</v>
      </c>
      <c r="R198" s="10">
        <f>MediCare_Data[[#This Row],[Revenue_Generated]]-MediCare_Data[[#This Row],[Average_Treatment_Cost]]</f>
        <v>4946</v>
      </c>
      <c r="S198" s="3">
        <f>(MediCare_Data[[#This Row],[Profit]]/MediCare_Data[[#This Row],[Revenue_Generated]])</f>
        <v>0.47480080637419603</v>
      </c>
    </row>
    <row r="199" spans="1:19" x14ac:dyDescent="0.25">
      <c r="A199" t="s">
        <v>246</v>
      </c>
      <c r="B199" t="s">
        <v>14</v>
      </c>
      <c r="C199" t="s">
        <v>15</v>
      </c>
      <c r="D199" t="s">
        <v>32</v>
      </c>
      <c r="E199">
        <v>78</v>
      </c>
      <c r="F199" t="str">
        <f>IF(MediCare_Data[[#This Row],[Patient_Age]]&lt;=18,"0-18",IF(MediCare_Data[[#This Row],[Patient_Age]]&lt;=35,"19-35",IF(MediCare_Data[[#This Row],[Patient_Age]]&lt;=60,"36-60","60+")))</f>
        <v>60+</v>
      </c>
      <c r="G199" t="s">
        <v>17</v>
      </c>
      <c r="H199" t="s">
        <v>37</v>
      </c>
      <c r="I199" s="2">
        <v>91</v>
      </c>
      <c r="J199" s="11">
        <v>1705</v>
      </c>
      <c r="K199" s="3">
        <v>7.6142075350000002</v>
      </c>
      <c r="L199" s="3">
        <f t="shared" si="3"/>
        <v>7.6142075350000005E-2</v>
      </c>
      <c r="M199">
        <v>62</v>
      </c>
      <c r="N199" s="6">
        <f>MediCare_Data[[#This Row],[Average_Wait_Time (mins)]]/1440</f>
        <v>4.3055555555555555E-2</v>
      </c>
      <c r="O199" s="2">
        <v>2</v>
      </c>
      <c r="P199" s="10">
        <v>42989</v>
      </c>
      <c r="Q199" s="17" t="str">
        <f>IF(AND(MediCare_Data[[#This Row],[Patient_Gender]]="Male", MediCare_Data[[#This Row],[Treatment_Type]]="Maternity"), "Gender-Treatment Mismatch", "Fine")</f>
        <v>Fine</v>
      </c>
      <c r="R199" s="10">
        <f>MediCare_Data[[#This Row],[Revenue_Generated]]-MediCare_Data[[#This Row],[Average_Treatment_Cost]]</f>
        <v>41284</v>
      </c>
      <c r="S199" s="3">
        <f>(MediCare_Data[[#This Row],[Profit]]/MediCare_Data[[#This Row],[Revenue_Generated]])</f>
        <v>0.96033869129312155</v>
      </c>
    </row>
    <row r="200" spans="1:19" x14ac:dyDescent="0.25">
      <c r="A200" t="s">
        <v>247</v>
      </c>
      <c r="B200" t="s">
        <v>64</v>
      </c>
      <c r="C200" t="s">
        <v>54</v>
      </c>
      <c r="D200" t="s">
        <v>16</v>
      </c>
      <c r="E200">
        <v>1</v>
      </c>
      <c r="F200" t="str">
        <f>IF(MediCare_Data[[#This Row],[Patient_Age]]&lt;=18,"0-18",IF(MediCare_Data[[#This Row],[Patient_Age]]&lt;=35,"19-35",IF(MediCare_Data[[#This Row],[Patient_Age]]&lt;=60,"36-60","60+")))</f>
        <v>0-18</v>
      </c>
      <c r="G200" t="s">
        <v>22</v>
      </c>
      <c r="H200" t="s">
        <v>51</v>
      </c>
      <c r="I200" s="2">
        <v>93</v>
      </c>
      <c r="J200" s="11">
        <v>2490</v>
      </c>
      <c r="K200" s="3">
        <v>22.7320843</v>
      </c>
      <c r="L200" s="3">
        <f t="shared" si="3"/>
        <v>0.22732084299999999</v>
      </c>
      <c r="M200">
        <v>83</v>
      </c>
      <c r="N200" s="6">
        <f>MediCare_Data[[#This Row],[Average_Wait_Time (mins)]]/1440</f>
        <v>5.7638888888888892E-2</v>
      </c>
      <c r="O200" s="2">
        <v>2</v>
      </c>
      <c r="P200" s="10">
        <v>3671</v>
      </c>
      <c r="Q200" s="17" t="str">
        <f>IF(AND(MediCare_Data[[#This Row],[Patient_Gender]]="Male", MediCare_Data[[#This Row],[Treatment_Type]]="Maternity"), "Gender-Treatment Mismatch", "Fine")</f>
        <v>Fine</v>
      </c>
      <c r="R200" s="10">
        <f>MediCare_Data[[#This Row],[Revenue_Generated]]-MediCare_Data[[#This Row],[Average_Treatment_Cost]]</f>
        <v>1181</v>
      </c>
      <c r="S200" s="3">
        <f>(MediCare_Data[[#This Row],[Profit]]/MediCare_Data[[#This Row],[Revenue_Generated]])</f>
        <v>0.32171070552982839</v>
      </c>
    </row>
    <row r="201" spans="1:19" x14ac:dyDescent="0.25">
      <c r="A201" t="s">
        <v>248</v>
      </c>
      <c r="B201" t="s">
        <v>56</v>
      </c>
      <c r="C201" t="s">
        <v>20</v>
      </c>
      <c r="D201" t="s">
        <v>32</v>
      </c>
      <c r="E201">
        <v>51</v>
      </c>
      <c r="F201" t="str">
        <f>IF(MediCare_Data[[#This Row],[Patient_Age]]&lt;=18,"0-18",IF(MediCare_Data[[#This Row],[Patient_Age]]&lt;=35,"19-35",IF(MediCare_Data[[#This Row],[Patient_Age]]&lt;=60,"36-60","60+")))</f>
        <v>36-60</v>
      </c>
      <c r="G201" t="s">
        <v>22</v>
      </c>
      <c r="H201" t="s">
        <v>37</v>
      </c>
      <c r="I201" s="2">
        <v>73</v>
      </c>
      <c r="J201" s="11">
        <v>5799</v>
      </c>
      <c r="K201" s="3">
        <v>13.995692979999999</v>
      </c>
      <c r="L201" s="3">
        <f t="shared" si="3"/>
        <v>0.13995692979999999</v>
      </c>
      <c r="M201">
        <v>55</v>
      </c>
      <c r="N201" s="6">
        <f>MediCare_Data[[#This Row],[Average_Wait_Time (mins)]]/1440</f>
        <v>3.8194444444444448E-2</v>
      </c>
      <c r="O201" s="2">
        <v>1</v>
      </c>
      <c r="P201" s="10">
        <v>7519</v>
      </c>
      <c r="Q201" s="17" t="str">
        <f>IF(AND(MediCare_Data[[#This Row],[Patient_Gender]]="Male", MediCare_Data[[#This Row],[Treatment_Type]]="Maternity"), "Gender-Treatment Mismatch", "Fine")</f>
        <v>Fine</v>
      </c>
      <c r="R201" s="10">
        <f>MediCare_Data[[#This Row],[Revenue_Generated]]-MediCare_Data[[#This Row],[Average_Treatment_Cost]]</f>
        <v>1720</v>
      </c>
      <c r="S201" s="3">
        <f>(MediCare_Data[[#This Row],[Profit]]/MediCare_Data[[#This Row],[Revenue_Generated]])</f>
        <v>0.22875382364676153</v>
      </c>
    </row>
    <row r="202" spans="1:19" x14ac:dyDescent="0.25">
      <c r="A202" t="s">
        <v>249</v>
      </c>
      <c r="B202" t="s">
        <v>41</v>
      </c>
      <c r="C202" t="s">
        <v>29</v>
      </c>
      <c r="D202" t="s">
        <v>32</v>
      </c>
      <c r="E202">
        <v>53</v>
      </c>
      <c r="F202" t="str">
        <f>IF(MediCare_Data[[#This Row],[Patient_Age]]&lt;=18,"0-18",IF(MediCare_Data[[#This Row],[Patient_Age]]&lt;=35,"19-35",IF(MediCare_Data[[#This Row],[Patient_Age]]&lt;=60,"36-60","60+")))</f>
        <v>36-60</v>
      </c>
      <c r="G202" t="s">
        <v>26</v>
      </c>
      <c r="H202" t="s">
        <v>37</v>
      </c>
      <c r="I202" s="2">
        <v>64</v>
      </c>
      <c r="J202" s="11">
        <v>4072</v>
      </c>
      <c r="K202" s="3">
        <v>8.8924502360000002</v>
      </c>
      <c r="L202" s="3">
        <f t="shared" si="3"/>
        <v>8.8924502360000005E-2</v>
      </c>
      <c r="M202">
        <v>22</v>
      </c>
      <c r="N202" s="6">
        <f>MediCare_Data[[#This Row],[Average_Wait_Time (mins)]]/1440</f>
        <v>1.5277777777777777E-2</v>
      </c>
      <c r="O202" s="2">
        <v>3</v>
      </c>
      <c r="P202" s="10">
        <v>37730</v>
      </c>
      <c r="Q202" s="17" t="str">
        <f>IF(AND(MediCare_Data[[#This Row],[Patient_Gender]]="Male", MediCare_Data[[#This Row],[Treatment_Type]]="Maternity"), "Gender-Treatment Mismatch", "Fine")</f>
        <v>Fine</v>
      </c>
      <c r="R202" s="10">
        <f>MediCare_Data[[#This Row],[Revenue_Generated]]-MediCare_Data[[#This Row],[Average_Treatment_Cost]]</f>
        <v>33658</v>
      </c>
      <c r="S202" s="3">
        <f>(MediCare_Data[[#This Row],[Profit]]/MediCare_Data[[#This Row],[Revenue_Generated]])</f>
        <v>0.89207527166710843</v>
      </c>
    </row>
    <row r="203" spans="1:19" x14ac:dyDescent="0.25">
      <c r="A203" t="s">
        <v>250</v>
      </c>
      <c r="B203" t="s">
        <v>41</v>
      </c>
      <c r="C203" t="s">
        <v>29</v>
      </c>
      <c r="D203" t="s">
        <v>32</v>
      </c>
      <c r="E203">
        <v>25</v>
      </c>
      <c r="F203" t="str">
        <f>IF(MediCare_Data[[#This Row],[Patient_Age]]&lt;=18,"0-18",IF(MediCare_Data[[#This Row],[Patient_Age]]&lt;=35,"19-35",IF(MediCare_Data[[#This Row],[Patient_Age]]&lt;=60,"36-60","60+")))</f>
        <v>19-35</v>
      </c>
      <c r="G203" t="s">
        <v>26</v>
      </c>
      <c r="H203" t="s">
        <v>18</v>
      </c>
      <c r="I203" s="2">
        <v>81</v>
      </c>
      <c r="J203" s="11">
        <v>6475</v>
      </c>
      <c r="K203" s="3">
        <v>12.355187020000001</v>
      </c>
      <c r="L203" s="3">
        <f t="shared" si="3"/>
        <v>0.12355187020000001</v>
      </c>
      <c r="M203">
        <v>174</v>
      </c>
      <c r="N203" s="6">
        <f>MediCare_Data[[#This Row],[Average_Wait_Time (mins)]]/1440</f>
        <v>0.12083333333333333</v>
      </c>
      <c r="O203" s="2">
        <v>4</v>
      </c>
      <c r="P203" s="10">
        <v>13734</v>
      </c>
      <c r="Q203" s="17" t="str">
        <f>IF(AND(MediCare_Data[[#This Row],[Patient_Gender]]="Male", MediCare_Data[[#This Row],[Treatment_Type]]="Maternity"), "Gender-Treatment Mismatch", "Fine")</f>
        <v>Fine</v>
      </c>
      <c r="R203" s="10">
        <f>MediCare_Data[[#This Row],[Revenue_Generated]]-MediCare_Data[[#This Row],[Average_Treatment_Cost]]</f>
        <v>7259</v>
      </c>
      <c r="S203" s="3">
        <f>(MediCare_Data[[#This Row],[Profit]]/MediCare_Data[[#This Row],[Revenue_Generated]])</f>
        <v>0.52854230377166156</v>
      </c>
    </row>
    <row r="204" spans="1:19" x14ac:dyDescent="0.25">
      <c r="A204" t="s">
        <v>251</v>
      </c>
      <c r="B204" t="s">
        <v>25</v>
      </c>
      <c r="C204" t="s">
        <v>31</v>
      </c>
      <c r="D204" t="s">
        <v>16</v>
      </c>
      <c r="E204">
        <v>8</v>
      </c>
      <c r="F204" t="str">
        <f>IF(MediCare_Data[[#This Row],[Patient_Age]]&lt;=18,"0-18",IF(MediCare_Data[[#This Row],[Patient_Age]]&lt;=35,"19-35",IF(MediCare_Data[[#This Row],[Patient_Age]]&lt;=60,"36-60","60+")))</f>
        <v>0-18</v>
      </c>
      <c r="G204" t="s">
        <v>26</v>
      </c>
      <c r="H204" t="s">
        <v>18</v>
      </c>
      <c r="I204" s="2">
        <v>81</v>
      </c>
      <c r="J204" s="11">
        <v>6820</v>
      </c>
      <c r="K204" s="3">
        <v>13.282595049999999</v>
      </c>
      <c r="L204" s="3">
        <f t="shared" si="3"/>
        <v>0.13282595049999998</v>
      </c>
      <c r="M204">
        <v>111</v>
      </c>
      <c r="N204" s="6">
        <f>MediCare_Data[[#This Row],[Average_Wait_Time (mins)]]/1440</f>
        <v>7.7083333333333337E-2</v>
      </c>
      <c r="O204" s="2">
        <v>3</v>
      </c>
      <c r="P204" s="10">
        <v>46890</v>
      </c>
      <c r="Q204" s="17" t="str">
        <f>IF(AND(MediCare_Data[[#This Row],[Patient_Gender]]="Male", MediCare_Data[[#This Row],[Treatment_Type]]="Maternity"), "Gender-Treatment Mismatch", "Fine")</f>
        <v>Fine</v>
      </c>
      <c r="R204" s="10">
        <f>MediCare_Data[[#This Row],[Revenue_Generated]]-MediCare_Data[[#This Row],[Average_Treatment_Cost]]</f>
        <v>40070</v>
      </c>
      <c r="S204" s="3">
        <f>(MediCare_Data[[#This Row],[Profit]]/MediCare_Data[[#This Row],[Revenue_Generated]])</f>
        <v>0.85455320963958203</v>
      </c>
    </row>
    <row r="205" spans="1:19" x14ac:dyDescent="0.25">
      <c r="A205" t="s">
        <v>252</v>
      </c>
      <c r="B205" t="s">
        <v>58</v>
      </c>
      <c r="C205" t="s">
        <v>54</v>
      </c>
      <c r="D205" t="s">
        <v>32</v>
      </c>
      <c r="E205">
        <v>47</v>
      </c>
      <c r="F205" t="str">
        <f>IF(MediCare_Data[[#This Row],[Patient_Age]]&lt;=18,"0-18",IF(MediCare_Data[[#This Row],[Patient_Age]]&lt;=35,"19-35",IF(MediCare_Data[[#This Row],[Patient_Age]]&lt;=60,"36-60","60+")))</f>
        <v>36-60</v>
      </c>
      <c r="G205" t="s">
        <v>22</v>
      </c>
      <c r="H205" t="s">
        <v>47</v>
      </c>
      <c r="I205" s="2">
        <v>73</v>
      </c>
      <c r="J205" s="11">
        <v>4880</v>
      </c>
      <c r="K205" s="3">
        <v>21.550757910000002</v>
      </c>
      <c r="L205" s="3">
        <f t="shared" si="3"/>
        <v>0.21550757910000001</v>
      </c>
      <c r="M205">
        <v>33</v>
      </c>
      <c r="N205" s="6">
        <f>MediCare_Data[[#This Row],[Average_Wait_Time (mins)]]/1440</f>
        <v>2.2916666666666665E-2</v>
      </c>
      <c r="O205" s="2">
        <v>2</v>
      </c>
      <c r="P205" s="10">
        <v>4722</v>
      </c>
      <c r="Q205" s="17" t="str">
        <f>IF(AND(MediCare_Data[[#This Row],[Patient_Gender]]="Male", MediCare_Data[[#This Row],[Treatment_Type]]="Maternity"), "Gender-Treatment Mismatch", "Fine")</f>
        <v>Fine</v>
      </c>
      <c r="R205" s="10">
        <f>MediCare_Data[[#This Row],[Revenue_Generated]]-MediCare_Data[[#This Row],[Average_Treatment_Cost]]</f>
        <v>-158</v>
      </c>
      <c r="S205" s="3">
        <f>(MediCare_Data[[#This Row],[Profit]]/MediCare_Data[[#This Row],[Revenue_Generated]])</f>
        <v>-3.3460398136382886E-2</v>
      </c>
    </row>
    <row r="206" spans="1:19" x14ac:dyDescent="0.25">
      <c r="A206" t="s">
        <v>253</v>
      </c>
      <c r="B206" t="s">
        <v>82</v>
      </c>
      <c r="C206" t="s">
        <v>20</v>
      </c>
      <c r="D206" t="s">
        <v>32</v>
      </c>
      <c r="E206">
        <v>88</v>
      </c>
      <c r="F206" t="str">
        <f>IF(MediCare_Data[[#This Row],[Patient_Age]]&lt;=18,"0-18",IF(MediCare_Data[[#This Row],[Patient_Age]]&lt;=35,"19-35",IF(MediCare_Data[[#This Row],[Patient_Age]]&lt;=60,"36-60","60+")))</f>
        <v>60+</v>
      </c>
      <c r="G206" t="s">
        <v>43</v>
      </c>
      <c r="H206" t="s">
        <v>18</v>
      </c>
      <c r="I206" s="2">
        <v>90</v>
      </c>
      <c r="J206" s="11">
        <v>5257</v>
      </c>
      <c r="K206" s="3">
        <v>19.672287610000001</v>
      </c>
      <c r="L206" s="3">
        <f t="shared" si="3"/>
        <v>0.19672287610000003</v>
      </c>
      <c r="M206">
        <v>11</v>
      </c>
      <c r="N206" s="6">
        <f>MediCare_Data[[#This Row],[Average_Wait_Time (mins)]]/1440</f>
        <v>7.6388888888888886E-3</v>
      </c>
      <c r="O206" s="2">
        <v>2</v>
      </c>
      <c r="P206" s="10">
        <v>5906</v>
      </c>
      <c r="Q206" s="17" t="str">
        <f>IF(AND(MediCare_Data[[#This Row],[Patient_Gender]]="Male", MediCare_Data[[#This Row],[Treatment_Type]]="Maternity"), "Gender-Treatment Mismatch", "Fine")</f>
        <v>Fine</v>
      </c>
      <c r="R206" s="10">
        <f>MediCare_Data[[#This Row],[Revenue_Generated]]-MediCare_Data[[#This Row],[Average_Treatment_Cost]]</f>
        <v>649</v>
      </c>
      <c r="S206" s="3">
        <f>(MediCare_Data[[#This Row],[Profit]]/MediCare_Data[[#This Row],[Revenue_Generated]])</f>
        <v>0.10988824923806299</v>
      </c>
    </row>
    <row r="207" spans="1:19" x14ac:dyDescent="0.25">
      <c r="A207" t="s">
        <v>254</v>
      </c>
      <c r="B207" t="s">
        <v>28</v>
      </c>
      <c r="C207" t="s">
        <v>42</v>
      </c>
      <c r="D207" t="s">
        <v>16</v>
      </c>
      <c r="E207">
        <v>12</v>
      </c>
      <c r="F207" t="str">
        <f>IF(MediCare_Data[[#This Row],[Patient_Age]]&lt;=18,"0-18",IF(MediCare_Data[[#This Row],[Patient_Age]]&lt;=35,"19-35",IF(MediCare_Data[[#This Row],[Patient_Age]]&lt;=60,"36-60","60+")))</f>
        <v>0-18</v>
      </c>
      <c r="G207" t="s">
        <v>43</v>
      </c>
      <c r="H207" t="s">
        <v>47</v>
      </c>
      <c r="I207" s="2">
        <v>98</v>
      </c>
      <c r="J207" s="11">
        <v>3213</v>
      </c>
      <c r="K207" s="3">
        <v>20.38609787</v>
      </c>
      <c r="L207" s="3">
        <f t="shared" si="3"/>
        <v>0.2038609787</v>
      </c>
      <c r="M207">
        <v>90</v>
      </c>
      <c r="N207" s="6">
        <f>MediCare_Data[[#This Row],[Average_Wait_Time (mins)]]/1440</f>
        <v>6.25E-2</v>
      </c>
      <c r="O207" s="2">
        <v>3</v>
      </c>
      <c r="P207" s="10">
        <v>31096</v>
      </c>
      <c r="Q207" s="17" t="str">
        <f>IF(AND(MediCare_Data[[#This Row],[Patient_Gender]]="Male", MediCare_Data[[#This Row],[Treatment_Type]]="Maternity"), "Gender-Treatment Mismatch", "Fine")</f>
        <v>Fine</v>
      </c>
      <c r="R207" s="10">
        <f>MediCare_Data[[#This Row],[Revenue_Generated]]-MediCare_Data[[#This Row],[Average_Treatment_Cost]]</f>
        <v>27883</v>
      </c>
      <c r="S207" s="3">
        <f>(MediCare_Data[[#This Row],[Profit]]/MediCare_Data[[#This Row],[Revenue_Generated]])</f>
        <v>0.89667481348083355</v>
      </c>
    </row>
    <row r="208" spans="1:19" x14ac:dyDescent="0.25">
      <c r="A208" t="s">
        <v>255</v>
      </c>
      <c r="B208" t="s">
        <v>41</v>
      </c>
      <c r="C208" t="s">
        <v>15</v>
      </c>
      <c r="D208" t="s">
        <v>32</v>
      </c>
      <c r="E208">
        <v>55</v>
      </c>
      <c r="F208" t="str">
        <f>IF(MediCare_Data[[#This Row],[Patient_Age]]&lt;=18,"0-18",IF(MediCare_Data[[#This Row],[Patient_Age]]&lt;=35,"19-35",IF(MediCare_Data[[#This Row],[Patient_Age]]&lt;=60,"36-60","60+")))</f>
        <v>36-60</v>
      </c>
      <c r="G208" t="s">
        <v>22</v>
      </c>
      <c r="H208" t="s">
        <v>47</v>
      </c>
      <c r="I208" s="2">
        <v>98</v>
      </c>
      <c r="J208" s="11">
        <v>6088</v>
      </c>
      <c r="K208" s="3">
        <v>5.220625289</v>
      </c>
      <c r="L208" s="3">
        <f t="shared" si="3"/>
        <v>5.2206252889999999E-2</v>
      </c>
      <c r="M208">
        <v>109</v>
      </c>
      <c r="N208" s="6">
        <f>MediCare_Data[[#This Row],[Average_Wait_Time (mins)]]/1440</f>
        <v>7.5694444444444439E-2</v>
      </c>
      <c r="O208" s="2">
        <v>1</v>
      </c>
      <c r="P208" s="10">
        <v>41031</v>
      </c>
      <c r="Q208" s="17" t="str">
        <f>IF(AND(MediCare_Data[[#This Row],[Patient_Gender]]="Male", MediCare_Data[[#This Row],[Treatment_Type]]="Maternity"), "Gender-Treatment Mismatch", "Fine")</f>
        <v>Fine</v>
      </c>
      <c r="R208" s="10">
        <f>MediCare_Data[[#This Row],[Revenue_Generated]]-MediCare_Data[[#This Row],[Average_Treatment_Cost]]</f>
        <v>34943</v>
      </c>
      <c r="S208" s="3">
        <f>(MediCare_Data[[#This Row],[Profit]]/MediCare_Data[[#This Row],[Revenue_Generated]])</f>
        <v>0.85162438156515807</v>
      </c>
    </row>
    <row r="209" spans="1:19" x14ac:dyDescent="0.25">
      <c r="A209" t="s">
        <v>256</v>
      </c>
      <c r="B209" t="s">
        <v>82</v>
      </c>
      <c r="C209" t="s">
        <v>15</v>
      </c>
      <c r="D209" t="s">
        <v>16</v>
      </c>
      <c r="E209">
        <v>53</v>
      </c>
      <c r="F209" t="str">
        <f>IF(MediCare_Data[[#This Row],[Patient_Age]]&lt;=18,"0-18",IF(MediCare_Data[[#This Row],[Patient_Age]]&lt;=35,"19-35",IF(MediCare_Data[[#This Row],[Patient_Age]]&lt;=60,"36-60","60+")))</f>
        <v>36-60</v>
      </c>
      <c r="G209" t="s">
        <v>26</v>
      </c>
      <c r="H209" t="s">
        <v>51</v>
      </c>
      <c r="I209" s="2">
        <v>61</v>
      </c>
      <c r="J209" s="11">
        <v>1466</v>
      </c>
      <c r="K209" s="3">
        <v>13.323079959999999</v>
      </c>
      <c r="L209" s="3">
        <f t="shared" si="3"/>
        <v>0.1332307996</v>
      </c>
      <c r="M209">
        <v>151</v>
      </c>
      <c r="N209" s="6">
        <f>MediCare_Data[[#This Row],[Average_Wait_Time (mins)]]/1440</f>
        <v>0.10486111111111111</v>
      </c>
      <c r="O209" s="2">
        <v>3</v>
      </c>
      <c r="P209" s="10">
        <v>14699</v>
      </c>
      <c r="Q209" s="17" t="str">
        <f>IF(AND(MediCare_Data[[#This Row],[Patient_Gender]]="Male", MediCare_Data[[#This Row],[Treatment_Type]]="Maternity"), "Gender-Treatment Mismatch", "Fine")</f>
        <v>Fine</v>
      </c>
      <c r="R209" s="10">
        <f>MediCare_Data[[#This Row],[Revenue_Generated]]-MediCare_Data[[#This Row],[Average_Treatment_Cost]]</f>
        <v>13233</v>
      </c>
      <c r="S209" s="3">
        <f>(MediCare_Data[[#This Row],[Profit]]/MediCare_Data[[#This Row],[Revenue_Generated]])</f>
        <v>0.90026532417171234</v>
      </c>
    </row>
    <row r="210" spans="1:19" x14ac:dyDescent="0.25">
      <c r="A210" t="s">
        <v>257</v>
      </c>
      <c r="B210" t="s">
        <v>82</v>
      </c>
      <c r="C210" t="s">
        <v>54</v>
      </c>
      <c r="D210" t="s">
        <v>21</v>
      </c>
      <c r="E210">
        <v>19</v>
      </c>
      <c r="F210" t="str">
        <f>IF(MediCare_Data[[#This Row],[Patient_Age]]&lt;=18,"0-18",IF(MediCare_Data[[#This Row],[Patient_Age]]&lt;=35,"19-35",IF(MediCare_Data[[#This Row],[Patient_Age]]&lt;=60,"36-60","60+")))</f>
        <v>19-35</v>
      </c>
      <c r="G210" t="s">
        <v>22</v>
      </c>
      <c r="H210" t="s">
        <v>47</v>
      </c>
      <c r="I210" s="2">
        <v>88</v>
      </c>
      <c r="J210" s="11">
        <v>5444</v>
      </c>
      <c r="K210" s="3">
        <v>14.62688303</v>
      </c>
      <c r="L210" s="3">
        <f t="shared" si="3"/>
        <v>0.14626883030000001</v>
      </c>
      <c r="M210">
        <v>147</v>
      </c>
      <c r="N210" s="6">
        <f>MediCare_Data[[#This Row],[Average_Wait_Time (mins)]]/1440</f>
        <v>0.10208333333333333</v>
      </c>
      <c r="O210" s="2">
        <v>3</v>
      </c>
      <c r="P210" s="10">
        <v>22438</v>
      </c>
      <c r="Q210" s="17" t="str">
        <f>IF(AND(MediCare_Data[[#This Row],[Patient_Gender]]="Male", MediCare_Data[[#This Row],[Treatment_Type]]="Maternity"), "Gender-Treatment Mismatch", "Fine")</f>
        <v>Fine</v>
      </c>
      <c r="R210" s="10">
        <f>MediCare_Data[[#This Row],[Revenue_Generated]]-MediCare_Data[[#This Row],[Average_Treatment_Cost]]</f>
        <v>16994</v>
      </c>
      <c r="S210" s="3">
        <f>(MediCare_Data[[#This Row],[Profit]]/MediCare_Data[[#This Row],[Revenue_Generated]])</f>
        <v>0.75737588020322666</v>
      </c>
    </row>
    <row r="211" spans="1:19" x14ac:dyDescent="0.25">
      <c r="A211" t="s">
        <v>258</v>
      </c>
      <c r="B211" t="s">
        <v>28</v>
      </c>
      <c r="C211" t="s">
        <v>15</v>
      </c>
      <c r="D211" t="s">
        <v>32</v>
      </c>
      <c r="E211">
        <v>63</v>
      </c>
      <c r="F211" t="str">
        <f>IF(MediCare_Data[[#This Row],[Patient_Age]]&lt;=18,"0-18",IF(MediCare_Data[[#This Row],[Patient_Age]]&lt;=35,"19-35",IF(MediCare_Data[[#This Row],[Patient_Age]]&lt;=60,"36-60","60+")))</f>
        <v>60+</v>
      </c>
      <c r="G211" t="s">
        <v>43</v>
      </c>
      <c r="H211" t="s">
        <v>47</v>
      </c>
      <c r="I211" s="2">
        <v>51</v>
      </c>
      <c r="J211" s="11">
        <v>3932</v>
      </c>
      <c r="K211" s="3">
        <v>5.3838455359999999</v>
      </c>
      <c r="L211" s="3">
        <f t="shared" si="3"/>
        <v>5.3838455360000002E-2</v>
      </c>
      <c r="M211">
        <v>172</v>
      </c>
      <c r="N211" s="6">
        <f>MediCare_Data[[#This Row],[Average_Wait_Time (mins)]]/1440</f>
        <v>0.11944444444444445</v>
      </c>
      <c r="O211" s="2">
        <v>4</v>
      </c>
      <c r="P211" s="10">
        <v>44856</v>
      </c>
      <c r="Q211" s="17" t="str">
        <f>IF(AND(MediCare_Data[[#This Row],[Patient_Gender]]="Male", MediCare_Data[[#This Row],[Treatment_Type]]="Maternity"), "Gender-Treatment Mismatch", "Fine")</f>
        <v>Fine</v>
      </c>
      <c r="R211" s="10">
        <f>MediCare_Data[[#This Row],[Revenue_Generated]]-MediCare_Data[[#This Row],[Average_Treatment_Cost]]</f>
        <v>40924</v>
      </c>
      <c r="S211" s="3">
        <f>(MediCare_Data[[#This Row],[Profit]]/MediCare_Data[[#This Row],[Revenue_Generated]])</f>
        <v>0.91234171571250222</v>
      </c>
    </row>
    <row r="212" spans="1:19" x14ac:dyDescent="0.25">
      <c r="A212" t="s">
        <v>259</v>
      </c>
      <c r="B212" t="s">
        <v>25</v>
      </c>
      <c r="C212" t="s">
        <v>29</v>
      </c>
      <c r="D212" t="s">
        <v>16</v>
      </c>
      <c r="E212">
        <v>56</v>
      </c>
      <c r="F212" t="str">
        <f>IF(MediCare_Data[[#This Row],[Patient_Age]]&lt;=18,"0-18",IF(MediCare_Data[[#This Row],[Patient_Age]]&lt;=35,"19-35",IF(MediCare_Data[[#This Row],[Patient_Age]]&lt;=60,"36-60","60+")))</f>
        <v>36-60</v>
      </c>
      <c r="G212" t="s">
        <v>43</v>
      </c>
      <c r="H212" t="s">
        <v>47</v>
      </c>
      <c r="I212" s="2">
        <v>52</v>
      </c>
      <c r="J212" s="11">
        <v>1188</v>
      </c>
      <c r="K212" s="3">
        <v>10.196264169999999</v>
      </c>
      <c r="L212" s="3">
        <f t="shared" si="3"/>
        <v>0.1019626417</v>
      </c>
      <c r="M212">
        <v>162</v>
      </c>
      <c r="N212" s="6">
        <f>MediCare_Data[[#This Row],[Average_Wait_Time (mins)]]/1440</f>
        <v>0.1125</v>
      </c>
      <c r="O212" s="2">
        <v>4</v>
      </c>
      <c r="P212" s="10">
        <v>34576</v>
      </c>
      <c r="Q212" s="17" t="str">
        <f>IF(AND(MediCare_Data[[#This Row],[Patient_Gender]]="Male", MediCare_Data[[#This Row],[Treatment_Type]]="Maternity"), "Gender-Treatment Mismatch", "Fine")</f>
        <v>Fine</v>
      </c>
      <c r="R212" s="10">
        <f>MediCare_Data[[#This Row],[Revenue_Generated]]-MediCare_Data[[#This Row],[Average_Treatment_Cost]]</f>
        <v>33388</v>
      </c>
      <c r="S212" s="3">
        <f>(MediCare_Data[[#This Row],[Profit]]/MediCare_Data[[#This Row],[Revenue_Generated]])</f>
        <v>0.96564090698750582</v>
      </c>
    </row>
    <row r="213" spans="1:19" x14ac:dyDescent="0.25">
      <c r="A213" t="s">
        <v>260</v>
      </c>
      <c r="B213" t="s">
        <v>58</v>
      </c>
      <c r="C213" t="s">
        <v>31</v>
      </c>
      <c r="D213" t="s">
        <v>21</v>
      </c>
      <c r="E213">
        <v>65</v>
      </c>
      <c r="F213" t="str">
        <f>IF(MediCare_Data[[#This Row],[Patient_Age]]&lt;=18,"0-18",IF(MediCare_Data[[#This Row],[Patient_Age]]&lt;=35,"19-35",IF(MediCare_Data[[#This Row],[Patient_Age]]&lt;=60,"36-60","60+")))</f>
        <v>60+</v>
      </c>
      <c r="G213" t="s">
        <v>43</v>
      </c>
      <c r="H213" t="s">
        <v>18</v>
      </c>
      <c r="I213" s="2">
        <v>98</v>
      </c>
      <c r="J213" s="11">
        <v>4743</v>
      </c>
      <c r="K213" s="3">
        <v>20.205796459999998</v>
      </c>
      <c r="L213" s="3">
        <f t="shared" si="3"/>
        <v>0.20205796459999997</v>
      </c>
      <c r="M213">
        <v>140</v>
      </c>
      <c r="N213" s="6">
        <f>MediCare_Data[[#This Row],[Average_Wait_Time (mins)]]/1440</f>
        <v>9.7222222222222224E-2</v>
      </c>
      <c r="O213" s="2">
        <v>3</v>
      </c>
      <c r="P213" s="10">
        <v>42938</v>
      </c>
      <c r="Q213" s="17" t="str">
        <f>IF(AND(MediCare_Data[[#This Row],[Patient_Gender]]="Male", MediCare_Data[[#This Row],[Treatment_Type]]="Maternity"), "Gender-Treatment Mismatch", "Fine")</f>
        <v>Fine</v>
      </c>
      <c r="R213" s="10">
        <f>MediCare_Data[[#This Row],[Revenue_Generated]]-MediCare_Data[[#This Row],[Average_Treatment_Cost]]</f>
        <v>38195</v>
      </c>
      <c r="S213" s="3">
        <f>(MediCare_Data[[#This Row],[Profit]]/MediCare_Data[[#This Row],[Revenue_Generated]])</f>
        <v>0.88953840421072239</v>
      </c>
    </row>
    <row r="214" spans="1:19" x14ac:dyDescent="0.25">
      <c r="A214" t="s">
        <v>261</v>
      </c>
      <c r="B214" t="s">
        <v>64</v>
      </c>
      <c r="C214" t="s">
        <v>29</v>
      </c>
      <c r="D214" t="s">
        <v>32</v>
      </c>
      <c r="E214">
        <v>24</v>
      </c>
      <c r="F214" t="str">
        <f>IF(MediCare_Data[[#This Row],[Patient_Age]]&lt;=18,"0-18",IF(MediCare_Data[[#This Row],[Patient_Age]]&lt;=35,"19-35",IF(MediCare_Data[[#This Row],[Patient_Age]]&lt;=60,"36-60","60+")))</f>
        <v>19-35</v>
      </c>
      <c r="G214" t="s">
        <v>22</v>
      </c>
      <c r="H214" t="s">
        <v>18</v>
      </c>
      <c r="I214" s="2">
        <v>86</v>
      </c>
      <c r="J214" s="11">
        <v>4201</v>
      </c>
      <c r="K214" s="3">
        <v>7.7421941150000002</v>
      </c>
      <c r="L214" s="3">
        <f t="shared" si="3"/>
        <v>7.7421941150000007E-2</v>
      </c>
      <c r="M214">
        <v>120</v>
      </c>
      <c r="N214" s="6">
        <f>MediCare_Data[[#This Row],[Average_Wait_Time (mins)]]/1440</f>
        <v>8.3333333333333329E-2</v>
      </c>
      <c r="O214" s="2">
        <v>3</v>
      </c>
      <c r="P214" s="10">
        <v>33247</v>
      </c>
      <c r="Q214" s="17" t="str">
        <f>IF(AND(MediCare_Data[[#This Row],[Patient_Gender]]="Male", MediCare_Data[[#This Row],[Treatment_Type]]="Maternity"), "Gender-Treatment Mismatch", "Fine")</f>
        <v>Fine</v>
      </c>
      <c r="R214" s="10">
        <f>MediCare_Data[[#This Row],[Revenue_Generated]]-MediCare_Data[[#This Row],[Average_Treatment_Cost]]</f>
        <v>29046</v>
      </c>
      <c r="S214" s="3">
        <f>(MediCare_Data[[#This Row],[Profit]]/MediCare_Data[[#This Row],[Revenue_Generated]])</f>
        <v>0.87364273468282849</v>
      </c>
    </row>
    <row r="215" spans="1:19" x14ac:dyDescent="0.25">
      <c r="A215" t="s">
        <v>262</v>
      </c>
      <c r="B215" t="s">
        <v>41</v>
      </c>
      <c r="C215" t="s">
        <v>36</v>
      </c>
      <c r="D215" t="s">
        <v>21</v>
      </c>
      <c r="E215">
        <v>82</v>
      </c>
      <c r="F215" t="str">
        <f>IF(MediCare_Data[[#This Row],[Patient_Age]]&lt;=18,"0-18",IF(MediCare_Data[[#This Row],[Patient_Age]]&lt;=35,"19-35",IF(MediCare_Data[[#This Row],[Patient_Age]]&lt;=60,"36-60","60+")))</f>
        <v>60+</v>
      </c>
      <c r="G215" t="s">
        <v>43</v>
      </c>
      <c r="H215" t="s">
        <v>23</v>
      </c>
      <c r="I215" s="2">
        <v>98</v>
      </c>
      <c r="J215" s="11">
        <v>9033</v>
      </c>
      <c r="K215" s="3">
        <v>15.70620263</v>
      </c>
      <c r="L215" s="3">
        <f t="shared" si="3"/>
        <v>0.15706202629999999</v>
      </c>
      <c r="M215">
        <v>111</v>
      </c>
      <c r="N215" s="6">
        <f>MediCare_Data[[#This Row],[Average_Wait_Time (mins)]]/1440</f>
        <v>7.7083333333333337E-2</v>
      </c>
      <c r="O215" s="2">
        <v>2</v>
      </c>
      <c r="P215" s="10">
        <v>44461</v>
      </c>
      <c r="Q215" s="17" t="str">
        <f>IF(AND(MediCare_Data[[#This Row],[Patient_Gender]]="Male", MediCare_Data[[#This Row],[Treatment_Type]]="Maternity"), "Gender-Treatment Mismatch", "Fine")</f>
        <v>Fine</v>
      </c>
      <c r="R215" s="10">
        <f>MediCare_Data[[#This Row],[Revenue_Generated]]-MediCare_Data[[#This Row],[Average_Treatment_Cost]]</f>
        <v>35428</v>
      </c>
      <c r="S215" s="3">
        <f>(MediCare_Data[[#This Row],[Profit]]/MediCare_Data[[#This Row],[Revenue_Generated]])</f>
        <v>0.79683317964058387</v>
      </c>
    </row>
    <row r="216" spans="1:19" x14ac:dyDescent="0.25">
      <c r="A216" t="s">
        <v>263</v>
      </c>
      <c r="B216" t="s">
        <v>45</v>
      </c>
      <c r="C216" t="s">
        <v>46</v>
      </c>
      <c r="D216" t="s">
        <v>32</v>
      </c>
      <c r="E216">
        <v>44</v>
      </c>
      <c r="F216" t="str">
        <f>IF(MediCare_Data[[#This Row],[Patient_Age]]&lt;=18,"0-18",IF(MediCare_Data[[#This Row],[Patient_Age]]&lt;=35,"19-35",IF(MediCare_Data[[#This Row],[Patient_Age]]&lt;=60,"36-60","60+")))</f>
        <v>36-60</v>
      </c>
      <c r="G216" t="s">
        <v>43</v>
      </c>
      <c r="H216" t="s">
        <v>37</v>
      </c>
      <c r="I216" s="2">
        <v>66</v>
      </c>
      <c r="J216" s="11">
        <v>5682</v>
      </c>
      <c r="K216" s="3">
        <v>9.3040374400000001</v>
      </c>
      <c r="L216" s="3">
        <f t="shared" si="3"/>
        <v>9.30403744E-2</v>
      </c>
      <c r="M216">
        <v>26</v>
      </c>
      <c r="N216" s="6">
        <f>MediCare_Data[[#This Row],[Average_Wait_Time (mins)]]/1440</f>
        <v>1.8055555555555554E-2</v>
      </c>
      <c r="O216" s="2">
        <v>4</v>
      </c>
      <c r="P216" s="10">
        <v>28938</v>
      </c>
      <c r="Q216" s="17" t="str">
        <f>IF(AND(MediCare_Data[[#This Row],[Patient_Gender]]="Male", MediCare_Data[[#This Row],[Treatment_Type]]="Maternity"), "Gender-Treatment Mismatch", "Fine")</f>
        <v>Fine</v>
      </c>
      <c r="R216" s="10">
        <f>MediCare_Data[[#This Row],[Revenue_Generated]]-MediCare_Data[[#This Row],[Average_Treatment_Cost]]</f>
        <v>23256</v>
      </c>
      <c r="S216" s="3">
        <f>(MediCare_Data[[#This Row],[Profit]]/MediCare_Data[[#This Row],[Revenue_Generated]])</f>
        <v>0.80364918100767158</v>
      </c>
    </row>
    <row r="217" spans="1:19" x14ac:dyDescent="0.25">
      <c r="A217" t="s">
        <v>264</v>
      </c>
      <c r="B217" t="s">
        <v>28</v>
      </c>
      <c r="C217" t="s">
        <v>20</v>
      </c>
      <c r="D217" t="s">
        <v>16</v>
      </c>
      <c r="E217">
        <v>35</v>
      </c>
      <c r="F217" t="str">
        <f>IF(MediCare_Data[[#This Row],[Patient_Age]]&lt;=18,"0-18",IF(MediCare_Data[[#This Row],[Patient_Age]]&lt;=35,"19-35",IF(MediCare_Data[[#This Row],[Patient_Age]]&lt;=60,"36-60","60+")))</f>
        <v>19-35</v>
      </c>
      <c r="G217" t="s">
        <v>43</v>
      </c>
      <c r="H217" t="s">
        <v>33</v>
      </c>
      <c r="I217" s="2">
        <v>98</v>
      </c>
      <c r="J217" s="11">
        <v>7204</v>
      </c>
      <c r="K217" s="3">
        <v>5.2424154930000002</v>
      </c>
      <c r="L217" s="3">
        <f t="shared" si="3"/>
        <v>5.2424154930000001E-2</v>
      </c>
      <c r="M217">
        <v>21</v>
      </c>
      <c r="N217" s="6">
        <f>MediCare_Data[[#This Row],[Average_Wait_Time (mins)]]/1440</f>
        <v>1.4583333333333334E-2</v>
      </c>
      <c r="O217" s="2">
        <v>4</v>
      </c>
      <c r="P217" s="10">
        <v>41469</v>
      </c>
      <c r="Q217" s="17" t="str">
        <f>IF(AND(MediCare_Data[[#This Row],[Patient_Gender]]="Male", MediCare_Data[[#This Row],[Treatment_Type]]="Maternity"), "Gender-Treatment Mismatch", "Fine")</f>
        <v>Fine</v>
      </c>
      <c r="R217" s="10">
        <f>MediCare_Data[[#This Row],[Revenue_Generated]]-MediCare_Data[[#This Row],[Average_Treatment_Cost]]</f>
        <v>34265</v>
      </c>
      <c r="S217" s="3">
        <f>(MediCare_Data[[#This Row],[Profit]]/MediCare_Data[[#This Row],[Revenue_Generated]])</f>
        <v>0.82627987171139883</v>
      </c>
    </row>
    <row r="218" spans="1:19" x14ac:dyDescent="0.25">
      <c r="A218" t="s">
        <v>265</v>
      </c>
      <c r="B218" t="s">
        <v>28</v>
      </c>
      <c r="C218" t="s">
        <v>36</v>
      </c>
      <c r="D218" t="s">
        <v>21</v>
      </c>
      <c r="E218">
        <v>67</v>
      </c>
      <c r="F218" t="str">
        <f>IF(MediCare_Data[[#This Row],[Patient_Age]]&lt;=18,"0-18",IF(MediCare_Data[[#This Row],[Patient_Age]]&lt;=35,"19-35",IF(MediCare_Data[[#This Row],[Patient_Age]]&lt;=60,"36-60","60+")))</f>
        <v>60+</v>
      </c>
      <c r="G218" t="s">
        <v>43</v>
      </c>
      <c r="H218" t="s">
        <v>51</v>
      </c>
      <c r="I218" s="2">
        <v>51</v>
      </c>
      <c r="J218" s="11">
        <v>4922</v>
      </c>
      <c r="K218" s="3">
        <v>9.8240291519999996</v>
      </c>
      <c r="L218" s="3">
        <f t="shared" si="3"/>
        <v>9.8240291519999995E-2</v>
      </c>
      <c r="M218">
        <v>125</v>
      </c>
      <c r="N218" s="6">
        <f>MediCare_Data[[#This Row],[Average_Wait_Time (mins)]]/1440</f>
        <v>8.6805555555555552E-2</v>
      </c>
      <c r="O218" s="2">
        <v>2</v>
      </c>
      <c r="P218" s="10">
        <v>18600</v>
      </c>
      <c r="Q218" s="17" t="str">
        <f>IF(AND(MediCare_Data[[#This Row],[Patient_Gender]]="Male", MediCare_Data[[#This Row],[Treatment_Type]]="Maternity"), "Gender-Treatment Mismatch", "Fine")</f>
        <v>Fine</v>
      </c>
      <c r="R218" s="10">
        <f>MediCare_Data[[#This Row],[Revenue_Generated]]-MediCare_Data[[#This Row],[Average_Treatment_Cost]]</f>
        <v>13678</v>
      </c>
      <c r="S218" s="3">
        <f>(MediCare_Data[[#This Row],[Profit]]/MediCare_Data[[#This Row],[Revenue_Generated]])</f>
        <v>0.73537634408602148</v>
      </c>
    </row>
    <row r="219" spans="1:19" x14ac:dyDescent="0.25">
      <c r="A219" t="s">
        <v>266</v>
      </c>
      <c r="B219" t="s">
        <v>56</v>
      </c>
      <c r="C219" t="s">
        <v>46</v>
      </c>
      <c r="D219" t="s">
        <v>21</v>
      </c>
      <c r="E219">
        <v>44</v>
      </c>
      <c r="F219" t="str">
        <f>IF(MediCare_Data[[#This Row],[Patient_Age]]&lt;=18,"0-18",IF(MediCare_Data[[#This Row],[Patient_Age]]&lt;=35,"19-35",IF(MediCare_Data[[#This Row],[Patient_Age]]&lt;=60,"36-60","60+")))</f>
        <v>36-60</v>
      </c>
      <c r="G219" t="s">
        <v>17</v>
      </c>
      <c r="H219" t="s">
        <v>33</v>
      </c>
      <c r="I219" s="2">
        <v>51</v>
      </c>
      <c r="J219" s="11">
        <v>2259</v>
      </c>
      <c r="K219" s="3">
        <v>24.517475099999999</v>
      </c>
      <c r="L219" s="3">
        <f t="shared" si="3"/>
        <v>0.245174751</v>
      </c>
      <c r="M219">
        <v>33</v>
      </c>
      <c r="N219" s="6">
        <f>MediCare_Data[[#This Row],[Average_Wait_Time (mins)]]/1440</f>
        <v>2.2916666666666665E-2</v>
      </c>
      <c r="O219" s="2">
        <v>1</v>
      </c>
      <c r="P219" s="10">
        <v>21435</v>
      </c>
      <c r="Q219" s="17" t="str">
        <f>IF(AND(MediCare_Data[[#This Row],[Patient_Gender]]="Male", MediCare_Data[[#This Row],[Treatment_Type]]="Maternity"), "Gender-Treatment Mismatch", "Fine")</f>
        <v>Fine</v>
      </c>
      <c r="R219" s="10">
        <f>MediCare_Data[[#This Row],[Revenue_Generated]]-MediCare_Data[[#This Row],[Average_Treatment_Cost]]</f>
        <v>19176</v>
      </c>
      <c r="S219" s="3">
        <f>(MediCare_Data[[#This Row],[Profit]]/MediCare_Data[[#This Row],[Revenue_Generated]])</f>
        <v>0.8946116165150455</v>
      </c>
    </row>
    <row r="220" spans="1:19" x14ac:dyDescent="0.25">
      <c r="A220" t="s">
        <v>267</v>
      </c>
      <c r="B220" t="s">
        <v>61</v>
      </c>
      <c r="C220" t="s">
        <v>29</v>
      </c>
      <c r="D220" t="s">
        <v>21</v>
      </c>
      <c r="E220">
        <v>86</v>
      </c>
      <c r="F220" t="str">
        <f>IF(MediCare_Data[[#This Row],[Patient_Age]]&lt;=18,"0-18",IF(MediCare_Data[[#This Row],[Patient_Age]]&lt;=35,"19-35",IF(MediCare_Data[[#This Row],[Patient_Age]]&lt;=60,"36-60","60+")))</f>
        <v>60+</v>
      </c>
      <c r="G220" t="s">
        <v>22</v>
      </c>
      <c r="H220" t="s">
        <v>23</v>
      </c>
      <c r="I220" s="2">
        <v>77</v>
      </c>
      <c r="J220" s="11">
        <v>9681</v>
      </c>
      <c r="K220" s="3">
        <v>21.030742239999999</v>
      </c>
      <c r="L220" s="3">
        <f t="shared" si="3"/>
        <v>0.2103074224</v>
      </c>
      <c r="M220">
        <v>38</v>
      </c>
      <c r="N220" s="6">
        <f>MediCare_Data[[#This Row],[Average_Wait_Time (mins)]]/1440</f>
        <v>2.6388888888888889E-2</v>
      </c>
      <c r="O220" s="2">
        <v>4</v>
      </c>
      <c r="P220" s="10">
        <v>19581</v>
      </c>
      <c r="Q220" s="17" t="str">
        <f>IF(AND(MediCare_Data[[#This Row],[Patient_Gender]]="Male", MediCare_Data[[#This Row],[Treatment_Type]]="Maternity"), "Gender-Treatment Mismatch", "Fine")</f>
        <v>Fine</v>
      </c>
      <c r="R220" s="10">
        <f>MediCare_Data[[#This Row],[Revenue_Generated]]-MediCare_Data[[#This Row],[Average_Treatment_Cost]]</f>
        <v>9900</v>
      </c>
      <c r="S220" s="3">
        <f>(MediCare_Data[[#This Row],[Profit]]/MediCare_Data[[#This Row],[Revenue_Generated]])</f>
        <v>0.50559215566110005</v>
      </c>
    </row>
    <row r="221" spans="1:19" x14ac:dyDescent="0.25">
      <c r="A221" t="s">
        <v>268</v>
      </c>
      <c r="B221" t="s">
        <v>28</v>
      </c>
      <c r="C221" t="s">
        <v>42</v>
      </c>
      <c r="D221" t="s">
        <v>21</v>
      </c>
      <c r="E221">
        <v>59</v>
      </c>
      <c r="F221" t="str">
        <f>IF(MediCare_Data[[#This Row],[Patient_Age]]&lt;=18,"0-18",IF(MediCare_Data[[#This Row],[Patient_Age]]&lt;=35,"19-35",IF(MediCare_Data[[#This Row],[Patient_Age]]&lt;=60,"36-60","60+")))</f>
        <v>36-60</v>
      </c>
      <c r="G221" t="s">
        <v>22</v>
      </c>
      <c r="H221" t="s">
        <v>47</v>
      </c>
      <c r="I221" s="2">
        <v>72</v>
      </c>
      <c r="J221" s="11">
        <v>2982</v>
      </c>
      <c r="K221" s="3">
        <v>24.191532890000001</v>
      </c>
      <c r="L221" s="3">
        <f t="shared" si="3"/>
        <v>0.2419153289</v>
      </c>
      <c r="M221">
        <v>162</v>
      </c>
      <c r="N221" s="6">
        <f>MediCare_Data[[#This Row],[Average_Wait_Time (mins)]]/1440</f>
        <v>0.1125</v>
      </c>
      <c r="O221" s="2">
        <v>4</v>
      </c>
      <c r="P221" s="10">
        <v>15191</v>
      </c>
      <c r="Q221" s="17" t="str">
        <f>IF(AND(MediCare_Data[[#This Row],[Patient_Gender]]="Male", MediCare_Data[[#This Row],[Treatment_Type]]="Maternity"), "Gender-Treatment Mismatch", "Fine")</f>
        <v>Fine</v>
      </c>
      <c r="R221" s="10">
        <f>MediCare_Data[[#This Row],[Revenue_Generated]]-MediCare_Data[[#This Row],[Average_Treatment_Cost]]</f>
        <v>12209</v>
      </c>
      <c r="S221" s="3">
        <f>(MediCare_Data[[#This Row],[Profit]]/MediCare_Data[[#This Row],[Revenue_Generated]])</f>
        <v>0.80369955894937795</v>
      </c>
    </row>
    <row r="222" spans="1:19" x14ac:dyDescent="0.25">
      <c r="A222" t="s">
        <v>269</v>
      </c>
      <c r="B222" t="s">
        <v>41</v>
      </c>
      <c r="C222" t="s">
        <v>31</v>
      </c>
      <c r="D222" t="s">
        <v>32</v>
      </c>
      <c r="E222">
        <v>68</v>
      </c>
      <c r="F222" t="str">
        <f>IF(MediCare_Data[[#This Row],[Patient_Age]]&lt;=18,"0-18",IF(MediCare_Data[[#This Row],[Patient_Age]]&lt;=35,"19-35",IF(MediCare_Data[[#This Row],[Patient_Age]]&lt;=60,"36-60","60+")))</f>
        <v>60+</v>
      </c>
      <c r="G222" t="s">
        <v>43</v>
      </c>
      <c r="H222" t="s">
        <v>47</v>
      </c>
      <c r="I222" s="2">
        <v>86</v>
      </c>
      <c r="J222" s="11">
        <v>8558</v>
      </c>
      <c r="K222" s="3">
        <v>14.75708088</v>
      </c>
      <c r="L222" s="3">
        <f t="shared" si="3"/>
        <v>0.14757080880000001</v>
      </c>
      <c r="M222">
        <v>131</v>
      </c>
      <c r="N222" s="6">
        <f>MediCare_Data[[#This Row],[Average_Wait_Time (mins)]]/1440</f>
        <v>9.0972222222222218E-2</v>
      </c>
      <c r="O222" s="2">
        <v>1</v>
      </c>
      <c r="P222" s="10">
        <v>20190</v>
      </c>
      <c r="Q222" s="17" t="str">
        <f>IF(AND(MediCare_Data[[#This Row],[Patient_Gender]]="Male", MediCare_Data[[#This Row],[Treatment_Type]]="Maternity"), "Gender-Treatment Mismatch", "Fine")</f>
        <v>Fine</v>
      </c>
      <c r="R222" s="10">
        <f>MediCare_Data[[#This Row],[Revenue_Generated]]-MediCare_Data[[#This Row],[Average_Treatment_Cost]]</f>
        <v>11632</v>
      </c>
      <c r="S222" s="3">
        <f>(MediCare_Data[[#This Row],[Profit]]/MediCare_Data[[#This Row],[Revenue_Generated]])</f>
        <v>0.57612679544328871</v>
      </c>
    </row>
    <row r="223" spans="1:19" x14ac:dyDescent="0.25">
      <c r="A223" t="s">
        <v>270</v>
      </c>
      <c r="B223" t="s">
        <v>14</v>
      </c>
      <c r="C223" t="s">
        <v>15</v>
      </c>
      <c r="D223" t="s">
        <v>16</v>
      </c>
      <c r="E223">
        <v>88</v>
      </c>
      <c r="F223" t="str">
        <f>IF(MediCare_Data[[#This Row],[Patient_Age]]&lt;=18,"0-18",IF(MediCare_Data[[#This Row],[Patient_Age]]&lt;=35,"19-35",IF(MediCare_Data[[#This Row],[Patient_Age]]&lt;=60,"36-60","60+")))</f>
        <v>60+</v>
      </c>
      <c r="G223" t="s">
        <v>26</v>
      </c>
      <c r="H223" t="s">
        <v>23</v>
      </c>
      <c r="I223" s="2">
        <v>81</v>
      </c>
      <c r="J223" s="11">
        <v>1451</v>
      </c>
      <c r="K223" s="3">
        <v>7.1947239740000004</v>
      </c>
      <c r="L223" s="3">
        <f t="shared" si="3"/>
        <v>7.1947239740000002E-2</v>
      </c>
      <c r="M223">
        <v>99</v>
      </c>
      <c r="N223" s="6">
        <f>MediCare_Data[[#This Row],[Average_Wait_Time (mins)]]/1440</f>
        <v>6.8750000000000006E-2</v>
      </c>
      <c r="O223" s="2">
        <v>4</v>
      </c>
      <c r="P223" s="10">
        <v>28386</v>
      </c>
      <c r="Q223" s="17" t="str">
        <f>IF(AND(MediCare_Data[[#This Row],[Patient_Gender]]="Male", MediCare_Data[[#This Row],[Treatment_Type]]="Maternity"), "Gender-Treatment Mismatch", "Fine")</f>
        <v>Fine</v>
      </c>
      <c r="R223" s="10">
        <f>MediCare_Data[[#This Row],[Revenue_Generated]]-MediCare_Data[[#This Row],[Average_Treatment_Cost]]</f>
        <v>26935</v>
      </c>
      <c r="S223" s="3">
        <f>(MediCare_Data[[#This Row],[Profit]]/MediCare_Data[[#This Row],[Revenue_Generated]])</f>
        <v>0.9488832523074755</v>
      </c>
    </row>
    <row r="224" spans="1:19" x14ac:dyDescent="0.25">
      <c r="A224" t="s">
        <v>271</v>
      </c>
      <c r="B224" t="s">
        <v>53</v>
      </c>
      <c r="C224" t="s">
        <v>42</v>
      </c>
      <c r="D224" t="s">
        <v>21</v>
      </c>
      <c r="E224">
        <v>42</v>
      </c>
      <c r="F224" t="str">
        <f>IF(MediCare_Data[[#This Row],[Patient_Age]]&lt;=18,"0-18",IF(MediCare_Data[[#This Row],[Patient_Age]]&lt;=35,"19-35",IF(MediCare_Data[[#This Row],[Patient_Age]]&lt;=60,"36-60","60+")))</f>
        <v>36-60</v>
      </c>
      <c r="G224" t="s">
        <v>43</v>
      </c>
      <c r="H224" t="s">
        <v>51</v>
      </c>
      <c r="I224" s="2">
        <v>82</v>
      </c>
      <c r="J224" s="11">
        <v>9414</v>
      </c>
      <c r="K224" s="3">
        <v>15.959189780000001</v>
      </c>
      <c r="L224" s="3">
        <f t="shared" si="3"/>
        <v>0.15959189780000002</v>
      </c>
      <c r="M224">
        <v>74</v>
      </c>
      <c r="N224" s="6">
        <f>MediCare_Data[[#This Row],[Average_Wait_Time (mins)]]/1440</f>
        <v>5.1388888888888887E-2</v>
      </c>
      <c r="O224" s="2">
        <v>4</v>
      </c>
      <c r="P224" s="10">
        <v>32721</v>
      </c>
      <c r="Q224" s="17" t="str">
        <f>IF(AND(MediCare_Data[[#This Row],[Patient_Gender]]="Male", MediCare_Data[[#This Row],[Treatment_Type]]="Maternity"), "Gender-Treatment Mismatch", "Fine")</f>
        <v>Fine</v>
      </c>
      <c r="R224" s="10">
        <f>MediCare_Data[[#This Row],[Revenue_Generated]]-MediCare_Data[[#This Row],[Average_Treatment_Cost]]</f>
        <v>23307</v>
      </c>
      <c r="S224" s="3">
        <f>(MediCare_Data[[#This Row],[Profit]]/MediCare_Data[[#This Row],[Revenue_Generated]])</f>
        <v>0.71229485651416524</v>
      </c>
    </row>
    <row r="225" spans="1:19" x14ac:dyDescent="0.25">
      <c r="A225" t="s">
        <v>272</v>
      </c>
      <c r="B225" t="s">
        <v>58</v>
      </c>
      <c r="C225" t="s">
        <v>46</v>
      </c>
      <c r="D225" t="s">
        <v>16</v>
      </c>
      <c r="E225">
        <v>78</v>
      </c>
      <c r="F225" t="str">
        <f>IF(MediCare_Data[[#This Row],[Patient_Age]]&lt;=18,"0-18",IF(MediCare_Data[[#This Row],[Patient_Age]]&lt;=35,"19-35",IF(MediCare_Data[[#This Row],[Patient_Age]]&lt;=60,"36-60","60+")))</f>
        <v>60+</v>
      </c>
      <c r="G225" t="s">
        <v>22</v>
      </c>
      <c r="H225" t="s">
        <v>33</v>
      </c>
      <c r="I225" s="2">
        <v>50</v>
      </c>
      <c r="J225" s="11">
        <v>2579</v>
      </c>
      <c r="K225" s="3">
        <v>14.08754669</v>
      </c>
      <c r="L225" s="3">
        <f t="shared" si="3"/>
        <v>0.1408754669</v>
      </c>
      <c r="M225">
        <v>93</v>
      </c>
      <c r="N225" s="6">
        <f>MediCare_Data[[#This Row],[Average_Wait_Time (mins)]]/1440</f>
        <v>6.458333333333334E-2</v>
      </c>
      <c r="O225" s="2">
        <v>1</v>
      </c>
      <c r="P225" s="10">
        <v>14704</v>
      </c>
      <c r="Q225" s="17" t="str">
        <f>IF(AND(MediCare_Data[[#This Row],[Patient_Gender]]="Male", MediCare_Data[[#This Row],[Treatment_Type]]="Maternity"), "Gender-Treatment Mismatch", "Fine")</f>
        <v>Fine</v>
      </c>
      <c r="R225" s="10">
        <f>MediCare_Data[[#This Row],[Revenue_Generated]]-MediCare_Data[[#This Row],[Average_Treatment_Cost]]</f>
        <v>12125</v>
      </c>
      <c r="S225" s="3">
        <f>(MediCare_Data[[#This Row],[Profit]]/MediCare_Data[[#This Row],[Revenue_Generated]])</f>
        <v>0.82460554951033738</v>
      </c>
    </row>
    <row r="226" spans="1:19" x14ac:dyDescent="0.25">
      <c r="A226" t="s">
        <v>273</v>
      </c>
      <c r="B226" t="s">
        <v>56</v>
      </c>
      <c r="C226" t="s">
        <v>29</v>
      </c>
      <c r="D226" t="s">
        <v>32</v>
      </c>
      <c r="E226">
        <v>85</v>
      </c>
      <c r="F226" t="str">
        <f>IF(MediCare_Data[[#This Row],[Patient_Age]]&lt;=18,"0-18",IF(MediCare_Data[[#This Row],[Patient_Age]]&lt;=35,"19-35",IF(MediCare_Data[[#This Row],[Patient_Age]]&lt;=60,"36-60","60+")))</f>
        <v>60+</v>
      </c>
      <c r="G226" t="s">
        <v>17</v>
      </c>
      <c r="H226" t="s">
        <v>47</v>
      </c>
      <c r="I226" s="2">
        <v>68</v>
      </c>
      <c r="J226" s="11">
        <v>3217</v>
      </c>
      <c r="K226" s="3">
        <v>21.88714165</v>
      </c>
      <c r="L226" s="3">
        <f t="shared" si="3"/>
        <v>0.2188714165</v>
      </c>
      <c r="M226">
        <v>128</v>
      </c>
      <c r="N226" s="6">
        <f>MediCare_Data[[#This Row],[Average_Wait_Time (mins)]]/1440</f>
        <v>8.8888888888888892E-2</v>
      </c>
      <c r="O226" s="2">
        <v>1</v>
      </c>
      <c r="P226" s="10">
        <v>3123</v>
      </c>
      <c r="Q226" s="17" t="str">
        <f>IF(AND(MediCare_Data[[#This Row],[Patient_Gender]]="Male", MediCare_Data[[#This Row],[Treatment_Type]]="Maternity"), "Gender-Treatment Mismatch", "Fine")</f>
        <v>Fine</v>
      </c>
      <c r="R226" s="10">
        <f>MediCare_Data[[#This Row],[Revenue_Generated]]-MediCare_Data[[#This Row],[Average_Treatment_Cost]]</f>
        <v>-94</v>
      </c>
      <c r="S226" s="3">
        <f>(MediCare_Data[[#This Row],[Profit]]/MediCare_Data[[#This Row],[Revenue_Generated]])</f>
        <v>-3.009926352865834E-2</v>
      </c>
    </row>
    <row r="227" spans="1:19" x14ac:dyDescent="0.25">
      <c r="A227" t="s">
        <v>274</v>
      </c>
      <c r="B227" t="s">
        <v>41</v>
      </c>
      <c r="C227" t="s">
        <v>29</v>
      </c>
      <c r="D227" t="s">
        <v>16</v>
      </c>
      <c r="E227">
        <v>19</v>
      </c>
      <c r="F227" t="str">
        <f>IF(MediCare_Data[[#This Row],[Patient_Age]]&lt;=18,"0-18",IF(MediCare_Data[[#This Row],[Patient_Age]]&lt;=35,"19-35",IF(MediCare_Data[[#This Row],[Patient_Age]]&lt;=60,"36-60","60+")))</f>
        <v>19-35</v>
      </c>
      <c r="G227" t="s">
        <v>43</v>
      </c>
      <c r="H227" t="s">
        <v>47</v>
      </c>
      <c r="I227" s="2">
        <v>51</v>
      </c>
      <c r="J227" s="11">
        <v>5024</v>
      </c>
      <c r="K227" s="3">
        <v>6.9616516160000002</v>
      </c>
      <c r="L227" s="3">
        <f t="shared" si="3"/>
        <v>6.9616516160000003E-2</v>
      </c>
      <c r="M227">
        <v>165</v>
      </c>
      <c r="N227" s="6">
        <f>MediCare_Data[[#This Row],[Average_Wait_Time (mins)]]/1440</f>
        <v>0.11458333333333333</v>
      </c>
      <c r="O227" s="2">
        <v>3</v>
      </c>
      <c r="P227" s="10">
        <v>26174</v>
      </c>
      <c r="Q227" s="17" t="str">
        <f>IF(AND(MediCare_Data[[#This Row],[Patient_Gender]]="Male", MediCare_Data[[#This Row],[Treatment_Type]]="Maternity"), "Gender-Treatment Mismatch", "Fine")</f>
        <v>Fine</v>
      </c>
      <c r="R227" s="10">
        <f>MediCare_Data[[#This Row],[Revenue_Generated]]-MediCare_Data[[#This Row],[Average_Treatment_Cost]]</f>
        <v>21150</v>
      </c>
      <c r="S227" s="3">
        <f>(MediCare_Data[[#This Row],[Profit]]/MediCare_Data[[#This Row],[Revenue_Generated]])</f>
        <v>0.80805379384121645</v>
      </c>
    </row>
    <row r="228" spans="1:19" x14ac:dyDescent="0.25">
      <c r="A228" t="s">
        <v>275</v>
      </c>
      <c r="B228" t="s">
        <v>61</v>
      </c>
      <c r="C228" t="s">
        <v>20</v>
      </c>
      <c r="D228" t="s">
        <v>16</v>
      </c>
      <c r="E228">
        <v>12</v>
      </c>
      <c r="F228" t="str">
        <f>IF(MediCare_Data[[#This Row],[Patient_Age]]&lt;=18,"0-18",IF(MediCare_Data[[#This Row],[Patient_Age]]&lt;=35,"19-35",IF(MediCare_Data[[#This Row],[Patient_Age]]&lt;=60,"36-60","60+")))</f>
        <v>0-18</v>
      </c>
      <c r="G228" t="s">
        <v>17</v>
      </c>
      <c r="H228" t="s">
        <v>18</v>
      </c>
      <c r="I228" s="2">
        <v>93</v>
      </c>
      <c r="J228" s="11">
        <v>8977</v>
      </c>
      <c r="K228" s="3">
        <v>14.76482274</v>
      </c>
      <c r="L228" s="3">
        <f t="shared" si="3"/>
        <v>0.1476482274</v>
      </c>
      <c r="M228">
        <v>25</v>
      </c>
      <c r="N228" s="6">
        <f>MediCare_Data[[#This Row],[Average_Wait_Time (mins)]]/1440</f>
        <v>1.7361111111111112E-2</v>
      </c>
      <c r="O228" s="2">
        <v>2</v>
      </c>
      <c r="P228" s="10">
        <v>45301</v>
      </c>
      <c r="Q228" s="17" t="str">
        <f>IF(AND(MediCare_Data[[#This Row],[Patient_Gender]]="Male", MediCare_Data[[#This Row],[Treatment_Type]]="Maternity"), "Gender-Treatment Mismatch", "Fine")</f>
        <v>Fine</v>
      </c>
      <c r="R228" s="10">
        <f>MediCare_Data[[#This Row],[Revenue_Generated]]-MediCare_Data[[#This Row],[Average_Treatment_Cost]]</f>
        <v>36324</v>
      </c>
      <c r="S228" s="3">
        <f>(MediCare_Data[[#This Row],[Profit]]/MediCare_Data[[#This Row],[Revenue_Generated]])</f>
        <v>0.80183660404847579</v>
      </c>
    </row>
    <row r="229" spans="1:19" x14ac:dyDescent="0.25">
      <c r="A229" t="s">
        <v>276</v>
      </c>
      <c r="B229" t="s">
        <v>61</v>
      </c>
      <c r="C229" t="s">
        <v>29</v>
      </c>
      <c r="D229" t="s">
        <v>32</v>
      </c>
      <c r="E229">
        <v>15</v>
      </c>
      <c r="F229" t="str">
        <f>IF(MediCare_Data[[#This Row],[Patient_Age]]&lt;=18,"0-18",IF(MediCare_Data[[#This Row],[Patient_Age]]&lt;=35,"19-35",IF(MediCare_Data[[#This Row],[Patient_Age]]&lt;=60,"36-60","60+")))</f>
        <v>0-18</v>
      </c>
      <c r="G229" t="s">
        <v>26</v>
      </c>
      <c r="H229" t="s">
        <v>37</v>
      </c>
      <c r="I229" s="2">
        <v>75</v>
      </c>
      <c r="J229" s="11">
        <v>7811</v>
      </c>
      <c r="K229" s="3">
        <v>8.0009732939999996</v>
      </c>
      <c r="L229" s="3">
        <f t="shared" si="3"/>
        <v>8.0009732939999995E-2</v>
      </c>
      <c r="M229">
        <v>113</v>
      </c>
      <c r="N229" s="6">
        <f>MediCare_Data[[#This Row],[Average_Wait_Time (mins)]]/1440</f>
        <v>7.8472222222222221E-2</v>
      </c>
      <c r="O229" s="2">
        <v>2</v>
      </c>
      <c r="P229" s="10">
        <v>48216</v>
      </c>
      <c r="Q229" s="17" t="str">
        <f>IF(AND(MediCare_Data[[#This Row],[Patient_Gender]]="Male", MediCare_Data[[#This Row],[Treatment_Type]]="Maternity"), "Gender-Treatment Mismatch", "Fine")</f>
        <v>Fine</v>
      </c>
      <c r="R229" s="10">
        <f>MediCare_Data[[#This Row],[Revenue_Generated]]-MediCare_Data[[#This Row],[Average_Treatment_Cost]]</f>
        <v>40405</v>
      </c>
      <c r="S229" s="3">
        <f>(MediCare_Data[[#This Row],[Profit]]/MediCare_Data[[#This Row],[Revenue_Generated]])</f>
        <v>0.83799983407997347</v>
      </c>
    </row>
    <row r="230" spans="1:19" x14ac:dyDescent="0.25">
      <c r="A230" t="s">
        <v>277</v>
      </c>
      <c r="B230" t="s">
        <v>39</v>
      </c>
      <c r="C230" t="s">
        <v>36</v>
      </c>
      <c r="D230" t="s">
        <v>21</v>
      </c>
      <c r="E230">
        <v>90</v>
      </c>
      <c r="F230" t="str">
        <f>IF(MediCare_Data[[#This Row],[Patient_Age]]&lt;=18,"0-18",IF(MediCare_Data[[#This Row],[Patient_Age]]&lt;=35,"19-35",IF(MediCare_Data[[#This Row],[Patient_Age]]&lt;=60,"36-60","60+")))</f>
        <v>60+</v>
      </c>
      <c r="G230" t="s">
        <v>26</v>
      </c>
      <c r="H230" t="s">
        <v>33</v>
      </c>
      <c r="I230" s="2">
        <v>81</v>
      </c>
      <c r="J230" s="11">
        <v>7686</v>
      </c>
      <c r="K230" s="3">
        <v>11.49351854</v>
      </c>
      <c r="L230" s="3">
        <f t="shared" si="3"/>
        <v>0.1149351854</v>
      </c>
      <c r="M230">
        <v>101</v>
      </c>
      <c r="N230" s="6">
        <f>MediCare_Data[[#This Row],[Average_Wait_Time (mins)]]/1440</f>
        <v>7.013888888888889E-2</v>
      </c>
      <c r="O230" s="2">
        <v>1</v>
      </c>
      <c r="P230" s="10">
        <v>15586</v>
      </c>
      <c r="Q230" s="17" t="str">
        <f>IF(AND(MediCare_Data[[#This Row],[Patient_Gender]]="Male", MediCare_Data[[#This Row],[Treatment_Type]]="Maternity"), "Gender-Treatment Mismatch", "Fine")</f>
        <v>Fine</v>
      </c>
      <c r="R230" s="10">
        <f>MediCare_Data[[#This Row],[Revenue_Generated]]-MediCare_Data[[#This Row],[Average_Treatment_Cost]]</f>
        <v>7900</v>
      </c>
      <c r="S230" s="3">
        <f>(MediCare_Data[[#This Row],[Profit]]/MediCare_Data[[#This Row],[Revenue_Generated]])</f>
        <v>0.50686513537790323</v>
      </c>
    </row>
    <row r="231" spans="1:19" x14ac:dyDescent="0.25">
      <c r="A231" t="s">
        <v>278</v>
      </c>
      <c r="B231" t="s">
        <v>74</v>
      </c>
      <c r="C231" t="s">
        <v>31</v>
      </c>
      <c r="D231" t="s">
        <v>32</v>
      </c>
      <c r="E231">
        <v>36</v>
      </c>
      <c r="F231" t="str">
        <f>IF(MediCare_Data[[#This Row],[Patient_Age]]&lt;=18,"0-18",IF(MediCare_Data[[#This Row],[Patient_Age]]&lt;=35,"19-35",IF(MediCare_Data[[#This Row],[Patient_Age]]&lt;=60,"36-60","60+")))</f>
        <v>36-60</v>
      </c>
      <c r="G231" t="s">
        <v>43</v>
      </c>
      <c r="H231" t="s">
        <v>47</v>
      </c>
      <c r="I231" s="2">
        <v>55</v>
      </c>
      <c r="J231" s="11">
        <v>2565</v>
      </c>
      <c r="K231" s="3">
        <v>19.747141549999998</v>
      </c>
      <c r="L231" s="3">
        <f t="shared" si="3"/>
        <v>0.1974714155</v>
      </c>
      <c r="M231">
        <v>36</v>
      </c>
      <c r="N231" s="6">
        <f>MediCare_Data[[#This Row],[Average_Wait_Time (mins)]]/1440</f>
        <v>2.5000000000000001E-2</v>
      </c>
      <c r="O231" s="2">
        <v>1</v>
      </c>
      <c r="P231" s="10">
        <v>32976</v>
      </c>
      <c r="Q231" s="17" t="str">
        <f>IF(AND(MediCare_Data[[#This Row],[Patient_Gender]]="Male", MediCare_Data[[#This Row],[Treatment_Type]]="Maternity"), "Gender-Treatment Mismatch", "Fine")</f>
        <v>Fine</v>
      </c>
      <c r="R231" s="10">
        <f>MediCare_Data[[#This Row],[Revenue_Generated]]-MediCare_Data[[#This Row],[Average_Treatment_Cost]]</f>
        <v>30411</v>
      </c>
      <c r="S231" s="3">
        <f>(MediCare_Data[[#This Row],[Profit]]/MediCare_Data[[#This Row],[Revenue_Generated]])</f>
        <v>0.92221615720524019</v>
      </c>
    </row>
    <row r="232" spans="1:19" x14ac:dyDescent="0.25">
      <c r="A232" t="s">
        <v>279</v>
      </c>
      <c r="B232" t="s">
        <v>39</v>
      </c>
      <c r="C232" t="s">
        <v>42</v>
      </c>
      <c r="D232" t="s">
        <v>21</v>
      </c>
      <c r="E232">
        <v>82</v>
      </c>
      <c r="F232" t="str">
        <f>IF(MediCare_Data[[#This Row],[Patient_Age]]&lt;=18,"0-18",IF(MediCare_Data[[#This Row],[Patient_Age]]&lt;=35,"19-35",IF(MediCare_Data[[#This Row],[Patient_Age]]&lt;=60,"36-60","60+")))</f>
        <v>60+</v>
      </c>
      <c r="G232" t="s">
        <v>17</v>
      </c>
      <c r="H232" t="s">
        <v>33</v>
      </c>
      <c r="I232" s="2">
        <v>81</v>
      </c>
      <c r="J232" s="11">
        <v>1268</v>
      </c>
      <c r="K232" s="3">
        <v>14.52036259</v>
      </c>
      <c r="L232" s="3">
        <f t="shared" si="3"/>
        <v>0.14520362589999999</v>
      </c>
      <c r="M232">
        <v>179</v>
      </c>
      <c r="N232" s="6">
        <f>MediCare_Data[[#This Row],[Average_Wait_Time (mins)]]/1440</f>
        <v>0.12430555555555556</v>
      </c>
      <c r="O232" s="2">
        <v>4</v>
      </c>
      <c r="P232" s="10">
        <v>26416</v>
      </c>
      <c r="Q232" s="17" t="str">
        <f>IF(AND(MediCare_Data[[#This Row],[Patient_Gender]]="Male", MediCare_Data[[#This Row],[Treatment_Type]]="Maternity"), "Gender-Treatment Mismatch", "Fine")</f>
        <v>Fine</v>
      </c>
      <c r="R232" s="10">
        <f>MediCare_Data[[#This Row],[Revenue_Generated]]-MediCare_Data[[#This Row],[Average_Treatment_Cost]]</f>
        <v>25148</v>
      </c>
      <c r="S232" s="3">
        <f>(MediCare_Data[[#This Row],[Profit]]/MediCare_Data[[#This Row],[Revenue_Generated]])</f>
        <v>0.95199878861296183</v>
      </c>
    </row>
    <row r="233" spans="1:19" x14ac:dyDescent="0.25">
      <c r="A233" t="s">
        <v>280</v>
      </c>
      <c r="B233" t="s">
        <v>49</v>
      </c>
      <c r="C233" t="s">
        <v>29</v>
      </c>
      <c r="D233" t="s">
        <v>32</v>
      </c>
      <c r="E233">
        <v>9</v>
      </c>
      <c r="F233" t="str">
        <f>IF(MediCare_Data[[#This Row],[Patient_Age]]&lt;=18,"0-18",IF(MediCare_Data[[#This Row],[Patient_Age]]&lt;=35,"19-35",IF(MediCare_Data[[#This Row],[Patient_Age]]&lt;=60,"36-60","60+")))</f>
        <v>0-18</v>
      </c>
      <c r="G233" t="s">
        <v>26</v>
      </c>
      <c r="H233" t="s">
        <v>37</v>
      </c>
      <c r="I233" s="2">
        <v>53</v>
      </c>
      <c r="J233" s="11">
        <v>5990</v>
      </c>
      <c r="K233" s="3">
        <v>12.5177657</v>
      </c>
      <c r="L233" s="3">
        <f t="shared" si="3"/>
        <v>0.125177657</v>
      </c>
      <c r="M233">
        <v>171</v>
      </c>
      <c r="N233" s="6">
        <f>MediCare_Data[[#This Row],[Average_Wait_Time (mins)]]/1440</f>
        <v>0.11874999999999999</v>
      </c>
      <c r="O233" s="2">
        <v>3</v>
      </c>
      <c r="P233" s="10">
        <v>2814</v>
      </c>
      <c r="Q233" s="17" t="str">
        <f>IF(AND(MediCare_Data[[#This Row],[Patient_Gender]]="Male", MediCare_Data[[#This Row],[Treatment_Type]]="Maternity"), "Gender-Treatment Mismatch", "Fine")</f>
        <v>Fine</v>
      </c>
      <c r="R233" s="10">
        <f>MediCare_Data[[#This Row],[Revenue_Generated]]-MediCare_Data[[#This Row],[Average_Treatment_Cost]]</f>
        <v>-3176</v>
      </c>
      <c r="S233" s="3">
        <f>(MediCare_Data[[#This Row],[Profit]]/MediCare_Data[[#This Row],[Revenue_Generated]])</f>
        <v>-1.1286425017768302</v>
      </c>
    </row>
    <row r="234" spans="1:19" x14ac:dyDescent="0.25">
      <c r="A234" t="s">
        <v>281</v>
      </c>
      <c r="B234" t="s">
        <v>64</v>
      </c>
      <c r="C234" t="s">
        <v>29</v>
      </c>
      <c r="D234" t="s">
        <v>16</v>
      </c>
      <c r="E234">
        <v>34</v>
      </c>
      <c r="F234" t="str">
        <f>IF(MediCare_Data[[#This Row],[Patient_Age]]&lt;=18,"0-18",IF(MediCare_Data[[#This Row],[Patient_Age]]&lt;=35,"19-35",IF(MediCare_Data[[#This Row],[Patient_Age]]&lt;=60,"36-60","60+")))</f>
        <v>19-35</v>
      </c>
      <c r="G234" t="s">
        <v>43</v>
      </c>
      <c r="H234" t="s">
        <v>33</v>
      </c>
      <c r="I234" s="2">
        <v>60</v>
      </c>
      <c r="J234" s="11">
        <v>7145</v>
      </c>
      <c r="K234" s="3">
        <v>12.88952557</v>
      </c>
      <c r="L234" s="3">
        <f t="shared" si="3"/>
        <v>0.12889525569999999</v>
      </c>
      <c r="M234">
        <v>174</v>
      </c>
      <c r="N234" s="6">
        <f>MediCare_Data[[#This Row],[Average_Wait_Time (mins)]]/1440</f>
        <v>0.12083333333333333</v>
      </c>
      <c r="O234" s="2">
        <v>3</v>
      </c>
      <c r="P234" s="10">
        <v>14001</v>
      </c>
      <c r="Q234" s="17" t="str">
        <f>IF(AND(MediCare_Data[[#This Row],[Patient_Gender]]="Male", MediCare_Data[[#This Row],[Treatment_Type]]="Maternity"), "Gender-Treatment Mismatch", "Fine")</f>
        <v>Fine</v>
      </c>
      <c r="R234" s="10">
        <f>MediCare_Data[[#This Row],[Revenue_Generated]]-MediCare_Data[[#This Row],[Average_Treatment_Cost]]</f>
        <v>6856</v>
      </c>
      <c r="S234" s="3">
        <f>(MediCare_Data[[#This Row],[Profit]]/MediCare_Data[[#This Row],[Revenue_Generated]])</f>
        <v>0.48967930862081283</v>
      </c>
    </row>
    <row r="235" spans="1:19" x14ac:dyDescent="0.25">
      <c r="A235" t="s">
        <v>282</v>
      </c>
      <c r="B235" t="s">
        <v>41</v>
      </c>
      <c r="C235" t="s">
        <v>46</v>
      </c>
      <c r="D235" t="s">
        <v>21</v>
      </c>
      <c r="E235">
        <v>15</v>
      </c>
      <c r="F235" t="str">
        <f>IF(MediCare_Data[[#This Row],[Patient_Age]]&lt;=18,"0-18",IF(MediCare_Data[[#This Row],[Patient_Age]]&lt;=35,"19-35",IF(MediCare_Data[[#This Row],[Patient_Age]]&lt;=60,"36-60","60+")))</f>
        <v>0-18</v>
      </c>
      <c r="G235" t="s">
        <v>26</v>
      </c>
      <c r="H235" t="s">
        <v>37</v>
      </c>
      <c r="I235" s="2">
        <v>66</v>
      </c>
      <c r="J235" s="11">
        <v>5583</v>
      </c>
      <c r="K235" s="3">
        <v>14.188935369999999</v>
      </c>
      <c r="L235" s="3">
        <f t="shared" si="3"/>
        <v>0.1418893537</v>
      </c>
      <c r="M235">
        <v>143</v>
      </c>
      <c r="N235" s="6">
        <f>MediCare_Data[[#This Row],[Average_Wait_Time (mins)]]/1440</f>
        <v>9.930555555555555E-2</v>
      </c>
      <c r="O235" s="2">
        <v>1</v>
      </c>
      <c r="P235" s="10">
        <v>17508</v>
      </c>
      <c r="Q235" s="17" t="str">
        <f>IF(AND(MediCare_Data[[#This Row],[Patient_Gender]]="Male", MediCare_Data[[#This Row],[Treatment_Type]]="Maternity"), "Gender-Treatment Mismatch", "Fine")</f>
        <v>Fine</v>
      </c>
      <c r="R235" s="10">
        <f>MediCare_Data[[#This Row],[Revenue_Generated]]-MediCare_Data[[#This Row],[Average_Treatment_Cost]]</f>
        <v>11925</v>
      </c>
      <c r="S235" s="3">
        <f>(MediCare_Data[[#This Row],[Profit]]/MediCare_Data[[#This Row],[Revenue_Generated]])</f>
        <v>0.68111720356408501</v>
      </c>
    </row>
    <row r="236" spans="1:19" x14ac:dyDescent="0.25">
      <c r="A236" t="s">
        <v>283</v>
      </c>
      <c r="B236" t="s">
        <v>49</v>
      </c>
      <c r="C236" t="s">
        <v>20</v>
      </c>
      <c r="D236" t="s">
        <v>32</v>
      </c>
      <c r="E236">
        <v>1</v>
      </c>
      <c r="F236" t="str">
        <f>IF(MediCare_Data[[#This Row],[Patient_Age]]&lt;=18,"0-18",IF(MediCare_Data[[#This Row],[Patient_Age]]&lt;=35,"19-35",IF(MediCare_Data[[#This Row],[Patient_Age]]&lt;=60,"36-60","60+")))</f>
        <v>0-18</v>
      </c>
      <c r="G236" t="s">
        <v>22</v>
      </c>
      <c r="H236" t="s">
        <v>37</v>
      </c>
      <c r="I236" s="2">
        <v>87</v>
      </c>
      <c r="J236" s="11">
        <v>5732</v>
      </c>
      <c r="K236" s="3">
        <v>20.700330879999999</v>
      </c>
      <c r="L236" s="3">
        <f t="shared" si="3"/>
        <v>0.20700330879999998</v>
      </c>
      <c r="M236">
        <v>144</v>
      </c>
      <c r="N236" s="6">
        <f>MediCare_Data[[#This Row],[Average_Wait_Time (mins)]]/1440</f>
        <v>0.1</v>
      </c>
      <c r="O236" s="2">
        <v>4</v>
      </c>
      <c r="P236" s="10">
        <v>20630</v>
      </c>
      <c r="Q236" s="17" t="str">
        <f>IF(AND(MediCare_Data[[#This Row],[Patient_Gender]]="Male", MediCare_Data[[#This Row],[Treatment_Type]]="Maternity"), "Gender-Treatment Mismatch", "Fine")</f>
        <v>Fine</v>
      </c>
      <c r="R236" s="10">
        <f>MediCare_Data[[#This Row],[Revenue_Generated]]-MediCare_Data[[#This Row],[Average_Treatment_Cost]]</f>
        <v>14898</v>
      </c>
      <c r="S236" s="3">
        <f>(MediCare_Data[[#This Row],[Profit]]/MediCare_Data[[#This Row],[Revenue_Generated]])</f>
        <v>0.72215220552593307</v>
      </c>
    </row>
    <row r="237" spans="1:19" x14ac:dyDescent="0.25">
      <c r="A237" t="s">
        <v>284</v>
      </c>
      <c r="B237" t="s">
        <v>56</v>
      </c>
      <c r="C237" t="s">
        <v>29</v>
      </c>
      <c r="D237" t="s">
        <v>32</v>
      </c>
      <c r="E237">
        <v>47</v>
      </c>
      <c r="F237" t="str">
        <f>IF(MediCare_Data[[#This Row],[Patient_Age]]&lt;=18,"0-18",IF(MediCare_Data[[#This Row],[Patient_Age]]&lt;=35,"19-35",IF(MediCare_Data[[#This Row],[Patient_Age]]&lt;=60,"36-60","60+")))</f>
        <v>36-60</v>
      </c>
      <c r="G237" t="s">
        <v>17</v>
      </c>
      <c r="H237" t="s">
        <v>47</v>
      </c>
      <c r="I237" s="2">
        <v>73</v>
      </c>
      <c r="J237" s="11">
        <v>6297</v>
      </c>
      <c r="K237" s="3">
        <v>22.84169378</v>
      </c>
      <c r="L237" s="3">
        <f t="shared" si="3"/>
        <v>0.2284169378</v>
      </c>
      <c r="M237">
        <v>162</v>
      </c>
      <c r="N237" s="6">
        <f>MediCare_Data[[#This Row],[Average_Wait_Time (mins)]]/1440</f>
        <v>0.1125</v>
      </c>
      <c r="O237" s="2">
        <v>4</v>
      </c>
      <c r="P237" s="10">
        <v>14380</v>
      </c>
      <c r="Q237" s="17" t="str">
        <f>IF(AND(MediCare_Data[[#This Row],[Patient_Gender]]="Male", MediCare_Data[[#This Row],[Treatment_Type]]="Maternity"), "Gender-Treatment Mismatch", "Fine")</f>
        <v>Fine</v>
      </c>
      <c r="R237" s="10">
        <f>MediCare_Data[[#This Row],[Revenue_Generated]]-MediCare_Data[[#This Row],[Average_Treatment_Cost]]</f>
        <v>8083</v>
      </c>
      <c r="S237" s="3">
        <f>(MediCare_Data[[#This Row],[Profit]]/MediCare_Data[[#This Row],[Revenue_Generated]])</f>
        <v>0.56210013908205847</v>
      </c>
    </row>
    <row r="238" spans="1:19" x14ac:dyDescent="0.25">
      <c r="A238" t="s">
        <v>285</v>
      </c>
      <c r="B238" t="s">
        <v>35</v>
      </c>
      <c r="C238" t="s">
        <v>29</v>
      </c>
      <c r="D238" t="s">
        <v>32</v>
      </c>
      <c r="E238">
        <v>2</v>
      </c>
      <c r="F238" t="str">
        <f>IF(MediCare_Data[[#This Row],[Patient_Age]]&lt;=18,"0-18",IF(MediCare_Data[[#This Row],[Patient_Age]]&lt;=35,"19-35",IF(MediCare_Data[[#This Row],[Patient_Age]]&lt;=60,"36-60","60+")))</f>
        <v>0-18</v>
      </c>
      <c r="G238" t="s">
        <v>43</v>
      </c>
      <c r="H238" t="s">
        <v>47</v>
      </c>
      <c r="I238" s="2">
        <v>54</v>
      </c>
      <c r="J238" s="11">
        <v>9638</v>
      </c>
      <c r="K238" s="3">
        <v>24.10669373</v>
      </c>
      <c r="L238" s="3">
        <f t="shared" si="3"/>
        <v>0.24106693730000001</v>
      </c>
      <c r="M238">
        <v>42</v>
      </c>
      <c r="N238" s="6">
        <f>MediCare_Data[[#This Row],[Average_Wait_Time (mins)]]/1440</f>
        <v>2.9166666666666667E-2</v>
      </c>
      <c r="O238" s="2">
        <v>2</v>
      </c>
      <c r="P238" s="10">
        <v>49174</v>
      </c>
      <c r="Q238" s="17" t="str">
        <f>IF(AND(MediCare_Data[[#This Row],[Patient_Gender]]="Male", MediCare_Data[[#This Row],[Treatment_Type]]="Maternity"), "Gender-Treatment Mismatch", "Fine")</f>
        <v>Fine</v>
      </c>
      <c r="R238" s="10">
        <f>MediCare_Data[[#This Row],[Revenue_Generated]]-MediCare_Data[[#This Row],[Average_Treatment_Cost]]</f>
        <v>39536</v>
      </c>
      <c r="S238" s="3">
        <f>(MediCare_Data[[#This Row],[Profit]]/MediCare_Data[[#This Row],[Revenue_Generated]])</f>
        <v>0.80400211493878881</v>
      </c>
    </row>
    <row r="239" spans="1:19" x14ac:dyDescent="0.25">
      <c r="A239" t="s">
        <v>286</v>
      </c>
      <c r="B239" t="s">
        <v>61</v>
      </c>
      <c r="C239" t="s">
        <v>15</v>
      </c>
      <c r="D239" t="s">
        <v>21</v>
      </c>
      <c r="E239">
        <v>88</v>
      </c>
      <c r="F239" t="str">
        <f>IF(MediCare_Data[[#This Row],[Patient_Age]]&lt;=18,"0-18",IF(MediCare_Data[[#This Row],[Patient_Age]]&lt;=35,"19-35",IF(MediCare_Data[[#This Row],[Patient_Age]]&lt;=60,"36-60","60+")))</f>
        <v>60+</v>
      </c>
      <c r="G239" t="s">
        <v>26</v>
      </c>
      <c r="H239" t="s">
        <v>37</v>
      </c>
      <c r="I239" s="2">
        <v>83</v>
      </c>
      <c r="J239" s="11">
        <v>5426</v>
      </c>
      <c r="K239" s="3">
        <v>20.738067730000001</v>
      </c>
      <c r="L239" s="3">
        <f t="shared" si="3"/>
        <v>0.20738067730000001</v>
      </c>
      <c r="M239">
        <v>64</v>
      </c>
      <c r="N239" s="6">
        <f>MediCare_Data[[#This Row],[Average_Wait_Time (mins)]]/1440</f>
        <v>4.4444444444444446E-2</v>
      </c>
      <c r="O239" s="2">
        <v>2</v>
      </c>
      <c r="P239" s="10">
        <v>36699</v>
      </c>
      <c r="Q239" s="17" t="str">
        <f>IF(AND(MediCare_Data[[#This Row],[Patient_Gender]]="Male", MediCare_Data[[#This Row],[Treatment_Type]]="Maternity"), "Gender-Treatment Mismatch", "Fine")</f>
        <v>Fine</v>
      </c>
      <c r="R239" s="10">
        <f>MediCare_Data[[#This Row],[Revenue_Generated]]-MediCare_Data[[#This Row],[Average_Treatment_Cost]]</f>
        <v>31273</v>
      </c>
      <c r="S239" s="3">
        <f>(MediCare_Data[[#This Row],[Profit]]/MediCare_Data[[#This Row],[Revenue_Generated]])</f>
        <v>0.85214855990626448</v>
      </c>
    </row>
    <row r="240" spans="1:19" x14ac:dyDescent="0.25">
      <c r="A240" t="s">
        <v>287</v>
      </c>
      <c r="B240" t="s">
        <v>82</v>
      </c>
      <c r="C240" t="s">
        <v>29</v>
      </c>
      <c r="D240" t="s">
        <v>16</v>
      </c>
      <c r="E240">
        <v>40</v>
      </c>
      <c r="F240" t="str">
        <f>IF(MediCare_Data[[#This Row],[Patient_Age]]&lt;=18,"0-18",IF(MediCare_Data[[#This Row],[Patient_Age]]&lt;=35,"19-35",IF(MediCare_Data[[#This Row],[Patient_Age]]&lt;=60,"36-60","60+")))</f>
        <v>36-60</v>
      </c>
      <c r="G240" t="s">
        <v>26</v>
      </c>
      <c r="H240" t="s">
        <v>23</v>
      </c>
      <c r="I240" s="2">
        <v>55</v>
      </c>
      <c r="J240" s="11">
        <v>6516</v>
      </c>
      <c r="K240" s="3">
        <v>11.308137909999999</v>
      </c>
      <c r="L240" s="3">
        <f t="shared" si="3"/>
        <v>0.11308137909999999</v>
      </c>
      <c r="M240">
        <v>16</v>
      </c>
      <c r="N240" s="6">
        <f>MediCare_Data[[#This Row],[Average_Wait_Time (mins)]]/1440</f>
        <v>1.1111111111111112E-2</v>
      </c>
      <c r="O240" s="2">
        <v>4</v>
      </c>
      <c r="P240" s="10">
        <v>47335</v>
      </c>
      <c r="Q240" s="17" t="str">
        <f>IF(AND(MediCare_Data[[#This Row],[Patient_Gender]]="Male", MediCare_Data[[#This Row],[Treatment_Type]]="Maternity"), "Gender-Treatment Mismatch", "Fine")</f>
        <v>Fine</v>
      </c>
      <c r="R240" s="10">
        <f>MediCare_Data[[#This Row],[Revenue_Generated]]-MediCare_Data[[#This Row],[Average_Treatment_Cost]]</f>
        <v>40819</v>
      </c>
      <c r="S240" s="3">
        <f>(MediCare_Data[[#This Row],[Profit]]/MediCare_Data[[#This Row],[Revenue_Generated]])</f>
        <v>0.8623428752508715</v>
      </c>
    </row>
    <row r="241" spans="1:19" x14ac:dyDescent="0.25">
      <c r="A241" t="s">
        <v>288</v>
      </c>
      <c r="B241" t="s">
        <v>61</v>
      </c>
      <c r="C241" t="s">
        <v>36</v>
      </c>
      <c r="D241" t="s">
        <v>32</v>
      </c>
      <c r="E241">
        <v>38</v>
      </c>
      <c r="F241" t="str">
        <f>IF(MediCare_Data[[#This Row],[Patient_Age]]&lt;=18,"0-18",IF(MediCare_Data[[#This Row],[Patient_Age]]&lt;=35,"19-35",IF(MediCare_Data[[#This Row],[Patient_Age]]&lt;=60,"36-60","60+")))</f>
        <v>36-60</v>
      </c>
      <c r="G241" t="s">
        <v>22</v>
      </c>
      <c r="H241" t="s">
        <v>37</v>
      </c>
      <c r="I241" s="2">
        <v>71</v>
      </c>
      <c r="J241" s="11">
        <v>3835</v>
      </c>
      <c r="K241" s="3">
        <v>18.762694119999999</v>
      </c>
      <c r="L241" s="3">
        <f t="shared" si="3"/>
        <v>0.18762694119999998</v>
      </c>
      <c r="M241">
        <v>66</v>
      </c>
      <c r="N241" s="6">
        <f>MediCare_Data[[#This Row],[Average_Wait_Time (mins)]]/1440</f>
        <v>4.583333333333333E-2</v>
      </c>
      <c r="O241" s="2">
        <v>2</v>
      </c>
      <c r="P241" s="10">
        <v>47806</v>
      </c>
      <c r="Q241" s="17" t="str">
        <f>IF(AND(MediCare_Data[[#This Row],[Patient_Gender]]="Male", MediCare_Data[[#This Row],[Treatment_Type]]="Maternity"), "Gender-Treatment Mismatch", "Fine")</f>
        <v>Fine</v>
      </c>
      <c r="R241" s="10">
        <f>MediCare_Data[[#This Row],[Revenue_Generated]]-MediCare_Data[[#This Row],[Average_Treatment_Cost]]</f>
        <v>43971</v>
      </c>
      <c r="S241" s="3">
        <f>(MediCare_Data[[#This Row],[Profit]]/MediCare_Data[[#This Row],[Revenue_Generated]])</f>
        <v>0.91977994394009122</v>
      </c>
    </row>
    <row r="242" spans="1:19" x14ac:dyDescent="0.25">
      <c r="A242" t="s">
        <v>289</v>
      </c>
      <c r="B242" t="s">
        <v>39</v>
      </c>
      <c r="C242" t="s">
        <v>31</v>
      </c>
      <c r="D242" t="s">
        <v>32</v>
      </c>
      <c r="E242">
        <v>29</v>
      </c>
      <c r="F242" t="str">
        <f>IF(MediCare_Data[[#This Row],[Patient_Age]]&lt;=18,"0-18",IF(MediCare_Data[[#This Row],[Patient_Age]]&lt;=35,"19-35",IF(MediCare_Data[[#This Row],[Patient_Age]]&lt;=60,"36-60","60+")))</f>
        <v>19-35</v>
      </c>
      <c r="G242" t="s">
        <v>43</v>
      </c>
      <c r="H242" t="s">
        <v>18</v>
      </c>
      <c r="I242" s="2">
        <v>60</v>
      </c>
      <c r="J242" s="11">
        <v>8538</v>
      </c>
      <c r="K242" s="3">
        <v>13.752062479999999</v>
      </c>
      <c r="L242" s="3">
        <f t="shared" si="3"/>
        <v>0.13752062479999999</v>
      </c>
      <c r="M242">
        <v>135</v>
      </c>
      <c r="N242" s="6">
        <f>MediCare_Data[[#This Row],[Average_Wait_Time (mins)]]/1440</f>
        <v>9.375E-2</v>
      </c>
      <c r="O242" s="2">
        <v>1</v>
      </c>
      <c r="P242" s="10">
        <v>13317</v>
      </c>
      <c r="Q242" s="17" t="str">
        <f>IF(AND(MediCare_Data[[#This Row],[Patient_Gender]]="Male", MediCare_Data[[#This Row],[Treatment_Type]]="Maternity"), "Gender-Treatment Mismatch", "Fine")</f>
        <v>Fine</v>
      </c>
      <c r="R242" s="10">
        <f>MediCare_Data[[#This Row],[Revenue_Generated]]-MediCare_Data[[#This Row],[Average_Treatment_Cost]]</f>
        <v>4779</v>
      </c>
      <c r="S242" s="3">
        <f>(MediCare_Data[[#This Row],[Profit]]/MediCare_Data[[#This Row],[Revenue_Generated]])</f>
        <v>0.35886460914620411</v>
      </c>
    </row>
    <row r="243" spans="1:19" x14ac:dyDescent="0.25">
      <c r="A243" t="s">
        <v>290</v>
      </c>
      <c r="B243" t="s">
        <v>56</v>
      </c>
      <c r="C243" t="s">
        <v>15</v>
      </c>
      <c r="D243" t="s">
        <v>16</v>
      </c>
      <c r="E243">
        <v>85</v>
      </c>
      <c r="F243" t="str">
        <f>IF(MediCare_Data[[#This Row],[Patient_Age]]&lt;=18,"0-18",IF(MediCare_Data[[#This Row],[Patient_Age]]&lt;=35,"19-35",IF(MediCare_Data[[#This Row],[Patient_Age]]&lt;=60,"36-60","60+")))</f>
        <v>60+</v>
      </c>
      <c r="G243" t="s">
        <v>26</v>
      </c>
      <c r="H243" t="s">
        <v>47</v>
      </c>
      <c r="I243" s="2">
        <v>97</v>
      </c>
      <c r="J243" s="11">
        <v>5373</v>
      </c>
      <c r="K243" s="3">
        <v>10.09341244</v>
      </c>
      <c r="L243" s="3">
        <f t="shared" si="3"/>
        <v>0.10093412439999999</v>
      </c>
      <c r="M243">
        <v>21</v>
      </c>
      <c r="N243" s="6">
        <f>MediCare_Data[[#This Row],[Average_Wait_Time (mins)]]/1440</f>
        <v>1.4583333333333334E-2</v>
      </c>
      <c r="O243" s="2">
        <v>4</v>
      </c>
      <c r="P243" s="10">
        <v>36739</v>
      </c>
      <c r="Q243" s="17" t="str">
        <f>IF(AND(MediCare_Data[[#This Row],[Patient_Gender]]="Male", MediCare_Data[[#This Row],[Treatment_Type]]="Maternity"), "Gender-Treatment Mismatch", "Fine")</f>
        <v>Fine</v>
      </c>
      <c r="R243" s="10">
        <f>MediCare_Data[[#This Row],[Revenue_Generated]]-MediCare_Data[[#This Row],[Average_Treatment_Cost]]</f>
        <v>31366</v>
      </c>
      <c r="S243" s="3">
        <f>(MediCare_Data[[#This Row],[Profit]]/MediCare_Data[[#This Row],[Revenue_Generated]])</f>
        <v>0.85375214349873429</v>
      </c>
    </row>
    <row r="244" spans="1:19" x14ac:dyDescent="0.25">
      <c r="A244" t="s">
        <v>291</v>
      </c>
      <c r="B244" t="s">
        <v>74</v>
      </c>
      <c r="C244" t="s">
        <v>20</v>
      </c>
      <c r="D244" t="s">
        <v>16</v>
      </c>
      <c r="E244">
        <v>87</v>
      </c>
      <c r="F244" t="str">
        <f>IF(MediCare_Data[[#This Row],[Patient_Age]]&lt;=18,"0-18",IF(MediCare_Data[[#This Row],[Patient_Age]]&lt;=35,"19-35",IF(MediCare_Data[[#This Row],[Patient_Age]]&lt;=60,"36-60","60+")))</f>
        <v>60+</v>
      </c>
      <c r="G244" t="s">
        <v>17</v>
      </c>
      <c r="H244" t="s">
        <v>51</v>
      </c>
      <c r="I244" s="2">
        <v>65</v>
      </c>
      <c r="J244" s="11">
        <v>1981</v>
      </c>
      <c r="K244" s="3">
        <v>21.817431590000002</v>
      </c>
      <c r="L244" s="3">
        <f t="shared" si="3"/>
        <v>0.21817431590000003</v>
      </c>
      <c r="M244">
        <v>25</v>
      </c>
      <c r="N244" s="6">
        <f>MediCare_Data[[#This Row],[Average_Wait_Time (mins)]]/1440</f>
        <v>1.7361111111111112E-2</v>
      </c>
      <c r="O244" s="2">
        <v>2</v>
      </c>
      <c r="P244" s="10">
        <v>35785</v>
      </c>
      <c r="Q244" s="17" t="str">
        <f>IF(AND(MediCare_Data[[#This Row],[Patient_Gender]]="Male", MediCare_Data[[#This Row],[Treatment_Type]]="Maternity"), "Gender-Treatment Mismatch", "Fine")</f>
        <v>Fine</v>
      </c>
      <c r="R244" s="10">
        <f>MediCare_Data[[#This Row],[Revenue_Generated]]-MediCare_Data[[#This Row],[Average_Treatment_Cost]]</f>
        <v>33804</v>
      </c>
      <c r="S244" s="3">
        <f>(MediCare_Data[[#This Row],[Profit]]/MediCare_Data[[#This Row],[Revenue_Generated]])</f>
        <v>0.94464160961296628</v>
      </c>
    </row>
    <row r="245" spans="1:19" x14ac:dyDescent="0.25">
      <c r="A245" t="s">
        <v>292</v>
      </c>
      <c r="B245" t="s">
        <v>53</v>
      </c>
      <c r="C245" t="s">
        <v>36</v>
      </c>
      <c r="D245" t="s">
        <v>16</v>
      </c>
      <c r="E245">
        <v>37</v>
      </c>
      <c r="F245" t="str">
        <f>IF(MediCare_Data[[#This Row],[Patient_Age]]&lt;=18,"0-18",IF(MediCare_Data[[#This Row],[Patient_Age]]&lt;=35,"19-35",IF(MediCare_Data[[#This Row],[Patient_Age]]&lt;=60,"36-60","60+")))</f>
        <v>36-60</v>
      </c>
      <c r="G245" t="s">
        <v>26</v>
      </c>
      <c r="H245" t="s">
        <v>47</v>
      </c>
      <c r="I245" s="2">
        <v>82</v>
      </c>
      <c r="J245" s="11">
        <v>6805</v>
      </c>
      <c r="K245" s="3">
        <v>5.7685269789999998</v>
      </c>
      <c r="L245" s="3">
        <f t="shared" si="3"/>
        <v>5.768526979E-2</v>
      </c>
      <c r="M245">
        <v>52</v>
      </c>
      <c r="N245" s="6">
        <f>MediCare_Data[[#This Row],[Average_Wait_Time (mins)]]/1440</f>
        <v>3.6111111111111108E-2</v>
      </c>
      <c r="O245" s="2">
        <v>3</v>
      </c>
      <c r="P245" s="10">
        <v>32980</v>
      </c>
      <c r="Q245" s="17" t="str">
        <f>IF(AND(MediCare_Data[[#This Row],[Patient_Gender]]="Male", MediCare_Data[[#This Row],[Treatment_Type]]="Maternity"), "Gender-Treatment Mismatch", "Fine")</f>
        <v>Fine</v>
      </c>
      <c r="R245" s="10">
        <f>MediCare_Data[[#This Row],[Revenue_Generated]]-MediCare_Data[[#This Row],[Average_Treatment_Cost]]</f>
        <v>26175</v>
      </c>
      <c r="S245" s="3">
        <f>(MediCare_Data[[#This Row],[Profit]]/MediCare_Data[[#This Row],[Revenue_Generated]])</f>
        <v>0.79366282595512427</v>
      </c>
    </row>
    <row r="246" spans="1:19" x14ac:dyDescent="0.25">
      <c r="A246" t="s">
        <v>293</v>
      </c>
      <c r="B246" t="s">
        <v>28</v>
      </c>
      <c r="C246" t="s">
        <v>31</v>
      </c>
      <c r="D246" t="s">
        <v>16</v>
      </c>
      <c r="E246">
        <v>42</v>
      </c>
      <c r="F246" t="str">
        <f>IF(MediCare_Data[[#This Row],[Patient_Age]]&lt;=18,"0-18",IF(MediCare_Data[[#This Row],[Patient_Age]]&lt;=35,"19-35",IF(MediCare_Data[[#This Row],[Patient_Age]]&lt;=60,"36-60","60+")))</f>
        <v>36-60</v>
      </c>
      <c r="G246" t="s">
        <v>17</v>
      </c>
      <c r="H246" t="s">
        <v>37</v>
      </c>
      <c r="I246" s="2">
        <v>58</v>
      </c>
      <c r="J246" s="11">
        <v>3951</v>
      </c>
      <c r="K246" s="3">
        <v>23.035239839999999</v>
      </c>
      <c r="L246" s="3">
        <f t="shared" si="3"/>
        <v>0.23035239839999999</v>
      </c>
      <c r="M246">
        <v>126</v>
      </c>
      <c r="N246" s="6">
        <f>MediCare_Data[[#This Row],[Average_Wait_Time (mins)]]/1440</f>
        <v>8.7499999999999994E-2</v>
      </c>
      <c r="O246" s="2">
        <v>4</v>
      </c>
      <c r="P246" s="10">
        <v>24799</v>
      </c>
      <c r="Q246" s="17" t="str">
        <f>IF(AND(MediCare_Data[[#This Row],[Patient_Gender]]="Male", MediCare_Data[[#This Row],[Treatment_Type]]="Maternity"), "Gender-Treatment Mismatch", "Fine")</f>
        <v>Gender-Treatment Mismatch</v>
      </c>
      <c r="R246" s="10">
        <f>MediCare_Data[[#This Row],[Revenue_Generated]]-MediCare_Data[[#This Row],[Average_Treatment_Cost]]</f>
        <v>20848</v>
      </c>
      <c r="S246" s="3">
        <f>(MediCare_Data[[#This Row],[Profit]]/MediCare_Data[[#This Row],[Revenue_Generated]])</f>
        <v>0.84067905963950162</v>
      </c>
    </row>
    <row r="247" spans="1:19" x14ac:dyDescent="0.25">
      <c r="A247" t="s">
        <v>294</v>
      </c>
      <c r="B247" t="s">
        <v>14</v>
      </c>
      <c r="C247" t="s">
        <v>31</v>
      </c>
      <c r="D247" t="s">
        <v>32</v>
      </c>
      <c r="E247">
        <v>21</v>
      </c>
      <c r="F247" t="str">
        <f>IF(MediCare_Data[[#This Row],[Patient_Age]]&lt;=18,"0-18",IF(MediCare_Data[[#This Row],[Patient_Age]]&lt;=35,"19-35",IF(MediCare_Data[[#This Row],[Patient_Age]]&lt;=60,"36-60","60+")))</f>
        <v>19-35</v>
      </c>
      <c r="G247" t="s">
        <v>26</v>
      </c>
      <c r="H247" t="s">
        <v>47</v>
      </c>
      <c r="I247" s="2">
        <v>55</v>
      </c>
      <c r="J247" s="11">
        <v>554</v>
      </c>
      <c r="K247" s="3">
        <v>14.22954929</v>
      </c>
      <c r="L247" s="3">
        <f t="shared" si="3"/>
        <v>0.14229549289999999</v>
      </c>
      <c r="M247">
        <v>144</v>
      </c>
      <c r="N247" s="6">
        <f>MediCare_Data[[#This Row],[Average_Wait_Time (mins)]]/1440</f>
        <v>0.1</v>
      </c>
      <c r="O247" s="2">
        <v>4</v>
      </c>
      <c r="P247" s="10">
        <v>36183</v>
      </c>
      <c r="Q247" s="17" t="str">
        <f>IF(AND(MediCare_Data[[#This Row],[Patient_Gender]]="Male", MediCare_Data[[#This Row],[Treatment_Type]]="Maternity"), "Gender-Treatment Mismatch", "Fine")</f>
        <v>Fine</v>
      </c>
      <c r="R247" s="10">
        <f>MediCare_Data[[#This Row],[Revenue_Generated]]-MediCare_Data[[#This Row],[Average_Treatment_Cost]]</f>
        <v>35629</v>
      </c>
      <c r="S247" s="3">
        <f>(MediCare_Data[[#This Row],[Profit]]/MediCare_Data[[#This Row],[Revenue_Generated]])</f>
        <v>0.98468894232097948</v>
      </c>
    </row>
    <row r="248" spans="1:19" x14ac:dyDescent="0.25">
      <c r="A248" t="s">
        <v>295</v>
      </c>
      <c r="B248" t="s">
        <v>64</v>
      </c>
      <c r="C248" t="s">
        <v>36</v>
      </c>
      <c r="D248" t="s">
        <v>32</v>
      </c>
      <c r="E248">
        <v>28</v>
      </c>
      <c r="F248" t="str">
        <f>IF(MediCare_Data[[#This Row],[Patient_Age]]&lt;=18,"0-18",IF(MediCare_Data[[#This Row],[Patient_Age]]&lt;=35,"19-35",IF(MediCare_Data[[#This Row],[Patient_Age]]&lt;=60,"36-60","60+")))</f>
        <v>19-35</v>
      </c>
      <c r="G248" t="s">
        <v>43</v>
      </c>
      <c r="H248" t="s">
        <v>37</v>
      </c>
      <c r="I248" s="2">
        <v>65</v>
      </c>
      <c r="J248" s="11">
        <v>8143</v>
      </c>
      <c r="K248" s="3">
        <v>17.74402954</v>
      </c>
      <c r="L248" s="3">
        <f t="shared" si="3"/>
        <v>0.1774402954</v>
      </c>
      <c r="M248">
        <v>120</v>
      </c>
      <c r="N248" s="6">
        <f>MediCare_Data[[#This Row],[Average_Wait_Time (mins)]]/1440</f>
        <v>8.3333333333333329E-2</v>
      </c>
      <c r="O248" s="2">
        <v>3</v>
      </c>
      <c r="P248" s="10">
        <v>30166</v>
      </c>
      <c r="Q248" s="17" t="str">
        <f>IF(AND(MediCare_Data[[#This Row],[Patient_Gender]]="Male", MediCare_Data[[#This Row],[Treatment_Type]]="Maternity"), "Gender-Treatment Mismatch", "Fine")</f>
        <v>Fine</v>
      </c>
      <c r="R248" s="10">
        <f>MediCare_Data[[#This Row],[Revenue_Generated]]-MediCare_Data[[#This Row],[Average_Treatment_Cost]]</f>
        <v>22023</v>
      </c>
      <c r="S248" s="3">
        <f>(MediCare_Data[[#This Row],[Profit]]/MediCare_Data[[#This Row],[Revenue_Generated]])</f>
        <v>0.7300603328250348</v>
      </c>
    </row>
    <row r="249" spans="1:19" x14ac:dyDescent="0.25">
      <c r="A249" t="s">
        <v>296</v>
      </c>
      <c r="B249" t="s">
        <v>41</v>
      </c>
      <c r="C249" t="s">
        <v>20</v>
      </c>
      <c r="D249" t="s">
        <v>21</v>
      </c>
      <c r="E249">
        <v>87</v>
      </c>
      <c r="F249" t="str">
        <f>IF(MediCare_Data[[#This Row],[Patient_Age]]&lt;=18,"0-18",IF(MediCare_Data[[#This Row],[Patient_Age]]&lt;=35,"19-35",IF(MediCare_Data[[#This Row],[Patient_Age]]&lt;=60,"36-60","60+")))</f>
        <v>60+</v>
      </c>
      <c r="G249" t="s">
        <v>43</v>
      </c>
      <c r="H249" t="s">
        <v>33</v>
      </c>
      <c r="I249" s="2">
        <v>78</v>
      </c>
      <c r="J249" s="11">
        <v>3962</v>
      </c>
      <c r="K249" s="3">
        <v>18.187078440000001</v>
      </c>
      <c r="L249" s="3">
        <f t="shared" si="3"/>
        <v>0.18187078440000001</v>
      </c>
      <c r="M249">
        <v>60</v>
      </c>
      <c r="N249" s="6">
        <f>MediCare_Data[[#This Row],[Average_Wait_Time (mins)]]/1440</f>
        <v>4.1666666666666664E-2</v>
      </c>
      <c r="O249" s="2">
        <v>1</v>
      </c>
      <c r="P249" s="10">
        <v>20480</v>
      </c>
      <c r="Q249" s="17" t="str">
        <f>IF(AND(MediCare_Data[[#This Row],[Patient_Gender]]="Male", MediCare_Data[[#This Row],[Treatment_Type]]="Maternity"), "Gender-Treatment Mismatch", "Fine")</f>
        <v>Fine</v>
      </c>
      <c r="R249" s="10">
        <f>MediCare_Data[[#This Row],[Revenue_Generated]]-MediCare_Data[[#This Row],[Average_Treatment_Cost]]</f>
        <v>16518</v>
      </c>
      <c r="S249" s="3">
        <f>(MediCare_Data[[#This Row],[Profit]]/MediCare_Data[[#This Row],[Revenue_Generated]])</f>
        <v>0.80654296874999998</v>
      </c>
    </row>
    <row r="250" spans="1:19" x14ac:dyDescent="0.25">
      <c r="A250" t="s">
        <v>297</v>
      </c>
      <c r="B250" t="s">
        <v>64</v>
      </c>
      <c r="C250" t="s">
        <v>20</v>
      </c>
      <c r="D250" t="s">
        <v>32</v>
      </c>
      <c r="E250">
        <v>13</v>
      </c>
      <c r="F250" t="str">
        <f>IF(MediCare_Data[[#This Row],[Patient_Age]]&lt;=18,"0-18",IF(MediCare_Data[[#This Row],[Patient_Age]]&lt;=35,"19-35",IF(MediCare_Data[[#This Row],[Patient_Age]]&lt;=60,"36-60","60+")))</f>
        <v>0-18</v>
      </c>
      <c r="G250" t="s">
        <v>43</v>
      </c>
      <c r="H250" t="s">
        <v>51</v>
      </c>
      <c r="I250" s="2">
        <v>52</v>
      </c>
      <c r="J250" s="11">
        <v>1332</v>
      </c>
      <c r="K250" s="3">
        <v>22.902354809999999</v>
      </c>
      <c r="L250" s="3">
        <f t="shared" si="3"/>
        <v>0.22902354809999997</v>
      </c>
      <c r="M250">
        <v>169</v>
      </c>
      <c r="N250" s="6">
        <f>MediCare_Data[[#This Row],[Average_Wait_Time (mins)]]/1440</f>
        <v>0.11736111111111111</v>
      </c>
      <c r="O250" s="2">
        <v>3</v>
      </c>
      <c r="P250" s="10">
        <v>2609</v>
      </c>
      <c r="Q250" s="17" t="str">
        <f>IF(AND(MediCare_Data[[#This Row],[Patient_Gender]]="Male", MediCare_Data[[#This Row],[Treatment_Type]]="Maternity"), "Gender-Treatment Mismatch", "Fine")</f>
        <v>Fine</v>
      </c>
      <c r="R250" s="10">
        <f>MediCare_Data[[#This Row],[Revenue_Generated]]-MediCare_Data[[#This Row],[Average_Treatment_Cost]]</f>
        <v>1277</v>
      </c>
      <c r="S250" s="3">
        <f>(MediCare_Data[[#This Row],[Profit]]/MediCare_Data[[#This Row],[Revenue_Generated]])</f>
        <v>0.48945956305097738</v>
      </c>
    </row>
    <row r="251" spans="1:19" x14ac:dyDescent="0.25">
      <c r="A251" t="s">
        <v>298</v>
      </c>
      <c r="B251" t="s">
        <v>49</v>
      </c>
      <c r="C251" t="s">
        <v>46</v>
      </c>
      <c r="D251" t="s">
        <v>32</v>
      </c>
      <c r="E251">
        <v>44</v>
      </c>
      <c r="F251" t="str">
        <f>IF(MediCare_Data[[#This Row],[Patient_Age]]&lt;=18,"0-18",IF(MediCare_Data[[#This Row],[Patient_Age]]&lt;=35,"19-35",IF(MediCare_Data[[#This Row],[Patient_Age]]&lt;=60,"36-60","60+")))</f>
        <v>36-60</v>
      </c>
      <c r="G251" t="s">
        <v>17</v>
      </c>
      <c r="H251" t="s">
        <v>51</v>
      </c>
      <c r="I251" s="2">
        <v>69</v>
      </c>
      <c r="J251" s="11">
        <v>6454</v>
      </c>
      <c r="K251" s="3">
        <v>17.733393639999999</v>
      </c>
      <c r="L251" s="3">
        <f t="shared" si="3"/>
        <v>0.1773339364</v>
      </c>
      <c r="M251">
        <v>84</v>
      </c>
      <c r="N251" s="6">
        <f>MediCare_Data[[#This Row],[Average_Wait_Time (mins)]]/1440</f>
        <v>5.8333333333333334E-2</v>
      </c>
      <c r="O251" s="2">
        <v>4</v>
      </c>
      <c r="P251" s="10">
        <v>1717</v>
      </c>
      <c r="Q251" s="17" t="str">
        <f>IF(AND(MediCare_Data[[#This Row],[Patient_Gender]]="Male", MediCare_Data[[#This Row],[Treatment_Type]]="Maternity"), "Gender-Treatment Mismatch", "Fine")</f>
        <v>Fine</v>
      </c>
      <c r="R251" s="10">
        <f>MediCare_Data[[#This Row],[Revenue_Generated]]-MediCare_Data[[#This Row],[Average_Treatment_Cost]]</f>
        <v>-4737</v>
      </c>
      <c r="S251" s="3">
        <f>(MediCare_Data[[#This Row],[Profit]]/MediCare_Data[[#This Row],[Revenue_Generated]])</f>
        <v>-2.7588817705299942</v>
      </c>
    </row>
    <row r="252" spans="1:19" x14ac:dyDescent="0.25">
      <c r="A252" t="s">
        <v>299</v>
      </c>
      <c r="B252" t="s">
        <v>28</v>
      </c>
      <c r="C252" t="s">
        <v>20</v>
      </c>
      <c r="D252" t="s">
        <v>16</v>
      </c>
      <c r="E252">
        <v>31</v>
      </c>
      <c r="F252" t="str">
        <f>IF(MediCare_Data[[#This Row],[Patient_Age]]&lt;=18,"0-18",IF(MediCare_Data[[#This Row],[Patient_Age]]&lt;=35,"19-35",IF(MediCare_Data[[#This Row],[Patient_Age]]&lt;=60,"36-60","60+")))</f>
        <v>19-35</v>
      </c>
      <c r="G252" t="s">
        <v>43</v>
      </c>
      <c r="H252" t="s">
        <v>51</v>
      </c>
      <c r="I252" s="2">
        <v>85</v>
      </c>
      <c r="J252" s="11">
        <v>9019</v>
      </c>
      <c r="K252" s="3">
        <v>17.2786717</v>
      </c>
      <c r="L252" s="3">
        <f t="shared" si="3"/>
        <v>0.17278671700000001</v>
      </c>
      <c r="M252">
        <v>17</v>
      </c>
      <c r="N252" s="6">
        <f>MediCare_Data[[#This Row],[Average_Wait_Time (mins)]]/1440</f>
        <v>1.1805555555555555E-2</v>
      </c>
      <c r="O252" s="2">
        <v>1</v>
      </c>
      <c r="P252" s="10">
        <v>20945</v>
      </c>
      <c r="Q252" s="17" t="str">
        <f>IF(AND(MediCare_Data[[#This Row],[Patient_Gender]]="Male", MediCare_Data[[#This Row],[Treatment_Type]]="Maternity"), "Gender-Treatment Mismatch", "Fine")</f>
        <v>Fine</v>
      </c>
      <c r="R252" s="10">
        <f>MediCare_Data[[#This Row],[Revenue_Generated]]-MediCare_Data[[#This Row],[Average_Treatment_Cost]]</f>
        <v>11926</v>
      </c>
      <c r="S252" s="3">
        <f>(MediCare_Data[[#This Row],[Profit]]/MediCare_Data[[#This Row],[Revenue_Generated]])</f>
        <v>0.56939603724039145</v>
      </c>
    </row>
    <row r="253" spans="1:19" x14ac:dyDescent="0.25">
      <c r="A253" t="s">
        <v>300</v>
      </c>
      <c r="B253" t="s">
        <v>14</v>
      </c>
      <c r="C253" t="s">
        <v>36</v>
      </c>
      <c r="D253" t="s">
        <v>21</v>
      </c>
      <c r="E253">
        <v>86</v>
      </c>
      <c r="F253" t="str">
        <f>IF(MediCare_Data[[#This Row],[Patient_Age]]&lt;=18,"0-18",IF(MediCare_Data[[#This Row],[Patient_Age]]&lt;=35,"19-35",IF(MediCare_Data[[#This Row],[Patient_Age]]&lt;=60,"36-60","60+")))</f>
        <v>60+</v>
      </c>
      <c r="G253" t="s">
        <v>17</v>
      </c>
      <c r="H253" t="s">
        <v>18</v>
      </c>
      <c r="I253" s="2">
        <v>68</v>
      </c>
      <c r="J253" s="11">
        <v>7721</v>
      </c>
      <c r="K253" s="3">
        <v>6.333040811</v>
      </c>
      <c r="L253" s="3">
        <f t="shared" si="3"/>
        <v>6.333040811E-2</v>
      </c>
      <c r="M253">
        <v>54</v>
      </c>
      <c r="N253" s="6">
        <f>MediCare_Data[[#This Row],[Average_Wait_Time (mins)]]/1440</f>
        <v>3.7499999999999999E-2</v>
      </c>
      <c r="O253" s="2">
        <v>2</v>
      </c>
      <c r="P253" s="10">
        <v>26592</v>
      </c>
      <c r="Q253" s="17" t="str">
        <f>IF(AND(MediCare_Data[[#This Row],[Patient_Gender]]="Male", MediCare_Data[[#This Row],[Treatment_Type]]="Maternity"), "Gender-Treatment Mismatch", "Fine")</f>
        <v>Fine</v>
      </c>
      <c r="R253" s="10">
        <f>MediCare_Data[[#This Row],[Revenue_Generated]]-MediCare_Data[[#This Row],[Average_Treatment_Cost]]</f>
        <v>18871</v>
      </c>
      <c r="S253" s="3">
        <f>(MediCare_Data[[#This Row],[Profit]]/MediCare_Data[[#This Row],[Revenue_Generated]])</f>
        <v>0.70964951865222625</v>
      </c>
    </row>
    <row r="254" spans="1:19" x14ac:dyDescent="0.25">
      <c r="A254" t="s">
        <v>301</v>
      </c>
      <c r="B254" t="s">
        <v>56</v>
      </c>
      <c r="C254" t="s">
        <v>29</v>
      </c>
      <c r="D254" t="s">
        <v>16</v>
      </c>
      <c r="E254">
        <v>2</v>
      </c>
      <c r="F254" t="str">
        <f>IF(MediCare_Data[[#This Row],[Patient_Age]]&lt;=18,"0-18",IF(MediCare_Data[[#This Row],[Patient_Age]]&lt;=35,"19-35",IF(MediCare_Data[[#This Row],[Patient_Age]]&lt;=60,"36-60","60+")))</f>
        <v>0-18</v>
      </c>
      <c r="G254" t="s">
        <v>17</v>
      </c>
      <c r="H254" t="s">
        <v>18</v>
      </c>
      <c r="I254" s="2">
        <v>75</v>
      </c>
      <c r="J254" s="11">
        <v>3810</v>
      </c>
      <c r="K254" s="3">
        <v>15.36816044</v>
      </c>
      <c r="L254" s="3">
        <f t="shared" si="3"/>
        <v>0.1536816044</v>
      </c>
      <c r="M254">
        <v>68</v>
      </c>
      <c r="N254" s="6">
        <f>MediCare_Data[[#This Row],[Average_Wait_Time (mins)]]/1440</f>
        <v>4.7222222222222221E-2</v>
      </c>
      <c r="O254" s="2">
        <v>2</v>
      </c>
      <c r="P254" s="10">
        <v>29141</v>
      </c>
      <c r="Q254" s="17" t="str">
        <f>IF(AND(MediCare_Data[[#This Row],[Patient_Gender]]="Male", MediCare_Data[[#This Row],[Treatment_Type]]="Maternity"), "Gender-Treatment Mismatch", "Fine")</f>
        <v>Fine</v>
      </c>
      <c r="R254" s="10">
        <f>MediCare_Data[[#This Row],[Revenue_Generated]]-MediCare_Data[[#This Row],[Average_Treatment_Cost]]</f>
        <v>25331</v>
      </c>
      <c r="S254" s="3">
        <f>(MediCare_Data[[#This Row],[Profit]]/MediCare_Data[[#This Row],[Revenue_Generated]])</f>
        <v>0.86925637418070756</v>
      </c>
    </row>
    <row r="255" spans="1:19" x14ac:dyDescent="0.25">
      <c r="A255" t="s">
        <v>302</v>
      </c>
      <c r="B255" t="s">
        <v>53</v>
      </c>
      <c r="C255" t="s">
        <v>36</v>
      </c>
      <c r="D255" t="s">
        <v>32</v>
      </c>
      <c r="E255">
        <v>74</v>
      </c>
      <c r="F255" t="str">
        <f>IF(MediCare_Data[[#This Row],[Patient_Age]]&lt;=18,"0-18",IF(MediCare_Data[[#This Row],[Patient_Age]]&lt;=35,"19-35",IF(MediCare_Data[[#This Row],[Patient_Age]]&lt;=60,"36-60","60+")))</f>
        <v>60+</v>
      </c>
      <c r="G255" t="s">
        <v>17</v>
      </c>
      <c r="H255" t="s">
        <v>37</v>
      </c>
      <c r="I255" s="2">
        <v>52</v>
      </c>
      <c r="J255" s="11">
        <v>3800</v>
      </c>
      <c r="K255" s="3">
        <v>8.0033800159999995</v>
      </c>
      <c r="L255" s="3">
        <f t="shared" si="3"/>
        <v>8.0033800160000002E-2</v>
      </c>
      <c r="M255">
        <v>141</v>
      </c>
      <c r="N255" s="6">
        <f>MediCare_Data[[#This Row],[Average_Wait_Time (mins)]]/1440</f>
        <v>9.7916666666666666E-2</v>
      </c>
      <c r="O255" s="2">
        <v>2</v>
      </c>
      <c r="P255" s="10">
        <v>31009</v>
      </c>
      <c r="Q255" s="17" t="str">
        <f>IF(AND(MediCare_Data[[#This Row],[Patient_Gender]]="Male", MediCare_Data[[#This Row],[Treatment_Type]]="Maternity"), "Gender-Treatment Mismatch", "Fine")</f>
        <v>Fine</v>
      </c>
      <c r="R255" s="10">
        <f>MediCare_Data[[#This Row],[Revenue_Generated]]-MediCare_Data[[#This Row],[Average_Treatment_Cost]]</f>
        <v>27209</v>
      </c>
      <c r="S255" s="3">
        <f>(MediCare_Data[[#This Row],[Profit]]/MediCare_Data[[#This Row],[Revenue_Generated]])</f>
        <v>0.87745493243896933</v>
      </c>
    </row>
    <row r="256" spans="1:19" x14ac:dyDescent="0.25">
      <c r="A256" t="s">
        <v>303</v>
      </c>
      <c r="B256" t="s">
        <v>56</v>
      </c>
      <c r="C256" t="s">
        <v>36</v>
      </c>
      <c r="D256" t="s">
        <v>32</v>
      </c>
      <c r="E256">
        <v>83</v>
      </c>
      <c r="F256" t="str">
        <f>IF(MediCare_Data[[#This Row],[Patient_Age]]&lt;=18,"0-18",IF(MediCare_Data[[#This Row],[Patient_Age]]&lt;=35,"19-35",IF(MediCare_Data[[#This Row],[Patient_Age]]&lt;=60,"36-60","60+")))</f>
        <v>60+</v>
      </c>
      <c r="G256" t="s">
        <v>22</v>
      </c>
      <c r="H256" t="s">
        <v>18</v>
      </c>
      <c r="I256" s="2">
        <v>68</v>
      </c>
      <c r="J256" s="11">
        <v>7222</v>
      </c>
      <c r="K256" s="3">
        <v>19.748675370000001</v>
      </c>
      <c r="L256" s="3">
        <f t="shared" si="3"/>
        <v>0.19748675370000002</v>
      </c>
      <c r="M256">
        <v>113</v>
      </c>
      <c r="N256" s="6">
        <f>MediCare_Data[[#This Row],[Average_Wait_Time (mins)]]/1440</f>
        <v>7.8472222222222221E-2</v>
      </c>
      <c r="O256" s="2">
        <v>4</v>
      </c>
      <c r="P256" s="10">
        <v>46430</v>
      </c>
      <c r="Q256" s="17" t="str">
        <f>IF(AND(MediCare_Data[[#This Row],[Patient_Gender]]="Male", MediCare_Data[[#This Row],[Treatment_Type]]="Maternity"), "Gender-Treatment Mismatch", "Fine")</f>
        <v>Fine</v>
      </c>
      <c r="R256" s="10">
        <f>MediCare_Data[[#This Row],[Revenue_Generated]]-MediCare_Data[[#This Row],[Average_Treatment_Cost]]</f>
        <v>39208</v>
      </c>
      <c r="S256" s="3">
        <f>(MediCare_Data[[#This Row],[Profit]]/MediCare_Data[[#This Row],[Revenue_Generated]])</f>
        <v>0.84445401679948306</v>
      </c>
    </row>
    <row r="257" spans="1:19" x14ac:dyDescent="0.25">
      <c r="A257" t="s">
        <v>304</v>
      </c>
      <c r="B257" t="s">
        <v>45</v>
      </c>
      <c r="C257" t="s">
        <v>15</v>
      </c>
      <c r="D257" t="s">
        <v>32</v>
      </c>
      <c r="E257">
        <v>69</v>
      </c>
      <c r="F257" t="str">
        <f>IF(MediCare_Data[[#This Row],[Patient_Age]]&lt;=18,"0-18",IF(MediCare_Data[[#This Row],[Patient_Age]]&lt;=35,"19-35",IF(MediCare_Data[[#This Row],[Patient_Age]]&lt;=60,"36-60","60+")))</f>
        <v>60+</v>
      </c>
      <c r="G257" t="s">
        <v>26</v>
      </c>
      <c r="H257" t="s">
        <v>23</v>
      </c>
      <c r="I257" s="2">
        <v>69</v>
      </c>
      <c r="J257" s="11">
        <v>7718</v>
      </c>
      <c r="K257" s="3">
        <v>15.24443842</v>
      </c>
      <c r="L257" s="3">
        <f t="shared" si="3"/>
        <v>0.1524443842</v>
      </c>
      <c r="M257">
        <v>166</v>
      </c>
      <c r="N257" s="6">
        <f>MediCare_Data[[#This Row],[Average_Wait_Time (mins)]]/1440</f>
        <v>0.11527777777777778</v>
      </c>
      <c r="O257" s="2">
        <v>3</v>
      </c>
      <c r="P257" s="10">
        <v>7782</v>
      </c>
      <c r="Q257" s="17" t="str">
        <f>IF(AND(MediCare_Data[[#This Row],[Patient_Gender]]="Male", MediCare_Data[[#This Row],[Treatment_Type]]="Maternity"), "Gender-Treatment Mismatch", "Fine")</f>
        <v>Fine</v>
      </c>
      <c r="R257" s="10">
        <f>MediCare_Data[[#This Row],[Revenue_Generated]]-MediCare_Data[[#This Row],[Average_Treatment_Cost]]</f>
        <v>64</v>
      </c>
      <c r="S257" s="3">
        <f>(MediCare_Data[[#This Row],[Profit]]/MediCare_Data[[#This Row],[Revenue_Generated]])</f>
        <v>8.2241069133898743E-3</v>
      </c>
    </row>
    <row r="258" spans="1:19" x14ac:dyDescent="0.25">
      <c r="A258" t="s">
        <v>305</v>
      </c>
      <c r="B258" t="s">
        <v>49</v>
      </c>
      <c r="C258" t="s">
        <v>42</v>
      </c>
      <c r="D258" t="s">
        <v>21</v>
      </c>
      <c r="E258">
        <v>68</v>
      </c>
      <c r="F258" t="str">
        <f>IF(MediCare_Data[[#This Row],[Patient_Age]]&lt;=18,"0-18",IF(MediCare_Data[[#This Row],[Patient_Age]]&lt;=35,"19-35",IF(MediCare_Data[[#This Row],[Patient_Age]]&lt;=60,"36-60","60+")))</f>
        <v>60+</v>
      </c>
      <c r="G258" t="s">
        <v>17</v>
      </c>
      <c r="H258" t="s">
        <v>51</v>
      </c>
      <c r="I258" s="2">
        <v>81</v>
      </c>
      <c r="J258" s="11">
        <v>8276</v>
      </c>
      <c r="K258" s="3">
        <v>18.60455558</v>
      </c>
      <c r="L258" s="3">
        <f t="shared" ref="L258:L321" si="4">K258/100</f>
        <v>0.18604555579999998</v>
      </c>
      <c r="M258">
        <v>166</v>
      </c>
      <c r="N258" s="6">
        <f>MediCare_Data[[#This Row],[Average_Wait_Time (mins)]]/1440</f>
        <v>0.11527777777777778</v>
      </c>
      <c r="O258" s="2">
        <v>1</v>
      </c>
      <c r="P258" s="10">
        <v>27536</v>
      </c>
      <c r="Q258" s="17" t="str">
        <f>IF(AND(MediCare_Data[[#This Row],[Patient_Gender]]="Male", MediCare_Data[[#This Row],[Treatment_Type]]="Maternity"), "Gender-Treatment Mismatch", "Fine")</f>
        <v>Fine</v>
      </c>
      <c r="R258" s="10">
        <f>MediCare_Data[[#This Row],[Revenue_Generated]]-MediCare_Data[[#This Row],[Average_Treatment_Cost]]</f>
        <v>19260</v>
      </c>
      <c r="S258" s="3">
        <f>(MediCare_Data[[#This Row],[Profit]]/MediCare_Data[[#This Row],[Revenue_Generated]])</f>
        <v>0.69944799535153979</v>
      </c>
    </row>
    <row r="259" spans="1:19" x14ac:dyDescent="0.25">
      <c r="A259" t="s">
        <v>306</v>
      </c>
      <c r="B259" t="s">
        <v>39</v>
      </c>
      <c r="C259" t="s">
        <v>29</v>
      </c>
      <c r="D259" t="s">
        <v>16</v>
      </c>
      <c r="E259">
        <v>16</v>
      </c>
      <c r="F259" t="str">
        <f>IF(MediCare_Data[[#This Row],[Patient_Age]]&lt;=18,"0-18",IF(MediCare_Data[[#This Row],[Patient_Age]]&lt;=35,"19-35",IF(MediCare_Data[[#This Row],[Patient_Age]]&lt;=60,"36-60","60+")))</f>
        <v>0-18</v>
      </c>
      <c r="G259" t="s">
        <v>17</v>
      </c>
      <c r="H259" t="s">
        <v>51</v>
      </c>
      <c r="I259" s="2">
        <v>56</v>
      </c>
      <c r="J259" s="11">
        <v>4175</v>
      </c>
      <c r="K259" s="3">
        <v>5.8334580120000004</v>
      </c>
      <c r="L259" s="3">
        <f t="shared" si="4"/>
        <v>5.8334580120000007E-2</v>
      </c>
      <c r="M259">
        <v>107</v>
      </c>
      <c r="N259" s="6">
        <f>MediCare_Data[[#This Row],[Average_Wait_Time (mins)]]/1440</f>
        <v>7.4305555555555555E-2</v>
      </c>
      <c r="O259" s="2">
        <v>2</v>
      </c>
      <c r="P259" s="10">
        <v>34816</v>
      </c>
      <c r="Q259" s="17" t="str">
        <f>IF(AND(MediCare_Data[[#This Row],[Patient_Gender]]="Male", MediCare_Data[[#This Row],[Treatment_Type]]="Maternity"), "Gender-Treatment Mismatch", "Fine")</f>
        <v>Fine</v>
      </c>
      <c r="R259" s="10">
        <f>MediCare_Data[[#This Row],[Revenue_Generated]]-MediCare_Data[[#This Row],[Average_Treatment_Cost]]</f>
        <v>30641</v>
      </c>
      <c r="S259" s="3">
        <f>(MediCare_Data[[#This Row],[Profit]]/MediCare_Data[[#This Row],[Revenue_Generated]])</f>
        <v>0.88008386948529416</v>
      </c>
    </row>
    <row r="260" spans="1:19" x14ac:dyDescent="0.25">
      <c r="A260" t="s">
        <v>307</v>
      </c>
      <c r="B260" t="s">
        <v>82</v>
      </c>
      <c r="C260" t="s">
        <v>54</v>
      </c>
      <c r="D260" t="s">
        <v>21</v>
      </c>
      <c r="E260">
        <v>41</v>
      </c>
      <c r="F260" t="str">
        <f>IF(MediCare_Data[[#This Row],[Patient_Age]]&lt;=18,"0-18",IF(MediCare_Data[[#This Row],[Patient_Age]]&lt;=35,"19-35",IF(MediCare_Data[[#This Row],[Patient_Age]]&lt;=60,"36-60","60+")))</f>
        <v>36-60</v>
      </c>
      <c r="G260" t="s">
        <v>26</v>
      </c>
      <c r="H260" t="s">
        <v>33</v>
      </c>
      <c r="I260" s="2">
        <v>90</v>
      </c>
      <c r="J260" s="11">
        <v>3554</v>
      </c>
      <c r="K260" s="3">
        <v>6.6958403210000004</v>
      </c>
      <c r="L260" s="3">
        <f t="shared" si="4"/>
        <v>6.6958403210000003E-2</v>
      </c>
      <c r="M260">
        <v>165</v>
      </c>
      <c r="N260" s="6">
        <f>MediCare_Data[[#This Row],[Average_Wait_Time (mins)]]/1440</f>
        <v>0.11458333333333333</v>
      </c>
      <c r="O260" s="2">
        <v>1</v>
      </c>
      <c r="P260" s="10">
        <v>26933</v>
      </c>
      <c r="Q260" s="17" t="str">
        <f>IF(AND(MediCare_Data[[#This Row],[Patient_Gender]]="Male", MediCare_Data[[#This Row],[Treatment_Type]]="Maternity"), "Gender-Treatment Mismatch", "Fine")</f>
        <v>Fine</v>
      </c>
      <c r="R260" s="10">
        <f>MediCare_Data[[#This Row],[Revenue_Generated]]-MediCare_Data[[#This Row],[Average_Treatment_Cost]]</f>
        <v>23379</v>
      </c>
      <c r="S260" s="3">
        <f>(MediCare_Data[[#This Row],[Profit]]/MediCare_Data[[#This Row],[Revenue_Generated]])</f>
        <v>0.86804292132328376</v>
      </c>
    </row>
    <row r="261" spans="1:19" x14ac:dyDescent="0.25">
      <c r="A261" t="s">
        <v>308</v>
      </c>
      <c r="B261" t="s">
        <v>53</v>
      </c>
      <c r="C261" t="s">
        <v>42</v>
      </c>
      <c r="D261" t="s">
        <v>32</v>
      </c>
      <c r="E261">
        <v>33</v>
      </c>
      <c r="F261" t="str">
        <f>IF(MediCare_Data[[#This Row],[Patient_Age]]&lt;=18,"0-18",IF(MediCare_Data[[#This Row],[Patient_Age]]&lt;=35,"19-35",IF(MediCare_Data[[#This Row],[Patient_Age]]&lt;=60,"36-60","60+")))</f>
        <v>19-35</v>
      </c>
      <c r="G261" t="s">
        <v>43</v>
      </c>
      <c r="H261" t="s">
        <v>37</v>
      </c>
      <c r="I261" s="2">
        <v>82</v>
      </c>
      <c r="J261" s="11">
        <v>8470</v>
      </c>
      <c r="K261" s="3">
        <v>19.32646776</v>
      </c>
      <c r="L261" s="3">
        <f t="shared" si="4"/>
        <v>0.19326467759999999</v>
      </c>
      <c r="M261">
        <v>88</v>
      </c>
      <c r="N261" s="6">
        <f>MediCare_Data[[#This Row],[Average_Wait_Time (mins)]]/1440</f>
        <v>6.1111111111111109E-2</v>
      </c>
      <c r="O261" s="2">
        <v>4</v>
      </c>
      <c r="P261" s="10">
        <v>12618</v>
      </c>
      <c r="Q261" s="17" t="str">
        <f>IF(AND(MediCare_Data[[#This Row],[Patient_Gender]]="Male", MediCare_Data[[#This Row],[Treatment_Type]]="Maternity"), "Gender-Treatment Mismatch", "Fine")</f>
        <v>Fine</v>
      </c>
      <c r="R261" s="10">
        <f>MediCare_Data[[#This Row],[Revenue_Generated]]-MediCare_Data[[#This Row],[Average_Treatment_Cost]]</f>
        <v>4148</v>
      </c>
      <c r="S261" s="3">
        <f>(MediCare_Data[[#This Row],[Profit]]/MediCare_Data[[#This Row],[Revenue_Generated]])</f>
        <v>0.32873672531304488</v>
      </c>
    </row>
    <row r="262" spans="1:19" x14ac:dyDescent="0.25">
      <c r="A262" t="s">
        <v>309</v>
      </c>
      <c r="B262" t="s">
        <v>25</v>
      </c>
      <c r="C262" t="s">
        <v>31</v>
      </c>
      <c r="D262" t="s">
        <v>32</v>
      </c>
      <c r="E262">
        <v>22</v>
      </c>
      <c r="F262" t="str">
        <f>IF(MediCare_Data[[#This Row],[Patient_Age]]&lt;=18,"0-18",IF(MediCare_Data[[#This Row],[Patient_Age]]&lt;=35,"19-35",IF(MediCare_Data[[#This Row],[Patient_Age]]&lt;=60,"36-60","60+")))</f>
        <v>19-35</v>
      </c>
      <c r="G262" t="s">
        <v>22</v>
      </c>
      <c r="H262" t="s">
        <v>18</v>
      </c>
      <c r="I262" s="2">
        <v>89</v>
      </c>
      <c r="J262" s="11">
        <v>2643</v>
      </c>
      <c r="K262" s="3">
        <v>6.4416867199999999</v>
      </c>
      <c r="L262" s="3">
        <f t="shared" si="4"/>
        <v>6.4416867200000005E-2</v>
      </c>
      <c r="M262">
        <v>133</v>
      </c>
      <c r="N262" s="6">
        <f>MediCare_Data[[#This Row],[Average_Wait_Time (mins)]]/1440</f>
        <v>9.2361111111111116E-2</v>
      </c>
      <c r="O262" s="2">
        <v>2</v>
      </c>
      <c r="P262" s="10">
        <v>9307</v>
      </c>
      <c r="Q262" s="17" t="str">
        <f>IF(AND(MediCare_Data[[#This Row],[Patient_Gender]]="Male", MediCare_Data[[#This Row],[Treatment_Type]]="Maternity"), "Gender-Treatment Mismatch", "Fine")</f>
        <v>Fine</v>
      </c>
      <c r="R262" s="10">
        <f>MediCare_Data[[#This Row],[Revenue_Generated]]-MediCare_Data[[#This Row],[Average_Treatment_Cost]]</f>
        <v>6664</v>
      </c>
      <c r="S262" s="3">
        <f>(MediCare_Data[[#This Row],[Profit]]/MediCare_Data[[#This Row],[Revenue_Generated]])</f>
        <v>0.71602019984957554</v>
      </c>
    </row>
    <row r="263" spans="1:19" x14ac:dyDescent="0.25">
      <c r="A263" t="s">
        <v>310</v>
      </c>
      <c r="B263" t="s">
        <v>45</v>
      </c>
      <c r="C263" t="s">
        <v>15</v>
      </c>
      <c r="D263" t="s">
        <v>16</v>
      </c>
      <c r="E263">
        <v>67</v>
      </c>
      <c r="F263" t="str">
        <f>IF(MediCare_Data[[#This Row],[Patient_Age]]&lt;=18,"0-18",IF(MediCare_Data[[#This Row],[Patient_Age]]&lt;=35,"19-35",IF(MediCare_Data[[#This Row],[Patient_Age]]&lt;=60,"36-60","60+")))</f>
        <v>60+</v>
      </c>
      <c r="G263" t="s">
        <v>26</v>
      </c>
      <c r="H263" t="s">
        <v>33</v>
      </c>
      <c r="I263" s="2">
        <v>88</v>
      </c>
      <c r="J263" s="11">
        <v>5707</v>
      </c>
      <c r="K263" s="3">
        <v>6.4251345549999996</v>
      </c>
      <c r="L263" s="3">
        <f t="shared" si="4"/>
        <v>6.4251345549999991E-2</v>
      </c>
      <c r="M263">
        <v>13</v>
      </c>
      <c r="N263" s="6">
        <f>MediCare_Data[[#This Row],[Average_Wait_Time (mins)]]/1440</f>
        <v>9.0277777777777769E-3</v>
      </c>
      <c r="O263" s="2">
        <v>4</v>
      </c>
      <c r="P263" s="10">
        <v>27671</v>
      </c>
      <c r="Q263" s="17" t="str">
        <f>IF(AND(MediCare_Data[[#This Row],[Patient_Gender]]="Male", MediCare_Data[[#This Row],[Treatment_Type]]="Maternity"), "Gender-Treatment Mismatch", "Fine")</f>
        <v>Fine</v>
      </c>
      <c r="R263" s="10">
        <f>MediCare_Data[[#This Row],[Revenue_Generated]]-MediCare_Data[[#This Row],[Average_Treatment_Cost]]</f>
        <v>21964</v>
      </c>
      <c r="S263" s="3">
        <f>(MediCare_Data[[#This Row],[Profit]]/MediCare_Data[[#This Row],[Revenue_Generated]])</f>
        <v>0.79375519496946256</v>
      </c>
    </row>
    <row r="264" spans="1:19" x14ac:dyDescent="0.25">
      <c r="A264" t="s">
        <v>311</v>
      </c>
      <c r="B264" t="s">
        <v>39</v>
      </c>
      <c r="C264" t="s">
        <v>31</v>
      </c>
      <c r="D264" t="s">
        <v>16</v>
      </c>
      <c r="E264">
        <v>63</v>
      </c>
      <c r="F264" t="str">
        <f>IF(MediCare_Data[[#This Row],[Patient_Age]]&lt;=18,"0-18",IF(MediCare_Data[[#This Row],[Patient_Age]]&lt;=35,"19-35",IF(MediCare_Data[[#This Row],[Patient_Age]]&lt;=60,"36-60","60+")))</f>
        <v>60+</v>
      </c>
      <c r="G264" t="s">
        <v>17</v>
      </c>
      <c r="H264" t="s">
        <v>51</v>
      </c>
      <c r="I264" s="2">
        <v>67</v>
      </c>
      <c r="J264" s="11">
        <v>3038</v>
      </c>
      <c r="K264" s="3">
        <v>5.2421695049999997</v>
      </c>
      <c r="L264" s="3">
        <f t="shared" si="4"/>
        <v>5.2421695049999995E-2</v>
      </c>
      <c r="M264">
        <v>99</v>
      </c>
      <c r="N264" s="6">
        <f>MediCare_Data[[#This Row],[Average_Wait_Time (mins)]]/1440</f>
        <v>6.8750000000000006E-2</v>
      </c>
      <c r="O264" s="2">
        <v>3</v>
      </c>
      <c r="P264" s="10">
        <v>41673</v>
      </c>
      <c r="Q264" s="17" t="str">
        <f>IF(AND(MediCare_Data[[#This Row],[Patient_Gender]]="Male", MediCare_Data[[#This Row],[Treatment_Type]]="Maternity"), "Gender-Treatment Mismatch", "Fine")</f>
        <v>Fine</v>
      </c>
      <c r="R264" s="10">
        <f>MediCare_Data[[#This Row],[Revenue_Generated]]-MediCare_Data[[#This Row],[Average_Treatment_Cost]]</f>
        <v>38635</v>
      </c>
      <c r="S264" s="3">
        <f>(MediCare_Data[[#This Row],[Profit]]/MediCare_Data[[#This Row],[Revenue_Generated]])</f>
        <v>0.92709908093969717</v>
      </c>
    </row>
    <row r="265" spans="1:19" x14ac:dyDescent="0.25">
      <c r="A265" t="s">
        <v>312</v>
      </c>
      <c r="B265" t="s">
        <v>53</v>
      </c>
      <c r="C265" t="s">
        <v>54</v>
      </c>
      <c r="D265" t="s">
        <v>16</v>
      </c>
      <c r="E265">
        <v>6</v>
      </c>
      <c r="F265" t="str">
        <f>IF(MediCare_Data[[#This Row],[Patient_Age]]&lt;=18,"0-18",IF(MediCare_Data[[#This Row],[Patient_Age]]&lt;=35,"19-35",IF(MediCare_Data[[#This Row],[Patient_Age]]&lt;=60,"36-60","60+")))</f>
        <v>0-18</v>
      </c>
      <c r="G265" t="s">
        <v>26</v>
      </c>
      <c r="H265" t="s">
        <v>47</v>
      </c>
      <c r="I265" s="2">
        <v>89</v>
      </c>
      <c r="J265" s="11">
        <v>5047</v>
      </c>
      <c r="K265" s="3">
        <v>24.13002797</v>
      </c>
      <c r="L265" s="3">
        <f t="shared" si="4"/>
        <v>0.24130027970000001</v>
      </c>
      <c r="M265">
        <v>113</v>
      </c>
      <c r="N265" s="6">
        <f>MediCare_Data[[#This Row],[Average_Wait_Time (mins)]]/1440</f>
        <v>7.8472222222222221E-2</v>
      </c>
      <c r="O265" s="2">
        <v>4</v>
      </c>
      <c r="P265" s="10">
        <v>43761</v>
      </c>
      <c r="Q265" s="17" t="str">
        <f>IF(AND(MediCare_Data[[#This Row],[Patient_Gender]]="Male", MediCare_Data[[#This Row],[Treatment_Type]]="Maternity"), "Gender-Treatment Mismatch", "Fine")</f>
        <v>Fine</v>
      </c>
      <c r="R265" s="10">
        <f>MediCare_Data[[#This Row],[Revenue_Generated]]-MediCare_Data[[#This Row],[Average_Treatment_Cost]]</f>
        <v>38714</v>
      </c>
      <c r="S265" s="3">
        <f>(MediCare_Data[[#This Row],[Profit]]/MediCare_Data[[#This Row],[Revenue_Generated]])</f>
        <v>0.8846689975091977</v>
      </c>
    </row>
    <row r="266" spans="1:19" x14ac:dyDescent="0.25">
      <c r="A266" t="s">
        <v>313</v>
      </c>
      <c r="B266" t="s">
        <v>39</v>
      </c>
      <c r="C266" t="s">
        <v>29</v>
      </c>
      <c r="D266" t="s">
        <v>16</v>
      </c>
      <c r="E266">
        <v>71</v>
      </c>
      <c r="F266" t="str">
        <f>IF(MediCare_Data[[#This Row],[Patient_Age]]&lt;=18,"0-18",IF(MediCare_Data[[#This Row],[Patient_Age]]&lt;=35,"19-35",IF(MediCare_Data[[#This Row],[Patient_Age]]&lt;=60,"36-60","60+")))</f>
        <v>60+</v>
      </c>
      <c r="G266" t="s">
        <v>17</v>
      </c>
      <c r="H266" t="s">
        <v>18</v>
      </c>
      <c r="I266" s="2">
        <v>50</v>
      </c>
      <c r="J266" s="11">
        <v>6119</v>
      </c>
      <c r="K266" s="3">
        <v>19.750167189999999</v>
      </c>
      <c r="L266" s="3">
        <f t="shared" si="4"/>
        <v>0.19750167189999998</v>
      </c>
      <c r="M266">
        <v>146</v>
      </c>
      <c r="N266" s="6">
        <f>MediCare_Data[[#This Row],[Average_Wait_Time (mins)]]/1440</f>
        <v>0.10138888888888889</v>
      </c>
      <c r="O266" s="2">
        <v>4</v>
      </c>
      <c r="P266" s="10">
        <v>11338</v>
      </c>
      <c r="Q266" s="17" t="str">
        <f>IF(AND(MediCare_Data[[#This Row],[Patient_Gender]]="Male", MediCare_Data[[#This Row],[Treatment_Type]]="Maternity"), "Gender-Treatment Mismatch", "Fine")</f>
        <v>Fine</v>
      </c>
      <c r="R266" s="10">
        <f>MediCare_Data[[#This Row],[Revenue_Generated]]-MediCare_Data[[#This Row],[Average_Treatment_Cost]]</f>
        <v>5219</v>
      </c>
      <c r="S266" s="3">
        <f>(MediCare_Data[[#This Row],[Profit]]/MediCare_Data[[#This Row],[Revenue_Generated]])</f>
        <v>0.46031046039865936</v>
      </c>
    </row>
    <row r="267" spans="1:19" x14ac:dyDescent="0.25">
      <c r="A267" t="s">
        <v>314</v>
      </c>
      <c r="B267" t="s">
        <v>53</v>
      </c>
      <c r="C267" t="s">
        <v>36</v>
      </c>
      <c r="D267" t="s">
        <v>32</v>
      </c>
      <c r="E267">
        <v>33</v>
      </c>
      <c r="F267" t="str">
        <f>IF(MediCare_Data[[#This Row],[Patient_Age]]&lt;=18,"0-18",IF(MediCare_Data[[#This Row],[Patient_Age]]&lt;=35,"19-35",IF(MediCare_Data[[#This Row],[Patient_Age]]&lt;=60,"36-60","60+")))</f>
        <v>19-35</v>
      </c>
      <c r="G267" t="s">
        <v>43</v>
      </c>
      <c r="H267" t="s">
        <v>47</v>
      </c>
      <c r="I267" s="2">
        <v>60</v>
      </c>
      <c r="J267" s="11">
        <v>8856</v>
      </c>
      <c r="K267" s="3">
        <v>12.06502817</v>
      </c>
      <c r="L267" s="3">
        <f t="shared" si="4"/>
        <v>0.1206502817</v>
      </c>
      <c r="M267">
        <v>128</v>
      </c>
      <c r="N267" s="6">
        <f>MediCare_Data[[#This Row],[Average_Wait_Time (mins)]]/1440</f>
        <v>8.8888888888888892E-2</v>
      </c>
      <c r="O267" s="2">
        <v>3</v>
      </c>
      <c r="P267" s="10">
        <v>39346</v>
      </c>
      <c r="Q267" s="17" t="str">
        <f>IF(AND(MediCare_Data[[#This Row],[Patient_Gender]]="Male", MediCare_Data[[#This Row],[Treatment_Type]]="Maternity"), "Gender-Treatment Mismatch", "Fine")</f>
        <v>Fine</v>
      </c>
      <c r="R267" s="10">
        <f>MediCare_Data[[#This Row],[Revenue_Generated]]-MediCare_Data[[#This Row],[Average_Treatment_Cost]]</f>
        <v>30490</v>
      </c>
      <c r="S267" s="3">
        <f>(MediCare_Data[[#This Row],[Profit]]/MediCare_Data[[#This Row],[Revenue_Generated]])</f>
        <v>0.77491994103593753</v>
      </c>
    </row>
    <row r="268" spans="1:19" x14ac:dyDescent="0.25">
      <c r="A268" t="s">
        <v>315</v>
      </c>
      <c r="B268" t="s">
        <v>58</v>
      </c>
      <c r="C268" t="s">
        <v>29</v>
      </c>
      <c r="D268" t="s">
        <v>21</v>
      </c>
      <c r="E268">
        <v>33</v>
      </c>
      <c r="F268" t="str">
        <f>IF(MediCare_Data[[#This Row],[Patient_Age]]&lt;=18,"0-18",IF(MediCare_Data[[#This Row],[Patient_Age]]&lt;=35,"19-35",IF(MediCare_Data[[#This Row],[Patient_Age]]&lt;=60,"36-60","60+")))</f>
        <v>19-35</v>
      </c>
      <c r="G268" t="s">
        <v>26</v>
      </c>
      <c r="H268" t="s">
        <v>51</v>
      </c>
      <c r="I268" s="2">
        <v>77</v>
      </c>
      <c r="J268" s="11">
        <v>7112</v>
      </c>
      <c r="K268" s="3">
        <v>10.930711629999999</v>
      </c>
      <c r="L268" s="3">
        <f t="shared" si="4"/>
        <v>0.10930711629999999</v>
      </c>
      <c r="M268">
        <v>142</v>
      </c>
      <c r="N268" s="6">
        <f>MediCare_Data[[#This Row],[Average_Wait_Time (mins)]]/1440</f>
        <v>9.8611111111111108E-2</v>
      </c>
      <c r="O268" s="2">
        <v>1</v>
      </c>
      <c r="P268" s="10">
        <v>47602</v>
      </c>
      <c r="Q268" s="17" t="str">
        <f>IF(AND(MediCare_Data[[#This Row],[Patient_Gender]]="Male", MediCare_Data[[#This Row],[Treatment_Type]]="Maternity"), "Gender-Treatment Mismatch", "Fine")</f>
        <v>Fine</v>
      </c>
      <c r="R268" s="10">
        <f>MediCare_Data[[#This Row],[Revenue_Generated]]-MediCare_Data[[#This Row],[Average_Treatment_Cost]]</f>
        <v>40490</v>
      </c>
      <c r="S268" s="3">
        <f>(MediCare_Data[[#This Row],[Profit]]/MediCare_Data[[#This Row],[Revenue_Generated]])</f>
        <v>0.85059451283559517</v>
      </c>
    </row>
    <row r="269" spans="1:19" x14ac:dyDescent="0.25">
      <c r="A269" t="s">
        <v>316</v>
      </c>
      <c r="B269" t="s">
        <v>53</v>
      </c>
      <c r="C269" t="s">
        <v>15</v>
      </c>
      <c r="D269" t="s">
        <v>16</v>
      </c>
      <c r="E269">
        <v>35</v>
      </c>
      <c r="F269" t="str">
        <f>IF(MediCare_Data[[#This Row],[Patient_Age]]&lt;=18,"0-18",IF(MediCare_Data[[#This Row],[Patient_Age]]&lt;=35,"19-35",IF(MediCare_Data[[#This Row],[Patient_Age]]&lt;=60,"36-60","60+")))</f>
        <v>19-35</v>
      </c>
      <c r="G269" t="s">
        <v>22</v>
      </c>
      <c r="H269" t="s">
        <v>51</v>
      </c>
      <c r="I269" s="2">
        <v>74</v>
      </c>
      <c r="J269" s="11">
        <v>5505</v>
      </c>
      <c r="K269" s="3">
        <v>11.994064590000001</v>
      </c>
      <c r="L269" s="3">
        <f t="shared" si="4"/>
        <v>0.1199406459</v>
      </c>
      <c r="M269">
        <v>65</v>
      </c>
      <c r="N269" s="6">
        <f>MediCare_Data[[#This Row],[Average_Wait_Time (mins)]]/1440</f>
        <v>4.5138888888888888E-2</v>
      </c>
      <c r="O269" s="2">
        <v>3</v>
      </c>
      <c r="P269" s="10">
        <v>7548</v>
      </c>
      <c r="Q269" s="17" t="str">
        <f>IF(AND(MediCare_Data[[#This Row],[Patient_Gender]]="Male", MediCare_Data[[#This Row],[Treatment_Type]]="Maternity"), "Gender-Treatment Mismatch", "Fine")</f>
        <v>Fine</v>
      </c>
      <c r="R269" s="10">
        <f>MediCare_Data[[#This Row],[Revenue_Generated]]-MediCare_Data[[#This Row],[Average_Treatment_Cost]]</f>
        <v>2043</v>
      </c>
      <c r="S269" s="3">
        <f>(MediCare_Data[[#This Row],[Profit]]/MediCare_Data[[#This Row],[Revenue_Generated]])</f>
        <v>0.27066772655007948</v>
      </c>
    </row>
    <row r="270" spans="1:19" x14ac:dyDescent="0.25">
      <c r="A270" t="s">
        <v>317</v>
      </c>
      <c r="B270" t="s">
        <v>49</v>
      </c>
      <c r="C270" t="s">
        <v>29</v>
      </c>
      <c r="D270" t="s">
        <v>16</v>
      </c>
      <c r="E270">
        <v>83</v>
      </c>
      <c r="F270" t="str">
        <f>IF(MediCare_Data[[#This Row],[Patient_Age]]&lt;=18,"0-18",IF(MediCare_Data[[#This Row],[Patient_Age]]&lt;=35,"19-35",IF(MediCare_Data[[#This Row],[Patient_Age]]&lt;=60,"36-60","60+")))</f>
        <v>60+</v>
      </c>
      <c r="G270" t="s">
        <v>26</v>
      </c>
      <c r="H270" t="s">
        <v>47</v>
      </c>
      <c r="I270" s="2">
        <v>99</v>
      </c>
      <c r="J270" s="11">
        <v>1322</v>
      </c>
      <c r="K270" s="3">
        <v>20.493070620000001</v>
      </c>
      <c r="L270" s="3">
        <f t="shared" si="4"/>
        <v>0.20493070620000001</v>
      </c>
      <c r="M270">
        <v>105</v>
      </c>
      <c r="N270" s="6">
        <f>MediCare_Data[[#This Row],[Average_Wait_Time (mins)]]/1440</f>
        <v>7.2916666666666671E-2</v>
      </c>
      <c r="O270" s="2">
        <v>3</v>
      </c>
      <c r="P270" s="10">
        <v>41149</v>
      </c>
      <c r="Q270" s="17" t="str">
        <f>IF(AND(MediCare_Data[[#This Row],[Patient_Gender]]="Male", MediCare_Data[[#This Row],[Treatment_Type]]="Maternity"), "Gender-Treatment Mismatch", "Fine")</f>
        <v>Fine</v>
      </c>
      <c r="R270" s="10">
        <f>MediCare_Data[[#This Row],[Revenue_Generated]]-MediCare_Data[[#This Row],[Average_Treatment_Cost]]</f>
        <v>39827</v>
      </c>
      <c r="S270" s="3">
        <f>(MediCare_Data[[#This Row],[Profit]]/MediCare_Data[[#This Row],[Revenue_Generated]])</f>
        <v>0.96787285231718878</v>
      </c>
    </row>
    <row r="271" spans="1:19" x14ac:dyDescent="0.25">
      <c r="A271" t="s">
        <v>318</v>
      </c>
      <c r="B271" t="s">
        <v>74</v>
      </c>
      <c r="C271" t="s">
        <v>20</v>
      </c>
      <c r="D271" t="s">
        <v>16</v>
      </c>
      <c r="E271">
        <v>49</v>
      </c>
      <c r="F271" t="str">
        <f>IF(MediCare_Data[[#This Row],[Patient_Age]]&lt;=18,"0-18",IF(MediCare_Data[[#This Row],[Patient_Age]]&lt;=35,"19-35",IF(MediCare_Data[[#This Row],[Patient_Age]]&lt;=60,"36-60","60+")))</f>
        <v>36-60</v>
      </c>
      <c r="G271" t="s">
        <v>17</v>
      </c>
      <c r="H271" t="s">
        <v>51</v>
      </c>
      <c r="I271" s="2">
        <v>72</v>
      </c>
      <c r="J271" s="11">
        <v>1443</v>
      </c>
      <c r="K271" s="3">
        <v>18.227412220000001</v>
      </c>
      <c r="L271" s="3">
        <f t="shared" si="4"/>
        <v>0.18227412220000003</v>
      </c>
      <c r="M271">
        <v>84</v>
      </c>
      <c r="N271" s="6">
        <f>MediCare_Data[[#This Row],[Average_Wait_Time (mins)]]/1440</f>
        <v>5.8333333333333334E-2</v>
      </c>
      <c r="O271" s="2">
        <v>4</v>
      </c>
      <c r="P271" s="10">
        <v>22164</v>
      </c>
      <c r="Q271" s="17" t="str">
        <f>IF(AND(MediCare_Data[[#This Row],[Patient_Gender]]="Male", MediCare_Data[[#This Row],[Treatment_Type]]="Maternity"), "Gender-Treatment Mismatch", "Fine")</f>
        <v>Fine</v>
      </c>
      <c r="R271" s="10">
        <f>MediCare_Data[[#This Row],[Revenue_Generated]]-MediCare_Data[[#This Row],[Average_Treatment_Cost]]</f>
        <v>20721</v>
      </c>
      <c r="S271" s="3">
        <f>(MediCare_Data[[#This Row],[Profit]]/MediCare_Data[[#This Row],[Revenue_Generated]])</f>
        <v>0.93489442338927986</v>
      </c>
    </row>
    <row r="272" spans="1:19" x14ac:dyDescent="0.25">
      <c r="A272" t="s">
        <v>319</v>
      </c>
      <c r="B272" t="s">
        <v>53</v>
      </c>
      <c r="C272" t="s">
        <v>36</v>
      </c>
      <c r="D272" t="s">
        <v>32</v>
      </c>
      <c r="E272">
        <v>15</v>
      </c>
      <c r="F272" t="str">
        <f>IF(MediCare_Data[[#This Row],[Patient_Age]]&lt;=18,"0-18",IF(MediCare_Data[[#This Row],[Patient_Age]]&lt;=35,"19-35",IF(MediCare_Data[[#This Row],[Patient_Age]]&lt;=60,"36-60","60+")))</f>
        <v>0-18</v>
      </c>
      <c r="G272" t="s">
        <v>17</v>
      </c>
      <c r="H272" t="s">
        <v>18</v>
      </c>
      <c r="I272" s="2">
        <v>80</v>
      </c>
      <c r="J272" s="11">
        <v>6650</v>
      </c>
      <c r="K272" s="3">
        <v>8.7039113570000008</v>
      </c>
      <c r="L272" s="3">
        <f t="shared" si="4"/>
        <v>8.7039113570000007E-2</v>
      </c>
      <c r="M272">
        <v>152</v>
      </c>
      <c r="N272" s="6">
        <f>MediCare_Data[[#This Row],[Average_Wait_Time (mins)]]/1440</f>
        <v>0.10555555555555556</v>
      </c>
      <c r="O272" s="2">
        <v>1</v>
      </c>
      <c r="P272" s="10">
        <v>28526</v>
      </c>
      <c r="Q272" s="17" t="str">
        <f>IF(AND(MediCare_Data[[#This Row],[Patient_Gender]]="Male", MediCare_Data[[#This Row],[Treatment_Type]]="Maternity"), "Gender-Treatment Mismatch", "Fine")</f>
        <v>Fine</v>
      </c>
      <c r="R272" s="10">
        <f>MediCare_Data[[#This Row],[Revenue_Generated]]-MediCare_Data[[#This Row],[Average_Treatment_Cost]]</f>
        <v>21876</v>
      </c>
      <c r="S272" s="3">
        <f>(MediCare_Data[[#This Row],[Profit]]/MediCare_Data[[#This Row],[Revenue_Generated]])</f>
        <v>0.76687933814765474</v>
      </c>
    </row>
    <row r="273" spans="1:19" x14ac:dyDescent="0.25">
      <c r="A273" t="s">
        <v>320</v>
      </c>
      <c r="B273" t="s">
        <v>74</v>
      </c>
      <c r="C273" t="s">
        <v>31</v>
      </c>
      <c r="D273" t="s">
        <v>32</v>
      </c>
      <c r="E273">
        <v>35</v>
      </c>
      <c r="F273" t="str">
        <f>IF(MediCare_Data[[#This Row],[Patient_Age]]&lt;=18,"0-18",IF(MediCare_Data[[#This Row],[Patient_Age]]&lt;=35,"19-35",IF(MediCare_Data[[#This Row],[Patient_Age]]&lt;=60,"36-60","60+")))</f>
        <v>19-35</v>
      </c>
      <c r="G273" t="s">
        <v>22</v>
      </c>
      <c r="H273" t="s">
        <v>33</v>
      </c>
      <c r="I273" s="2">
        <v>79</v>
      </c>
      <c r="J273" s="11">
        <v>4925</v>
      </c>
      <c r="K273" s="3">
        <v>8.4821867070000003</v>
      </c>
      <c r="L273" s="3">
        <f t="shared" si="4"/>
        <v>8.4821867070000001E-2</v>
      </c>
      <c r="M273">
        <v>41</v>
      </c>
      <c r="N273" s="6">
        <f>MediCare_Data[[#This Row],[Average_Wait_Time (mins)]]/1440</f>
        <v>2.8472222222222222E-2</v>
      </c>
      <c r="O273" s="2">
        <v>2</v>
      </c>
      <c r="P273" s="10">
        <v>32222</v>
      </c>
      <c r="Q273" s="17" t="str">
        <f>IF(AND(MediCare_Data[[#This Row],[Patient_Gender]]="Male", MediCare_Data[[#This Row],[Treatment_Type]]="Maternity"), "Gender-Treatment Mismatch", "Fine")</f>
        <v>Fine</v>
      </c>
      <c r="R273" s="10">
        <f>MediCare_Data[[#This Row],[Revenue_Generated]]-MediCare_Data[[#This Row],[Average_Treatment_Cost]]</f>
        <v>27297</v>
      </c>
      <c r="S273" s="3">
        <f>(MediCare_Data[[#This Row],[Profit]]/MediCare_Data[[#This Row],[Revenue_Generated]])</f>
        <v>0.84715411830426413</v>
      </c>
    </row>
    <row r="274" spans="1:19" x14ac:dyDescent="0.25">
      <c r="A274" t="s">
        <v>321</v>
      </c>
      <c r="B274" t="s">
        <v>35</v>
      </c>
      <c r="C274" t="s">
        <v>20</v>
      </c>
      <c r="D274" t="s">
        <v>16</v>
      </c>
      <c r="E274">
        <v>29</v>
      </c>
      <c r="F274" t="str">
        <f>IF(MediCare_Data[[#This Row],[Patient_Age]]&lt;=18,"0-18",IF(MediCare_Data[[#This Row],[Patient_Age]]&lt;=35,"19-35",IF(MediCare_Data[[#This Row],[Patient_Age]]&lt;=60,"36-60","60+")))</f>
        <v>19-35</v>
      </c>
      <c r="G274" t="s">
        <v>17</v>
      </c>
      <c r="H274" t="s">
        <v>23</v>
      </c>
      <c r="I274" s="2">
        <v>91</v>
      </c>
      <c r="J274" s="11">
        <v>9466</v>
      </c>
      <c r="K274" s="3">
        <v>6.9679129939999997</v>
      </c>
      <c r="L274" s="3">
        <f t="shared" si="4"/>
        <v>6.9679129940000001E-2</v>
      </c>
      <c r="M274">
        <v>37</v>
      </c>
      <c r="N274" s="6">
        <f>MediCare_Data[[#This Row],[Average_Wait_Time (mins)]]/1440</f>
        <v>2.5694444444444443E-2</v>
      </c>
      <c r="O274" s="2">
        <v>3</v>
      </c>
      <c r="P274" s="10">
        <v>21176</v>
      </c>
      <c r="Q274" s="17" t="str">
        <f>IF(AND(MediCare_Data[[#This Row],[Patient_Gender]]="Male", MediCare_Data[[#This Row],[Treatment_Type]]="Maternity"), "Gender-Treatment Mismatch", "Fine")</f>
        <v>Fine</v>
      </c>
      <c r="R274" s="10">
        <f>MediCare_Data[[#This Row],[Revenue_Generated]]-MediCare_Data[[#This Row],[Average_Treatment_Cost]]</f>
        <v>11710</v>
      </c>
      <c r="S274" s="3">
        <f>(MediCare_Data[[#This Row],[Profit]]/MediCare_Data[[#This Row],[Revenue_Generated]])</f>
        <v>0.55298451076690591</v>
      </c>
    </row>
    <row r="275" spans="1:19" x14ac:dyDescent="0.25">
      <c r="A275" t="s">
        <v>322</v>
      </c>
      <c r="B275" t="s">
        <v>49</v>
      </c>
      <c r="C275" t="s">
        <v>20</v>
      </c>
      <c r="D275" t="s">
        <v>32</v>
      </c>
      <c r="E275">
        <v>40</v>
      </c>
      <c r="F275" t="str">
        <f>IF(MediCare_Data[[#This Row],[Patient_Age]]&lt;=18,"0-18",IF(MediCare_Data[[#This Row],[Patient_Age]]&lt;=35,"19-35",IF(MediCare_Data[[#This Row],[Patient_Age]]&lt;=60,"36-60","60+")))</f>
        <v>36-60</v>
      </c>
      <c r="G275" t="s">
        <v>17</v>
      </c>
      <c r="H275" t="s">
        <v>23</v>
      </c>
      <c r="I275" s="2">
        <v>84</v>
      </c>
      <c r="J275" s="11">
        <v>2698</v>
      </c>
      <c r="K275" s="3">
        <v>18.206054389999998</v>
      </c>
      <c r="L275" s="3">
        <f t="shared" si="4"/>
        <v>0.18206054389999998</v>
      </c>
      <c r="M275">
        <v>31</v>
      </c>
      <c r="N275" s="6">
        <f>MediCare_Data[[#This Row],[Average_Wait_Time (mins)]]/1440</f>
        <v>2.1527777777777778E-2</v>
      </c>
      <c r="O275" s="2">
        <v>1</v>
      </c>
      <c r="P275" s="10">
        <v>3941</v>
      </c>
      <c r="Q275" s="17" t="str">
        <f>IF(AND(MediCare_Data[[#This Row],[Patient_Gender]]="Male", MediCare_Data[[#This Row],[Treatment_Type]]="Maternity"), "Gender-Treatment Mismatch", "Fine")</f>
        <v>Fine</v>
      </c>
      <c r="R275" s="10">
        <f>MediCare_Data[[#This Row],[Revenue_Generated]]-MediCare_Data[[#This Row],[Average_Treatment_Cost]]</f>
        <v>1243</v>
      </c>
      <c r="S275" s="3">
        <f>(MediCare_Data[[#This Row],[Profit]]/MediCare_Data[[#This Row],[Revenue_Generated]])</f>
        <v>0.31540218218726213</v>
      </c>
    </row>
    <row r="276" spans="1:19" x14ac:dyDescent="0.25">
      <c r="A276" t="s">
        <v>323</v>
      </c>
      <c r="B276" t="s">
        <v>82</v>
      </c>
      <c r="C276" t="s">
        <v>20</v>
      </c>
      <c r="D276" t="s">
        <v>21</v>
      </c>
      <c r="E276">
        <v>71</v>
      </c>
      <c r="F276" t="str">
        <f>IF(MediCare_Data[[#This Row],[Patient_Age]]&lt;=18,"0-18",IF(MediCare_Data[[#This Row],[Patient_Age]]&lt;=35,"19-35",IF(MediCare_Data[[#This Row],[Patient_Age]]&lt;=60,"36-60","60+")))</f>
        <v>60+</v>
      </c>
      <c r="G276" t="s">
        <v>17</v>
      </c>
      <c r="H276" t="s">
        <v>23</v>
      </c>
      <c r="I276" s="2">
        <v>56</v>
      </c>
      <c r="J276" s="11">
        <v>4742</v>
      </c>
      <c r="K276" s="3">
        <v>20.287453240000001</v>
      </c>
      <c r="L276" s="3">
        <f t="shared" si="4"/>
        <v>0.2028745324</v>
      </c>
      <c r="M276">
        <v>26</v>
      </c>
      <c r="N276" s="6">
        <f>MediCare_Data[[#This Row],[Average_Wait_Time (mins)]]/1440</f>
        <v>1.8055555555555554E-2</v>
      </c>
      <c r="O276" s="2">
        <v>3</v>
      </c>
      <c r="P276" s="10">
        <v>6695</v>
      </c>
      <c r="Q276" s="17" t="str">
        <f>IF(AND(MediCare_Data[[#This Row],[Patient_Gender]]="Male", MediCare_Data[[#This Row],[Treatment_Type]]="Maternity"), "Gender-Treatment Mismatch", "Fine")</f>
        <v>Fine</v>
      </c>
      <c r="R276" s="10">
        <f>MediCare_Data[[#This Row],[Revenue_Generated]]-MediCare_Data[[#This Row],[Average_Treatment_Cost]]</f>
        <v>1953</v>
      </c>
      <c r="S276" s="3">
        <f>(MediCare_Data[[#This Row],[Profit]]/MediCare_Data[[#This Row],[Revenue_Generated]])</f>
        <v>0.29171023151605674</v>
      </c>
    </row>
    <row r="277" spans="1:19" x14ac:dyDescent="0.25">
      <c r="A277" t="s">
        <v>324</v>
      </c>
      <c r="B277" t="s">
        <v>74</v>
      </c>
      <c r="C277" t="s">
        <v>54</v>
      </c>
      <c r="D277" t="s">
        <v>32</v>
      </c>
      <c r="E277">
        <v>24</v>
      </c>
      <c r="F277" t="str">
        <f>IF(MediCare_Data[[#This Row],[Patient_Age]]&lt;=18,"0-18",IF(MediCare_Data[[#This Row],[Patient_Age]]&lt;=35,"19-35",IF(MediCare_Data[[#This Row],[Patient_Age]]&lt;=60,"36-60","60+")))</f>
        <v>19-35</v>
      </c>
      <c r="G277" t="s">
        <v>26</v>
      </c>
      <c r="H277" t="s">
        <v>33</v>
      </c>
      <c r="I277" s="2">
        <v>65</v>
      </c>
      <c r="J277" s="11">
        <v>4195</v>
      </c>
      <c r="K277" s="3">
        <v>10.30092857</v>
      </c>
      <c r="L277" s="3">
        <f t="shared" si="4"/>
        <v>0.10300928569999999</v>
      </c>
      <c r="M277">
        <v>68</v>
      </c>
      <c r="N277" s="6">
        <f>MediCare_Data[[#This Row],[Average_Wait_Time (mins)]]/1440</f>
        <v>4.7222222222222221E-2</v>
      </c>
      <c r="O277" s="2">
        <v>3</v>
      </c>
      <c r="P277" s="10">
        <v>40169</v>
      </c>
      <c r="Q277" s="17" t="str">
        <f>IF(AND(MediCare_Data[[#This Row],[Patient_Gender]]="Male", MediCare_Data[[#This Row],[Treatment_Type]]="Maternity"), "Gender-Treatment Mismatch", "Fine")</f>
        <v>Fine</v>
      </c>
      <c r="R277" s="10">
        <f>MediCare_Data[[#This Row],[Revenue_Generated]]-MediCare_Data[[#This Row],[Average_Treatment_Cost]]</f>
        <v>35974</v>
      </c>
      <c r="S277" s="3">
        <f>(MediCare_Data[[#This Row],[Profit]]/MediCare_Data[[#This Row],[Revenue_Generated]])</f>
        <v>0.89556623266698199</v>
      </c>
    </row>
    <row r="278" spans="1:19" x14ac:dyDescent="0.25">
      <c r="A278" t="s">
        <v>325</v>
      </c>
      <c r="B278" t="s">
        <v>14</v>
      </c>
      <c r="C278" t="s">
        <v>36</v>
      </c>
      <c r="D278" t="s">
        <v>32</v>
      </c>
      <c r="E278">
        <v>17</v>
      </c>
      <c r="F278" t="str">
        <f>IF(MediCare_Data[[#This Row],[Patient_Age]]&lt;=18,"0-18",IF(MediCare_Data[[#This Row],[Patient_Age]]&lt;=35,"19-35",IF(MediCare_Data[[#This Row],[Patient_Age]]&lt;=60,"36-60","60+")))</f>
        <v>0-18</v>
      </c>
      <c r="G278" t="s">
        <v>26</v>
      </c>
      <c r="H278" t="s">
        <v>51</v>
      </c>
      <c r="I278" s="2">
        <v>75</v>
      </c>
      <c r="J278" s="11">
        <v>3952</v>
      </c>
      <c r="K278" s="3">
        <v>5.4188992210000002</v>
      </c>
      <c r="L278" s="3">
        <f t="shared" si="4"/>
        <v>5.4188992210000002E-2</v>
      </c>
      <c r="M278">
        <v>99</v>
      </c>
      <c r="N278" s="6">
        <f>MediCare_Data[[#This Row],[Average_Wait_Time (mins)]]/1440</f>
        <v>6.8750000000000006E-2</v>
      </c>
      <c r="O278" s="2">
        <v>3</v>
      </c>
      <c r="P278" s="10">
        <v>48947</v>
      </c>
      <c r="Q278" s="17" t="str">
        <f>IF(AND(MediCare_Data[[#This Row],[Patient_Gender]]="Male", MediCare_Data[[#This Row],[Treatment_Type]]="Maternity"), "Gender-Treatment Mismatch", "Fine")</f>
        <v>Fine</v>
      </c>
      <c r="R278" s="10">
        <f>MediCare_Data[[#This Row],[Revenue_Generated]]-MediCare_Data[[#This Row],[Average_Treatment_Cost]]</f>
        <v>44995</v>
      </c>
      <c r="S278" s="3">
        <f>(MediCare_Data[[#This Row],[Profit]]/MediCare_Data[[#This Row],[Revenue_Generated]])</f>
        <v>0.9192596073303777</v>
      </c>
    </row>
    <row r="279" spans="1:19" x14ac:dyDescent="0.25">
      <c r="A279" t="s">
        <v>326</v>
      </c>
      <c r="B279" t="s">
        <v>61</v>
      </c>
      <c r="C279" t="s">
        <v>54</v>
      </c>
      <c r="D279" t="s">
        <v>16</v>
      </c>
      <c r="E279">
        <v>73</v>
      </c>
      <c r="F279" t="str">
        <f>IF(MediCare_Data[[#This Row],[Patient_Age]]&lt;=18,"0-18",IF(MediCare_Data[[#This Row],[Patient_Age]]&lt;=35,"19-35",IF(MediCare_Data[[#This Row],[Patient_Age]]&lt;=60,"36-60","60+")))</f>
        <v>60+</v>
      </c>
      <c r="G279" t="s">
        <v>22</v>
      </c>
      <c r="H279" t="s">
        <v>37</v>
      </c>
      <c r="I279" s="2">
        <v>97</v>
      </c>
      <c r="J279" s="11">
        <v>9606</v>
      </c>
      <c r="K279" s="3">
        <v>6.6434333499999996</v>
      </c>
      <c r="L279" s="3">
        <f t="shared" si="4"/>
        <v>6.6434333499999998E-2</v>
      </c>
      <c r="M279">
        <v>115</v>
      </c>
      <c r="N279" s="6">
        <f>MediCare_Data[[#This Row],[Average_Wait_Time (mins)]]/1440</f>
        <v>7.9861111111111105E-2</v>
      </c>
      <c r="O279" s="2">
        <v>3</v>
      </c>
      <c r="P279" s="10">
        <v>48224</v>
      </c>
      <c r="Q279" s="17" t="str">
        <f>IF(AND(MediCare_Data[[#This Row],[Patient_Gender]]="Male", MediCare_Data[[#This Row],[Treatment_Type]]="Maternity"), "Gender-Treatment Mismatch", "Fine")</f>
        <v>Gender-Treatment Mismatch</v>
      </c>
      <c r="R279" s="10">
        <f>MediCare_Data[[#This Row],[Revenue_Generated]]-MediCare_Data[[#This Row],[Average_Treatment_Cost]]</f>
        <v>38618</v>
      </c>
      <c r="S279" s="3">
        <f>(MediCare_Data[[#This Row],[Profit]]/MediCare_Data[[#This Row],[Revenue_Generated]])</f>
        <v>0.80080457863304577</v>
      </c>
    </row>
    <row r="280" spans="1:19" x14ac:dyDescent="0.25">
      <c r="A280" t="s">
        <v>327</v>
      </c>
      <c r="B280" t="s">
        <v>82</v>
      </c>
      <c r="C280" t="s">
        <v>54</v>
      </c>
      <c r="D280" t="s">
        <v>21</v>
      </c>
      <c r="E280">
        <v>59</v>
      </c>
      <c r="F280" t="str">
        <f>IF(MediCare_Data[[#This Row],[Patient_Age]]&lt;=18,"0-18",IF(MediCare_Data[[#This Row],[Patient_Age]]&lt;=35,"19-35",IF(MediCare_Data[[#This Row],[Patient_Age]]&lt;=60,"36-60","60+")))</f>
        <v>36-60</v>
      </c>
      <c r="G280" t="s">
        <v>22</v>
      </c>
      <c r="H280" t="s">
        <v>18</v>
      </c>
      <c r="I280" s="2">
        <v>98</v>
      </c>
      <c r="J280" s="11">
        <v>1808</v>
      </c>
      <c r="K280" s="3">
        <v>24.3572007</v>
      </c>
      <c r="L280" s="3">
        <f t="shared" si="4"/>
        <v>0.24357200700000001</v>
      </c>
      <c r="M280">
        <v>35</v>
      </c>
      <c r="N280" s="6">
        <f>MediCare_Data[[#This Row],[Average_Wait_Time (mins)]]/1440</f>
        <v>2.4305555555555556E-2</v>
      </c>
      <c r="O280" s="2">
        <v>4</v>
      </c>
      <c r="P280" s="10">
        <v>46865</v>
      </c>
      <c r="Q280" s="17" t="str">
        <f>IF(AND(MediCare_Data[[#This Row],[Patient_Gender]]="Male", MediCare_Data[[#This Row],[Treatment_Type]]="Maternity"), "Gender-Treatment Mismatch", "Fine")</f>
        <v>Fine</v>
      </c>
      <c r="R280" s="10">
        <f>MediCare_Data[[#This Row],[Revenue_Generated]]-MediCare_Data[[#This Row],[Average_Treatment_Cost]]</f>
        <v>45057</v>
      </c>
      <c r="S280" s="3">
        <f>(MediCare_Data[[#This Row],[Profit]]/MediCare_Data[[#This Row],[Revenue_Generated]])</f>
        <v>0.96142110316867602</v>
      </c>
    </row>
    <row r="281" spans="1:19" x14ac:dyDescent="0.25">
      <c r="A281" t="s">
        <v>328</v>
      </c>
      <c r="B281" t="s">
        <v>74</v>
      </c>
      <c r="C281" t="s">
        <v>20</v>
      </c>
      <c r="D281" t="s">
        <v>32</v>
      </c>
      <c r="E281">
        <v>67</v>
      </c>
      <c r="F281" t="str">
        <f>IF(MediCare_Data[[#This Row],[Patient_Age]]&lt;=18,"0-18",IF(MediCare_Data[[#This Row],[Patient_Age]]&lt;=35,"19-35",IF(MediCare_Data[[#This Row],[Patient_Age]]&lt;=60,"36-60","60+")))</f>
        <v>60+</v>
      </c>
      <c r="G281" t="s">
        <v>43</v>
      </c>
      <c r="H281" t="s">
        <v>33</v>
      </c>
      <c r="I281" s="2">
        <v>51</v>
      </c>
      <c r="J281" s="11">
        <v>4677</v>
      </c>
      <c r="K281" s="3">
        <v>10.90889555</v>
      </c>
      <c r="L281" s="3">
        <f t="shared" si="4"/>
        <v>0.1090889555</v>
      </c>
      <c r="M281">
        <v>34</v>
      </c>
      <c r="N281" s="6">
        <f>MediCare_Data[[#This Row],[Average_Wait_Time (mins)]]/1440</f>
        <v>2.361111111111111E-2</v>
      </c>
      <c r="O281" s="2">
        <v>1</v>
      </c>
      <c r="P281" s="10">
        <v>26553</v>
      </c>
      <c r="Q281" s="17" t="str">
        <f>IF(AND(MediCare_Data[[#This Row],[Patient_Gender]]="Male", MediCare_Data[[#This Row],[Treatment_Type]]="Maternity"), "Gender-Treatment Mismatch", "Fine")</f>
        <v>Fine</v>
      </c>
      <c r="R281" s="10">
        <f>MediCare_Data[[#This Row],[Revenue_Generated]]-MediCare_Data[[#This Row],[Average_Treatment_Cost]]</f>
        <v>21876</v>
      </c>
      <c r="S281" s="3">
        <f>(MediCare_Data[[#This Row],[Profit]]/MediCare_Data[[#This Row],[Revenue_Generated]])</f>
        <v>0.82386171054118174</v>
      </c>
    </row>
    <row r="282" spans="1:19" x14ac:dyDescent="0.25">
      <c r="A282" t="s">
        <v>329</v>
      </c>
      <c r="B282" t="s">
        <v>35</v>
      </c>
      <c r="C282" t="s">
        <v>54</v>
      </c>
      <c r="D282" t="s">
        <v>16</v>
      </c>
      <c r="E282">
        <v>53</v>
      </c>
      <c r="F282" t="str">
        <f>IF(MediCare_Data[[#This Row],[Patient_Age]]&lt;=18,"0-18",IF(MediCare_Data[[#This Row],[Patient_Age]]&lt;=35,"19-35",IF(MediCare_Data[[#This Row],[Patient_Age]]&lt;=60,"36-60","60+")))</f>
        <v>36-60</v>
      </c>
      <c r="G282" t="s">
        <v>17</v>
      </c>
      <c r="H282" t="s">
        <v>18</v>
      </c>
      <c r="I282" s="2">
        <v>50</v>
      </c>
      <c r="J282" s="11">
        <v>9205</v>
      </c>
      <c r="K282" s="3">
        <v>20.38446296</v>
      </c>
      <c r="L282" s="3">
        <f t="shared" si="4"/>
        <v>0.20384462959999999</v>
      </c>
      <c r="M282">
        <v>147</v>
      </c>
      <c r="N282" s="6">
        <f>MediCare_Data[[#This Row],[Average_Wait_Time (mins)]]/1440</f>
        <v>0.10208333333333333</v>
      </c>
      <c r="O282" s="2">
        <v>1</v>
      </c>
      <c r="P282" s="10">
        <v>39965</v>
      </c>
      <c r="Q282" s="17" t="str">
        <f>IF(AND(MediCare_Data[[#This Row],[Patient_Gender]]="Male", MediCare_Data[[#This Row],[Treatment_Type]]="Maternity"), "Gender-Treatment Mismatch", "Fine")</f>
        <v>Fine</v>
      </c>
      <c r="R282" s="10">
        <f>MediCare_Data[[#This Row],[Revenue_Generated]]-MediCare_Data[[#This Row],[Average_Treatment_Cost]]</f>
        <v>30760</v>
      </c>
      <c r="S282" s="3">
        <f>(MediCare_Data[[#This Row],[Profit]]/MediCare_Data[[#This Row],[Revenue_Generated]])</f>
        <v>0.76967346428124606</v>
      </c>
    </row>
    <row r="283" spans="1:19" x14ac:dyDescent="0.25">
      <c r="A283" t="s">
        <v>330</v>
      </c>
      <c r="B283" t="s">
        <v>64</v>
      </c>
      <c r="C283" t="s">
        <v>42</v>
      </c>
      <c r="D283" t="s">
        <v>21</v>
      </c>
      <c r="E283">
        <v>22</v>
      </c>
      <c r="F283" t="str">
        <f>IF(MediCare_Data[[#This Row],[Patient_Age]]&lt;=18,"0-18",IF(MediCare_Data[[#This Row],[Patient_Age]]&lt;=35,"19-35",IF(MediCare_Data[[#This Row],[Patient_Age]]&lt;=60,"36-60","60+")))</f>
        <v>19-35</v>
      </c>
      <c r="G283" t="s">
        <v>22</v>
      </c>
      <c r="H283" t="s">
        <v>51</v>
      </c>
      <c r="I283" s="2">
        <v>97</v>
      </c>
      <c r="J283" s="11">
        <v>7352</v>
      </c>
      <c r="K283" s="3">
        <v>17.493271379999999</v>
      </c>
      <c r="L283" s="3">
        <f t="shared" si="4"/>
        <v>0.1749327138</v>
      </c>
      <c r="M283">
        <v>54</v>
      </c>
      <c r="N283" s="6">
        <f>MediCare_Data[[#This Row],[Average_Wait_Time (mins)]]/1440</f>
        <v>3.7499999999999999E-2</v>
      </c>
      <c r="O283" s="2">
        <v>1</v>
      </c>
      <c r="P283" s="10">
        <v>39218</v>
      </c>
      <c r="Q283" s="17" t="str">
        <f>IF(AND(MediCare_Data[[#This Row],[Patient_Gender]]="Male", MediCare_Data[[#This Row],[Treatment_Type]]="Maternity"), "Gender-Treatment Mismatch", "Fine")</f>
        <v>Fine</v>
      </c>
      <c r="R283" s="10">
        <f>MediCare_Data[[#This Row],[Revenue_Generated]]-MediCare_Data[[#This Row],[Average_Treatment_Cost]]</f>
        <v>31866</v>
      </c>
      <c r="S283" s="3">
        <f>(MediCare_Data[[#This Row],[Profit]]/MediCare_Data[[#This Row],[Revenue_Generated]])</f>
        <v>0.81253506043143453</v>
      </c>
    </row>
    <row r="284" spans="1:19" x14ac:dyDescent="0.25">
      <c r="A284" t="s">
        <v>331</v>
      </c>
      <c r="B284" t="s">
        <v>35</v>
      </c>
      <c r="C284" t="s">
        <v>42</v>
      </c>
      <c r="D284" t="s">
        <v>16</v>
      </c>
      <c r="E284">
        <v>87</v>
      </c>
      <c r="F284" t="str">
        <f>IF(MediCare_Data[[#This Row],[Patient_Age]]&lt;=18,"0-18",IF(MediCare_Data[[#This Row],[Patient_Age]]&lt;=35,"19-35",IF(MediCare_Data[[#This Row],[Patient_Age]]&lt;=60,"36-60","60+")))</f>
        <v>60+</v>
      </c>
      <c r="G284" t="s">
        <v>17</v>
      </c>
      <c r="H284" t="s">
        <v>18</v>
      </c>
      <c r="I284" s="2">
        <v>61</v>
      </c>
      <c r="J284" s="11">
        <v>6535</v>
      </c>
      <c r="K284" s="3">
        <v>12.63879279</v>
      </c>
      <c r="L284" s="3">
        <f t="shared" si="4"/>
        <v>0.1263879279</v>
      </c>
      <c r="M284">
        <v>92</v>
      </c>
      <c r="N284" s="6">
        <f>MediCare_Data[[#This Row],[Average_Wait_Time (mins)]]/1440</f>
        <v>6.3888888888888884E-2</v>
      </c>
      <c r="O284" s="2">
        <v>3</v>
      </c>
      <c r="P284" s="10">
        <v>26359</v>
      </c>
      <c r="Q284" s="17" t="str">
        <f>IF(AND(MediCare_Data[[#This Row],[Patient_Gender]]="Male", MediCare_Data[[#This Row],[Treatment_Type]]="Maternity"), "Gender-Treatment Mismatch", "Fine")</f>
        <v>Fine</v>
      </c>
      <c r="R284" s="10">
        <f>MediCare_Data[[#This Row],[Revenue_Generated]]-MediCare_Data[[#This Row],[Average_Treatment_Cost]]</f>
        <v>19824</v>
      </c>
      <c r="S284" s="3">
        <f>(MediCare_Data[[#This Row],[Profit]]/MediCare_Data[[#This Row],[Revenue_Generated]])</f>
        <v>0.75207708941917373</v>
      </c>
    </row>
    <row r="285" spans="1:19" x14ac:dyDescent="0.25">
      <c r="A285" t="s">
        <v>332</v>
      </c>
      <c r="B285" t="s">
        <v>49</v>
      </c>
      <c r="C285" t="s">
        <v>46</v>
      </c>
      <c r="D285" t="s">
        <v>16</v>
      </c>
      <c r="E285">
        <v>87</v>
      </c>
      <c r="F285" t="str">
        <f>IF(MediCare_Data[[#This Row],[Patient_Age]]&lt;=18,"0-18",IF(MediCare_Data[[#This Row],[Patient_Age]]&lt;=35,"19-35",IF(MediCare_Data[[#This Row],[Patient_Age]]&lt;=60,"36-60","60+")))</f>
        <v>60+</v>
      </c>
      <c r="G285" t="s">
        <v>22</v>
      </c>
      <c r="H285" t="s">
        <v>51</v>
      </c>
      <c r="I285" s="2">
        <v>54</v>
      </c>
      <c r="J285" s="11">
        <v>4094</v>
      </c>
      <c r="K285" s="3">
        <v>9.1137452440000004</v>
      </c>
      <c r="L285" s="3">
        <f t="shared" si="4"/>
        <v>9.1137452440000002E-2</v>
      </c>
      <c r="M285">
        <v>20</v>
      </c>
      <c r="N285" s="6">
        <f>MediCare_Data[[#This Row],[Average_Wait_Time (mins)]]/1440</f>
        <v>1.3888888888888888E-2</v>
      </c>
      <c r="O285" s="2">
        <v>4</v>
      </c>
      <c r="P285" s="10">
        <v>25816</v>
      </c>
      <c r="Q285" s="17" t="str">
        <f>IF(AND(MediCare_Data[[#This Row],[Patient_Gender]]="Male", MediCare_Data[[#This Row],[Treatment_Type]]="Maternity"), "Gender-Treatment Mismatch", "Fine")</f>
        <v>Fine</v>
      </c>
      <c r="R285" s="10">
        <f>MediCare_Data[[#This Row],[Revenue_Generated]]-MediCare_Data[[#This Row],[Average_Treatment_Cost]]</f>
        <v>21722</v>
      </c>
      <c r="S285" s="3">
        <f>(MediCare_Data[[#This Row],[Profit]]/MediCare_Data[[#This Row],[Revenue_Generated]])</f>
        <v>0.84141617601487451</v>
      </c>
    </row>
    <row r="286" spans="1:19" x14ac:dyDescent="0.25">
      <c r="A286" t="s">
        <v>333</v>
      </c>
      <c r="B286" t="s">
        <v>41</v>
      </c>
      <c r="C286" t="s">
        <v>42</v>
      </c>
      <c r="D286" t="s">
        <v>32</v>
      </c>
      <c r="E286">
        <v>1</v>
      </c>
      <c r="F286" t="str">
        <f>IF(MediCare_Data[[#This Row],[Patient_Age]]&lt;=18,"0-18",IF(MediCare_Data[[#This Row],[Patient_Age]]&lt;=35,"19-35",IF(MediCare_Data[[#This Row],[Patient_Age]]&lt;=60,"36-60","60+")))</f>
        <v>0-18</v>
      </c>
      <c r="G286" t="s">
        <v>43</v>
      </c>
      <c r="H286" t="s">
        <v>23</v>
      </c>
      <c r="I286" s="2">
        <v>86</v>
      </c>
      <c r="J286" s="11">
        <v>5341</v>
      </c>
      <c r="K286" s="3">
        <v>7.4277283629999999</v>
      </c>
      <c r="L286" s="3">
        <f t="shared" si="4"/>
        <v>7.4277283629999996E-2</v>
      </c>
      <c r="M286">
        <v>113</v>
      </c>
      <c r="N286" s="6">
        <f>MediCare_Data[[#This Row],[Average_Wait_Time (mins)]]/1440</f>
        <v>7.8472222222222221E-2</v>
      </c>
      <c r="O286" s="2">
        <v>3</v>
      </c>
      <c r="P286" s="10">
        <v>9378</v>
      </c>
      <c r="Q286" s="17" t="str">
        <f>IF(AND(MediCare_Data[[#This Row],[Patient_Gender]]="Male", MediCare_Data[[#This Row],[Treatment_Type]]="Maternity"), "Gender-Treatment Mismatch", "Fine")</f>
        <v>Fine</v>
      </c>
      <c r="R286" s="10">
        <f>MediCare_Data[[#This Row],[Revenue_Generated]]-MediCare_Data[[#This Row],[Average_Treatment_Cost]]</f>
        <v>4037</v>
      </c>
      <c r="S286" s="3">
        <f>(MediCare_Data[[#This Row],[Profit]]/MediCare_Data[[#This Row],[Revenue_Generated]])</f>
        <v>0.43047558114736617</v>
      </c>
    </row>
    <row r="287" spans="1:19" x14ac:dyDescent="0.25">
      <c r="A287" t="s">
        <v>334</v>
      </c>
      <c r="B287" t="s">
        <v>49</v>
      </c>
      <c r="C287" t="s">
        <v>42</v>
      </c>
      <c r="D287" t="s">
        <v>32</v>
      </c>
      <c r="E287">
        <v>78</v>
      </c>
      <c r="F287" t="str">
        <f>IF(MediCare_Data[[#This Row],[Patient_Age]]&lt;=18,"0-18",IF(MediCare_Data[[#This Row],[Patient_Age]]&lt;=35,"19-35",IF(MediCare_Data[[#This Row],[Patient_Age]]&lt;=60,"36-60","60+")))</f>
        <v>60+</v>
      </c>
      <c r="G287" t="s">
        <v>22</v>
      </c>
      <c r="H287" t="s">
        <v>18</v>
      </c>
      <c r="I287" s="2">
        <v>81</v>
      </c>
      <c r="J287" s="11">
        <v>1909</v>
      </c>
      <c r="K287" s="3">
        <v>17.300259359999998</v>
      </c>
      <c r="L287" s="3">
        <f t="shared" si="4"/>
        <v>0.17300259359999998</v>
      </c>
      <c r="M287">
        <v>77</v>
      </c>
      <c r="N287" s="6">
        <f>MediCare_Data[[#This Row],[Average_Wait_Time (mins)]]/1440</f>
        <v>5.347222222222222E-2</v>
      </c>
      <c r="O287" s="2">
        <v>3</v>
      </c>
      <c r="P287" s="10">
        <v>2881</v>
      </c>
      <c r="Q287" s="17" t="str">
        <f>IF(AND(MediCare_Data[[#This Row],[Patient_Gender]]="Male", MediCare_Data[[#This Row],[Treatment_Type]]="Maternity"), "Gender-Treatment Mismatch", "Fine")</f>
        <v>Fine</v>
      </c>
      <c r="R287" s="10">
        <f>MediCare_Data[[#This Row],[Revenue_Generated]]-MediCare_Data[[#This Row],[Average_Treatment_Cost]]</f>
        <v>972</v>
      </c>
      <c r="S287" s="3">
        <f>(MediCare_Data[[#This Row],[Profit]]/MediCare_Data[[#This Row],[Revenue_Generated]])</f>
        <v>0.33738285317598055</v>
      </c>
    </row>
    <row r="288" spans="1:19" x14ac:dyDescent="0.25">
      <c r="A288" t="s">
        <v>335</v>
      </c>
      <c r="B288" t="s">
        <v>64</v>
      </c>
      <c r="C288" t="s">
        <v>15</v>
      </c>
      <c r="D288" t="s">
        <v>21</v>
      </c>
      <c r="E288">
        <v>47</v>
      </c>
      <c r="F288" t="str">
        <f>IF(MediCare_Data[[#This Row],[Patient_Age]]&lt;=18,"0-18",IF(MediCare_Data[[#This Row],[Patient_Age]]&lt;=35,"19-35",IF(MediCare_Data[[#This Row],[Patient_Age]]&lt;=60,"36-60","60+")))</f>
        <v>36-60</v>
      </c>
      <c r="G288" t="s">
        <v>26</v>
      </c>
      <c r="H288" t="s">
        <v>37</v>
      </c>
      <c r="I288" s="2">
        <v>58</v>
      </c>
      <c r="J288" s="11">
        <v>5066</v>
      </c>
      <c r="K288" s="3">
        <v>20.492675609999999</v>
      </c>
      <c r="L288" s="3">
        <f t="shared" si="4"/>
        <v>0.2049267561</v>
      </c>
      <c r="M288">
        <v>104</v>
      </c>
      <c r="N288" s="6">
        <f>MediCare_Data[[#This Row],[Average_Wait_Time (mins)]]/1440</f>
        <v>7.2222222222222215E-2</v>
      </c>
      <c r="O288" s="2">
        <v>1</v>
      </c>
      <c r="P288" s="10">
        <v>40567</v>
      </c>
      <c r="Q288" s="17" t="str">
        <f>IF(AND(MediCare_Data[[#This Row],[Patient_Gender]]="Male", MediCare_Data[[#This Row],[Treatment_Type]]="Maternity"), "Gender-Treatment Mismatch", "Fine")</f>
        <v>Fine</v>
      </c>
      <c r="R288" s="10">
        <f>MediCare_Data[[#This Row],[Revenue_Generated]]-MediCare_Data[[#This Row],[Average_Treatment_Cost]]</f>
        <v>35501</v>
      </c>
      <c r="S288" s="3">
        <f>(MediCare_Data[[#This Row],[Profit]]/MediCare_Data[[#This Row],[Revenue_Generated]])</f>
        <v>0.87512017156802324</v>
      </c>
    </row>
    <row r="289" spans="1:19" x14ac:dyDescent="0.25">
      <c r="A289" t="s">
        <v>336</v>
      </c>
      <c r="B289" t="s">
        <v>56</v>
      </c>
      <c r="C289" t="s">
        <v>54</v>
      </c>
      <c r="D289" t="s">
        <v>21</v>
      </c>
      <c r="E289">
        <v>22</v>
      </c>
      <c r="F289" t="str">
        <f>IF(MediCare_Data[[#This Row],[Patient_Age]]&lt;=18,"0-18",IF(MediCare_Data[[#This Row],[Patient_Age]]&lt;=35,"19-35",IF(MediCare_Data[[#This Row],[Patient_Age]]&lt;=60,"36-60","60+")))</f>
        <v>19-35</v>
      </c>
      <c r="G289" t="s">
        <v>17</v>
      </c>
      <c r="H289" t="s">
        <v>51</v>
      </c>
      <c r="I289" s="2">
        <v>90</v>
      </c>
      <c r="J289" s="11">
        <v>4991</v>
      </c>
      <c r="K289" s="3">
        <v>17.878085070000001</v>
      </c>
      <c r="L289" s="3">
        <f t="shared" si="4"/>
        <v>0.17878085070000002</v>
      </c>
      <c r="M289">
        <v>165</v>
      </c>
      <c r="N289" s="6">
        <f>MediCare_Data[[#This Row],[Average_Wait_Time (mins)]]/1440</f>
        <v>0.11458333333333333</v>
      </c>
      <c r="O289" s="2">
        <v>3</v>
      </c>
      <c r="P289" s="10">
        <v>48365</v>
      </c>
      <c r="Q289" s="17" t="str">
        <f>IF(AND(MediCare_Data[[#This Row],[Patient_Gender]]="Male", MediCare_Data[[#This Row],[Treatment_Type]]="Maternity"), "Gender-Treatment Mismatch", "Fine")</f>
        <v>Fine</v>
      </c>
      <c r="R289" s="10">
        <f>MediCare_Data[[#This Row],[Revenue_Generated]]-MediCare_Data[[#This Row],[Average_Treatment_Cost]]</f>
        <v>43374</v>
      </c>
      <c r="S289" s="3">
        <f>(MediCare_Data[[#This Row],[Profit]]/MediCare_Data[[#This Row],[Revenue_Generated]])</f>
        <v>0.89680554119714673</v>
      </c>
    </row>
    <row r="290" spans="1:19" x14ac:dyDescent="0.25">
      <c r="A290" t="s">
        <v>337</v>
      </c>
      <c r="B290" t="s">
        <v>74</v>
      </c>
      <c r="C290" t="s">
        <v>29</v>
      </c>
      <c r="D290" t="s">
        <v>21</v>
      </c>
      <c r="E290">
        <v>62</v>
      </c>
      <c r="F290" t="str">
        <f>IF(MediCare_Data[[#This Row],[Patient_Age]]&lt;=18,"0-18",IF(MediCare_Data[[#This Row],[Patient_Age]]&lt;=35,"19-35",IF(MediCare_Data[[#This Row],[Patient_Age]]&lt;=60,"36-60","60+")))</f>
        <v>60+</v>
      </c>
      <c r="G290" t="s">
        <v>26</v>
      </c>
      <c r="H290" t="s">
        <v>18</v>
      </c>
      <c r="I290" s="2">
        <v>84</v>
      </c>
      <c r="J290" s="11">
        <v>2055</v>
      </c>
      <c r="K290" s="3">
        <v>15.60604266</v>
      </c>
      <c r="L290" s="3">
        <f t="shared" si="4"/>
        <v>0.1560604266</v>
      </c>
      <c r="M290">
        <v>74</v>
      </c>
      <c r="N290" s="6">
        <f>MediCare_Data[[#This Row],[Average_Wait_Time (mins)]]/1440</f>
        <v>5.1388888888888887E-2</v>
      </c>
      <c r="O290" s="2">
        <v>2</v>
      </c>
      <c r="P290" s="10">
        <v>14675</v>
      </c>
      <c r="Q290" s="17" t="str">
        <f>IF(AND(MediCare_Data[[#This Row],[Patient_Gender]]="Male", MediCare_Data[[#This Row],[Treatment_Type]]="Maternity"), "Gender-Treatment Mismatch", "Fine")</f>
        <v>Fine</v>
      </c>
      <c r="R290" s="10">
        <f>MediCare_Data[[#This Row],[Revenue_Generated]]-MediCare_Data[[#This Row],[Average_Treatment_Cost]]</f>
        <v>12620</v>
      </c>
      <c r="S290" s="3">
        <f>(MediCare_Data[[#This Row],[Profit]]/MediCare_Data[[#This Row],[Revenue_Generated]])</f>
        <v>0.85996592844974451</v>
      </c>
    </row>
    <row r="291" spans="1:19" x14ac:dyDescent="0.25">
      <c r="A291" t="s">
        <v>338</v>
      </c>
      <c r="B291" t="s">
        <v>61</v>
      </c>
      <c r="C291" t="s">
        <v>46</v>
      </c>
      <c r="D291" t="s">
        <v>16</v>
      </c>
      <c r="E291">
        <v>83</v>
      </c>
      <c r="F291" t="str">
        <f>IF(MediCare_Data[[#This Row],[Patient_Age]]&lt;=18,"0-18",IF(MediCare_Data[[#This Row],[Patient_Age]]&lt;=35,"19-35",IF(MediCare_Data[[#This Row],[Patient_Age]]&lt;=60,"36-60","60+")))</f>
        <v>60+</v>
      </c>
      <c r="G291" t="s">
        <v>22</v>
      </c>
      <c r="H291" t="s">
        <v>47</v>
      </c>
      <c r="I291" s="2">
        <v>68</v>
      </c>
      <c r="J291" s="11">
        <v>1304</v>
      </c>
      <c r="K291" s="3">
        <v>5.8390244689999999</v>
      </c>
      <c r="L291" s="3">
        <f t="shared" si="4"/>
        <v>5.8390244690000002E-2</v>
      </c>
      <c r="M291">
        <v>58</v>
      </c>
      <c r="N291" s="6">
        <f>MediCare_Data[[#This Row],[Average_Wait_Time (mins)]]/1440</f>
        <v>4.027777777777778E-2</v>
      </c>
      <c r="O291" s="2">
        <v>3</v>
      </c>
      <c r="P291" s="10">
        <v>5586</v>
      </c>
      <c r="Q291" s="17" t="str">
        <f>IF(AND(MediCare_Data[[#This Row],[Patient_Gender]]="Male", MediCare_Data[[#This Row],[Treatment_Type]]="Maternity"), "Gender-Treatment Mismatch", "Fine")</f>
        <v>Fine</v>
      </c>
      <c r="R291" s="10">
        <f>MediCare_Data[[#This Row],[Revenue_Generated]]-MediCare_Data[[#This Row],[Average_Treatment_Cost]]</f>
        <v>4282</v>
      </c>
      <c r="S291" s="3">
        <f>(MediCare_Data[[#This Row],[Profit]]/MediCare_Data[[#This Row],[Revenue_Generated]])</f>
        <v>0.76655925528105984</v>
      </c>
    </row>
    <row r="292" spans="1:19" x14ac:dyDescent="0.25">
      <c r="A292" t="s">
        <v>339</v>
      </c>
      <c r="B292" t="s">
        <v>35</v>
      </c>
      <c r="C292" t="s">
        <v>54</v>
      </c>
      <c r="D292" t="s">
        <v>32</v>
      </c>
      <c r="E292">
        <v>1</v>
      </c>
      <c r="F292" t="str">
        <f>IF(MediCare_Data[[#This Row],[Patient_Age]]&lt;=18,"0-18",IF(MediCare_Data[[#This Row],[Patient_Age]]&lt;=35,"19-35",IF(MediCare_Data[[#This Row],[Patient_Age]]&lt;=60,"36-60","60+")))</f>
        <v>0-18</v>
      </c>
      <c r="G292" t="s">
        <v>22</v>
      </c>
      <c r="H292" t="s">
        <v>33</v>
      </c>
      <c r="I292" s="2">
        <v>97</v>
      </c>
      <c r="J292" s="11">
        <v>1779</v>
      </c>
      <c r="K292" s="3">
        <v>24.36977555</v>
      </c>
      <c r="L292" s="3">
        <f t="shared" si="4"/>
        <v>0.2436977555</v>
      </c>
      <c r="M292">
        <v>61</v>
      </c>
      <c r="N292" s="6">
        <f>MediCare_Data[[#This Row],[Average_Wait_Time (mins)]]/1440</f>
        <v>4.2361111111111113E-2</v>
      </c>
      <c r="O292" s="2">
        <v>2</v>
      </c>
      <c r="P292" s="10">
        <v>26006</v>
      </c>
      <c r="Q292" s="17" t="str">
        <f>IF(AND(MediCare_Data[[#This Row],[Patient_Gender]]="Male", MediCare_Data[[#This Row],[Treatment_Type]]="Maternity"), "Gender-Treatment Mismatch", "Fine")</f>
        <v>Fine</v>
      </c>
      <c r="R292" s="10">
        <f>MediCare_Data[[#This Row],[Revenue_Generated]]-MediCare_Data[[#This Row],[Average_Treatment_Cost]]</f>
        <v>24227</v>
      </c>
      <c r="S292" s="3">
        <f>(MediCare_Data[[#This Row],[Profit]]/MediCare_Data[[#This Row],[Revenue_Generated]])</f>
        <v>0.93159270937475969</v>
      </c>
    </row>
    <row r="293" spans="1:19" x14ac:dyDescent="0.25">
      <c r="A293" t="s">
        <v>340</v>
      </c>
      <c r="B293" t="s">
        <v>35</v>
      </c>
      <c r="C293" t="s">
        <v>42</v>
      </c>
      <c r="D293" t="s">
        <v>32</v>
      </c>
      <c r="E293">
        <v>24</v>
      </c>
      <c r="F293" t="str">
        <f>IF(MediCare_Data[[#This Row],[Patient_Age]]&lt;=18,"0-18",IF(MediCare_Data[[#This Row],[Patient_Age]]&lt;=35,"19-35",IF(MediCare_Data[[#This Row],[Patient_Age]]&lt;=60,"36-60","60+")))</f>
        <v>19-35</v>
      </c>
      <c r="G293" t="s">
        <v>43</v>
      </c>
      <c r="H293" t="s">
        <v>47</v>
      </c>
      <c r="I293" s="2">
        <v>65</v>
      </c>
      <c r="J293" s="11">
        <v>7583</v>
      </c>
      <c r="K293" s="3">
        <v>20.974283830000001</v>
      </c>
      <c r="L293" s="3">
        <f t="shared" si="4"/>
        <v>0.20974283830000001</v>
      </c>
      <c r="M293">
        <v>111</v>
      </c>
      <c r="N293" s="6">
        <f>MediCare_Data[[#This Row],[Average_Wait_Time (mins)]]/1440</f>
        <v>7.7083333333333337E-2</v>
      </c>
      <c r="O293" s="2">
        <v>3</v>
      </c>
      <c r="P293" s="10">
        <v>42198</v>
      </c>
      <c r="Q293" s="17" t="str">
        <f>IF(AND(MediCare_Data[[#This Row],[Patient_Gender]]="Male", MediCare_Data[[#This Row],[Treatment_Type]]="Maternity"), "Gender-Treatment Mismatch", "Fine")</f>
        <v>Fine</v>
      </c>
      <c r="R293" s="10">
        <f>MediCare_Data[[#This Row],[Revenue_Generated]]-MediCare_Data[[#This Row],[Average_Treatment_Cost]]</f>
        <v>34615</v>
      </c>
      <c r="S293" s="3">
        <f>(MediCare_Data[[#This Row],[Profit]]/MediCare_Data[[#This Row],[Revenue_Generated]])</f>
        <v>0.82029954026257168</v>
      </c>
    </row>
    <row r="294" spans="1:19" x14ac:dyDescent="0.25">
      <c r="A294" t="s">
        <v>341</v>
      </c>
      <c r="B294" t="s">
        <v>64</v>
      </c>
      <c r="C294" t="s">
        <v>29</v>
      </c>
      <c r="D294" t="s">
        <v>16</v>
      </c>
      <c r="E294">
        <v>68</v>
      </c>
      <c r="F294" t="str">
        <f>IF(MediCare_Data[[#This Row],[Patient_Age]]&lt;=18,"0-18",IF(MediCare_Data[[#This Row],[Patient_Age]]&lt;=35,"19-35",IF(MediCare_Data[[#This Row],[Patient_Age]]&lt;=60,"36-60","60+")))</f>
        <v>60+</v>
      </c>
      <c r="G294" t="s">
        <v>43</v>
      </c>
      <c r="H294" t="s">
        <v>37</v>
      </c>
      <c r="I294" s="2">
        <v>52</v>
      </c>
      <c r="J294" s="11">
        <v>6486</v>
      </c>
      <c r="K294" s="3">
        <v>10.856440729999999</v>
      </c>
      <c r="L294" s="3">
        <f t="shared" si="4"/>
        <v>0.1085644073</v>
      </c>
      <c r="M294">
        <v>66</v>
      </c>
      <c r="N294" s="6">
        <f>MediCare_Data[[#This Row],[Average_Wait_Time (mins)]]/1440</f>
        <v>4.583333333333333E-2</v>
      </c>
      <c r="O294" s="2">
        <v>4</v>
      </c>
      <c r="P294" s="10">
        <v>23831</v>
      </c>
      <c r="Q294" s="17" t="str">
        <f>IF(AND(MediCare_Data[[#This Row],[Patient_Gender]]="Male", MediCare_Data[[#This Row],[Treatment_Type]]="Maternity"), "Gender-Treatment Mismatch", "Fine")</f>
        <v>Gender-Treatment Mismatch</v>
      </c>
      <c r="R294" s="10">
        <f>MediCare_Data[[#This Row],[Revenue_Generated]]-MediCare_Data[[#This Row],[Average_Treatment_Cost]]</f>
        <v>17345</v>
      </c>
      <c r="S294" s="3">
        <f>(MediCare_Data[[#This Row],[Profit]]/MediCare_Data[[#This Row],[Revenue_Generated]])</f>
        <v>0.72783349418824217</v>
      </c>
    </row>
    <row r="295" spans="1:19" x14ac:dyDescent="0.25">
      <c r="A295" t="s">
        <v>342</v>
      </c>
      <c r="B295" t="s">
        <v>28</v>
      </c>
      <c r="C295" t="s">
        <v>20</v>
      </c>
      <c r="D295" t="s">
        <v>16</v>
      </c>
      <c r="E295">
        <v>85</v>
      </c>
      <c r="F295" t="str">
        <f>IF(MediCare_Data[[#This Row],[Patient_Age]]&lt;=18,"0-18",IF(MediCare_Data[[#This Row],[Patient_Age]]&lt;=35,"19-35",IF(MediCare_Data[[#This Row],[Patient_Age]]&lt;=60,"36-60","60+")))</f>
        <v>60+</v>
      </c>
      <c r="G295" t="s">
        <v>43</v>
      </c>
      <c r="H295" t="s">
        <v>37</v>
      </c>
      <c r="I295" s="2">
        <v>69</v>
      </c>
      <c r="J295" s="11">
        <v>6119</v>
      </c>
      <c r="K295" s="3">
        <v>24.599406590000001</v>
      </c>
      <c r="L295" s="3">
        <f t="shared" si="4"/>
        <v>0.2459940659</v>
      </c>
      <c r="M295">
        <v>56</v>
      </c>
      <c r="N295" s="6">
        <f>MediCare_Data[[#This Row],[Average_Wait_Time (mins)]]/1440</f>
        <v>3.888888888888889E-2</v>
      </c>
      <c r="O295" s="2">
        <v>4</v>
      </c>
      <c r="P295" s="10">
        <v>36113</v>
      </c>
      <c r="Q295" s="17" t="str">
        <f>IF(AND(MediCare_Data[[#This Row],[Patient_Gender]]="Male", MediCare_Data[[#This Row],[Treatment_Type]]="Maternity"), "Gender-Treatment Mismatch", "Fine")</f>
        <v>Gender-Treatment Mismatch</v>
      </c>
      <c r="R295" s="10">
        <f>MediCare_Data[[#This Row],[Revenue_Generated]]-MediCare_Data[[#This Row],[Average_Treatment_Cost]]</f>
        <v>29994</v>
      </c>
      <c r="S295" s="3">
        <f>(MediCare_Data[[#This Row],[Profit]]/MediCare_Data[[#This Row],[Revenue_Generated]])</f>
        <v>0.8305596322653892</v>
      </c>
    </row>
    <row r="296" spans="1:19" x14ac:dyDescent="0.25">
      <c r="A296" t="s">
        <v>343</v>
      </c>
      <c r="B296" t="s">
        <v>74</v>
      </c>
      <c r="C296" t="s">
        <v>36</v>
      </c>
      <c r="D296" t="s">
        <v>21</v>
      </c>
      <c r="E296">
        <v>24</v>
      </c>
      <c r="F296" t="str">
        <f>IF(MediCare_Data[[#This Row],[Patient_Age]]&lt;=18,"0-18",IF(MediCare_Data[[#This Row],[Patient_Age]]&lt;=35,"19-35",IF(MediCare_Data[[#This Row],[Patient_Age]]&lt;=60,"36-60","60+")))</f>
        <v>19-35</v>
      </c>
      <c r="G296" t="s">
        <v>22</v>
      </c>
      <c r="H296" t="s">
        <v>47</v>
      </c>
      <c r="I296" s="2">
        <v>73</v>
      </c>
      <c r="J296" s="11">
        <v>1887</v>
      </c>
      <c r="K296" s="3">
        <v>17.037631789999999</v>
      </c>
      <c r="L296" s="3">
        <f t="shared" si="4"/>
        <v>0.17037631789999999</v>
      </c>
      <c r="M296">
        <v>168</v>
      </c>
      <c r="N296" s="6">
        <f>MediCare_Data[[#This Row],[Average_Wait_Time (mins)]]/1440</f>
        <v>0.11666666666666667</v>
      </c>
      <c r="O296" s="2">
        <v>1</v>
      </c>
      <c r="P296" s="10">
        <v>17459</v>
      </c>
      <c r="Q296" s="17" t="str">
        <f>IF(AND(MediCare_Data[[#This Row],[Patient_Gender]]="Male", MediCare_Data[[#This Row],[Treatment_Type]]="Maternity"), "Gender-Treatment Mismatch", "Fine")</f>
        <v>Fine</v>
      </c>
      <c r="R296" s="10">
        <f>MediCare_Data[[#This Row],[Revenue_Generated]]-MediCare_Data[[#This Row],[Average_Treatment_Cost]]</f>
        <v>15572</v>
      </c>
      <c r="S296" s="3">
        <f>(MediCare_Data[[#This Row],[Profit]]/MediCare_Data[[#This Row],[Revenue_Generated]])</f>
        <v>0.89191820837390456</v>
      </c>
    </row>
    <row r="297" spans="1:19" x14ac:dyDescent="0.25">
      <c r="A297" t="s">
        <v>344</v>
      </c>
      <c r="B297" t="s">
        <v>64</v>
      </c>
      <c r="C297" t="s">
        <v>42</v>
      </c>
      <c r="D297" t="s">
        <v>32</v>
      </c>
      <c r="E297">
        <v>46</v>
      </c>
      <c r="F297" t="str">
        <f>IF(MediCare_Data[[#This Row],[Patient_Age]]&lt;=18,"0-18",IF(MediCare_Data[[#This Row],[Patient_Age]]&lt;=35,"19-35",IF(MediCare_Data[[#This Row],[Patient_Age]]&lt;=60,"36-60","60+")))</f>
        <v>36-60</v>
      </c>
      <c r="G297" t="s">
        <v>43</v>
      </c>
      <c r="H297" t="s">
        <v>51</v>
      </c>
      <c r="I297" s="2">
        <v>82</v>
      </c>
      <c r="J297" s="11">
        <v>3179</v>
      </c>
      <c r="K297" s="3">
        <v>16.648453159999999</v>
      </c>
      <c r="L297" s="3">
        <f t="shared" si="4"/>
        <v>0.16648453159999999</v>
      </c>
      <c r="M297">
        <v>35</v>
      </c>
      <c r="N297" s="6">
        <f>MediCare_Data[[#This Row],[Average_Wait_Time (mins)]]/1440</f>
        <v>2.4305555555555556E-2</v>
      </c>
      <c r="O297" s="2">
        <v>3</v>
      </c>
      <c r="P297" s="10">
        <v>33443</v>
      </c>
      <c r="Q297" s="17" t="str">
        <f>IF(AND(MediCare_Data[[#This Row],[Patient_Gender]]="Male", MediCare_Data[[#This Row],[Treatment_Type]]="Maternity"), "Gender-Treatment Mismatch", "Fine")</f>
        <v>Fine</v>
      </c>
      <c r="R297" s="10">
        <f>MediCare_Data[[#This Row],[Revenue_Generated]]-MediCare_Data[[#This Row],[Average_Treatment_Cost]]</f>
        <v>30264</v>
      </c>
      <c r="S297" s="3">
        <f>(MediCare_Data[[#This Row],[Profit]]/MediCare_Data[[#This Row],[Revenue_Generated]])</f>
        <v>0.90494273839069461</v>
      </c>
    </row>
    <row r="298" spans="1:19" x14ac:dyDescent="0.25">
      <c r="A298" t="s">
        <v>345</v>
      </c>
      <c r="B298" t="s">
        <v>61</v>
      </c>
      <c r="C298" t="s">
        <v>20</v>
      </c>
      <c r="D298" t="s">
        <v>16</v>
      </c>
      <c r="E298">
        <v>6</v>
      </c>
      <c r="F298" t="str">
        <f>IF(MediCare_Data[[#This Row],[Patient_Age]]&lt;=18,"0-18",IF(MediCare_Data[[#This Row],[Patient_Age]]&lt;=35,"19-35",IF(MediCare_Data[[#This Row],[Patient_Age]]&lt;=60,"36-60","60+")))</f>
        <v>0-18</v>
      </c>
      <c r="G298" t="s">
        <v>22</v>
      </c>
      <c r="H298" t="s">
        <v>18</v>
      </c>
      <c r="I298" s="2">
        <v>73</v>
      </c>
      <c r="J298" s="11">
        <v>2606</v>
      </c>
      <c r="K298" s="3">
        <v>19.961463590000001</v>
      </c>
      <c r="L298" s="3">
        <f t="shared" si="4"/>
        <v>0.1996146359</v>
      </c>
      <c r="M298">
        <v>123</v>
      </c>
      <c r="N298" s="6">
        <f>MediCare_Data[[#This Row],[Average_Wait_Time (mins)]]/1440</f>
        <v>8.5416666666666669E-2</v>
      </c>
      <c r="O298" s="2">
        <v>2</v>
      </c>
      <c r="P298" s="10">
        <v>43316</v>
      </c>
      <c r="Q298" s="17" t="str">
        <f>IF(AND(MediCare_Data[[#This Row],[Patient_Gender]]="Male", MediCare_Data[[#This Row],[Treatment_Type]]="Maternity"), "Gender-Treatment Mismatch", "Fine")</f>
        <v>Fine</v>
      </c>
      <c r="R298" s="10">
        <f>MediCare_Data[[#This Row],[Revenue_Generated]]-MediCare_Data[[#This Row],[Average_Treatment_Cost]]</f>
        <v>40710</v>
      </c>
      <c r="S298" s="3">
        <f>(MediCare_Data[[#This Row],[Profit]]/MediCare_Data[[#This Row],[Revenue_Generated]])</f>
        <v>0.93983747345091884</v>
      </c>
    </row>
    <row r="299" spans="1:19" x14ac:dyDescent="0.25">
      <c r="A299" t="s">
        <v>346</v>
      </c>
      <c r="B299" t="s">
        <v>39</v>
      </c>
      <c r="C299" t="s">
        <v>20</v>
      </c>
      <c r="D299" t="s">
        <v>16</v>
      </c>
      <c r="E299">
        <v>26</v>
      </c>
      <c r="F299" t="str">
        <f>IF(MediCare_Data[[#This Row],[Patient_Age]]&lt;=18,"0-18",IF(MediCare_Data[[#This Row],[Patient_Age]]&lt;=35,"19-35",IF(MediCare_Data[[#This Row],[Patient_Age]]&lt;=60,"36-60","60+")))</f>
        <v>19-35</v>
      </c>
      <c r="G299" t="s">
        <v>22</v>
      </c>
      <c r="H299" t="s">
        <v>33</v>
      </c>
      <c r="I299" s="2">
        <v>60</v>
      </c>
      <c r="J299" s="11">
        <v>8673</v>
      </c>
      <c r="K299" s="3">
        <v>21.235395759999999</v>
      </c>
      <c r="L299" s="3">
        <f t="shared" si="4"/>
        <v>0.2123539576</v>
      </c>
      <c r="M299">
        <v>14</v>
      </c>
      <c r="N299" s="6">
        <f>MediCare_Data[[#This Row],[Average_Wait_Time (mins)]]/1440</f>
        <v>9.7222222222222224E-3</v>
      </c>
      <c r="O299" s="2">
        <v>2</v>
      </c>
      <c r="P299" s="10">
        <v>31595</v>
      </c>
      <c r="Q299" s="17" t="str">
        <f>IF(AND(MediCare_Data[[#This Row],[Patient_Gender]]="Male", MediCare_Data[[#This Row],[Treatment_Type]]="Maternity"), "Gender-Treatment Mismatch", "Fine")</f>
        <v>Fine</v>
      </c>
      <c r="R299" s="10">
        <f>MediCare_Data[[#This Row],[Revenue_Generated]]-MediCare_Data[[#This Row],[Average_Treatment_Cost]]</f>
        <v>22922</v>
      </c>
      <c r="S299" s="3">
        <f>(MediCare_Data[[#This Row],[Profit]]/MediCare_Data[[#This Row],[Revenue_Generated]])</f>
        <v>0.72549454027535998</v>
      </c>
    </row>
    <row r="300" spans="1:19" x14ac:dyDescent="0.25">
      <c r="A300" t="s">
        <v>347</v>
      </c>
      <c r="B300" t="s">
        <v>56</v>
      </c>
      <c r="C300" t="s">
        <v>42</v>
      </c>
      <c r="D300" t="s">
        <v>21</v>
      </c>
      <c r="E300">
        <v>71</v>
      </c>
      <c r="F300" t="str">
        <f>IF(MediCare_Data[[#This Row],[Patient_Age]]&lt;=18,"0-18",IF(MediCare_Data[[#This Row],[Patient_Age]]&lt;=35,"19-35",IF(MediCare_Data[[#This Row],[Patient_Age]]&lt;=60,"36-60","60+")))</f>
        <v>60+</v>
      </c>
      <c r="G300" t="s">
        <v>17</v>
      </c>
      <c r="H300" t="s">
        <v>47</v>
      </c>
      <c r="I300" s="2">
        <v>98</v>
      </c>
      <c r="J300" s="11">
        <v>4723</v>
      </c>
      <c r="K300" s="3">
        <v>18.129572150000001</v>
      </c>
      <c r="L300" s="3">
        <f t="shared" si="4"/>
        <v>0.18129572150000001</v>
      </c>
      <c r="M300">
        <v>93</v>
      </c>
      <c r="N300" s="6">
        <f>MediCare_Data[[#This Row],[Average_Wait_Time (mins)]]/1440</f>
        <v>6.458333333333334E-2</v>
      </c>
      <c r="O300" s="2">
        <v>3</v>
      </c>
      <c r="P300" s="10">
        <v>6877</v>
      </c>
      <c r="Q300" s="17" t="str">
        <f>IF(AND(MediCare_Data[[#This Row],[Patient_Gender]]="Male", MediCare_Data[[#This Row],[Treatment_Type]]="Maternity"), "Gender-Treatment Mismatch", "Fine")</f>
        <v>Fine</v>
      </c>
      <c r="R300" s="10">
        <f>MediCare_Data[[#This Row],[Revenue_Generated]]-MediCare_Data[[#This Row],[Average_Treatment_Cost]]</f>
        <v>2154</v>
      </c>
      <c r="S300" s="3">
        <f>(MediCare_Data[[#This Row],[Profit]]/MediCare_Data[[#This Row],[Revenue_Generated]])</f>
        <v>0.31321797295332265</v>
      </c>
    </row>
    <row r="301" spans="1:19" x14ac:dyDescent="0.25">
      <c r="A301" t="s">
        <v>348</v>
      </c>
      <c r="B301" t="s">
        <v>14</v>
      </c>
      <c r="C301" t="s">
        <v>42</v>
      </c>
      <c r="D301" t="s">
        <v>21</v>
      </c>
      <c r="E301">
        <v>50</v>
      </c>
      <c r="F301" t="str">
        <f>IF(MediCare_Data[[#This Row],[Patient_Age]]&lt;=18,"0-18",IF(MediCare_Data[[#This Row],[Patient_Age]]&lt;=35,"19-35",IF(MediCare_Data[[#This Row],[Patient_Age]]&lt;=60,"36-60","60+")))</f>
        <v>36-60</v>
      </c>
      <c r="G301" t="s">
        <v>26</v>
      </c>
      <c r="H301" t="s">
        <v>37</v>
      </c>
      <c r="I301" s="2">
        <v>57</v>
      </c>
      <c r="J301" s="11">
        <v>5331</v>
      </c>
      <c r="K301" s="3">
        <v>7.5619149270000001</v>
      </c>
      <c r="L301" s="3">
        <f t="shared" si="4"/>
        <v>7.5619149270000005E-2</v>
      </c>
      <c r="M301">
        <v>61</v>
      </c>
      <c r="N301" s="6">
        <f>MediCare_Data[[#This Row],[Average_Wait_Time (mins)]]/1440</f>
        <v>4.2361111111111113E-2</v>
      </c>
      <c r="O301" s="2">
        <v>2</v>
      </c>
      <c r="P301" s="10">
        <v>40553</v>
      </c>
      <c r="Q301" s="17" t="str">
        <f>IF(AND(MediCare_Data[[#This Row],[Patient_Gender]]="Male", MediCare_Data[[#This Row],[Treatment_Type]]="Maternity"), "Gender-Treatment Mismatch", "Fine")</f>
        <v>Fine</v>
      </c>
      <c r="R301" s="10">
        <f>MediCare_Data[[#This Row],[Revenue_Generated]]-MediCare_Data[[#This Row],[Average_Treatment_Cost]]</f>
        <v>35222</v>
      </c>
      <c r="S301" s="3">
        <f>(MediCare_Data[[#This Row],[Profit]]/MediCare_Data[[#This Row],[Revenue_Generated]])</f>
        <v>0.86854240130199989</v>
      </c>
    </row>
    <row r="302" spans="1:19" x14ac:dyDescent="0.25">
      <c r="A302" t="s">
        <v>349</v>
      </c>
      <c r="B302" t="s">
        <v>61</v>
      </c>
      <c r="C302" t="s">
        <v>15</v>
      </c>
      <c r="D302" t="s">
        <v>21</v>
      </c>
      <c r="E302">
        <v>65</v>
      </c>
      <c r="F302" t="str">
        <f>IF(MediCare_Data[[#This Row],[Patient_Age]]&lt;=18,"0-18",IF(MediCare_Data[[#This Row],[Patient_Age]]&lt;=35,"19-35",IF(MediCare_Data[[#This Row],[Patient_Age]]&lt;=60,"36-60","60+")))</f>
        <v>60+</v>
      </c>
      <c r="G302" t="s">
        <v>17</v>
      </c>
      <c r="H302" t="s">
        <v>18</v>
      </c>
      <c r="I302" s="2">
        <v>85</v>
      </c>
      <c r="J302" s="11">
        <v>3268</v>
      </c>
      <c r="K302" s="3">
        <v>11.765350120000001</v>
      </c>
      <c r="L302" s="3">
        <f t="shared" si="4"/>
        <v>0.11765350120000001</v>
      </c>
      <c r="M302">
        <v>114</v>
      </c>
      <c r="N302" s="6">
        <f>MediCare_Data[[#This Row],[Average_Wait_Time (mins)]]/1440</f>
        <v>7.9166666666666663E-2</v>
      </c>
      <c r="O302" s="2">
        <v>4</v>
      </c>
      <c r="P302" s="10">
        <v>49601</v>
      </c>
      <c r="Q302" s="17" t="str">
        <f>IF(AND(MediCare_Data[[#This Row],[Patient_Gender]]="Male", MediCare_Data[[#This Row],[Treatment_Type]]="Maternity"), "Gender-Treatment Mismatch", "Fine")</f>
        <v>Fine</v>
      </c>
      <c r="R302" s="10">
        <f>MediCare_Data[[#This Row],[Revenue_Generated]]-MediCare_Data[[#This Row],[Average_Treatment_Cost]]</f>
        <v>46333</v>
      </c>
      <c r="S302" s="3">
        <f>(MediCare_Data[[#This Row],[Profit]]/MediCare_Data[[#This Row],[Revenue_Generated]])</f>
        <v>0.93411423156791196</v>
      </c>
    </row>
    <row r="303" spans="1:19" x14ac:dyDescent="0.25">
      <c r="A303" t="s">
        <v>350</v>
      </c>
      <c r="B303" t="s">
        <v>14</v>
      </c>
      <c r="C303" t="s">
        <v>42</v>
      </c>
      <c r="D303" t="s">
        <v>21</v>
      </c>
      <c r="E303">
        <v>2</v>
      </c>
      <c r="F303" t="str">
        <f>IF(MediCare_Data[[#This Row],[Patient_Age]]&lt;=18,"0-18",IF(MediCare_Data[[#This Row],[Patient_Age]]&lt;=35,"19-35",IF(MediCare_Data[[#This Row],[Patient_Age]]&lt;=60,"36-60","60+")))</f>
        <v>0-18</v>
      </c>
      <c r="G303" t="s">
        <v>26</v>
      </c>
      <c r="H303" t="s">
        <v>51</v>
      </c>
      <c r="I303" s="2">
        <v>87</v>
      </c>
      <c r="J303" s="11">
        <v>3686</v>
      </c>
      <c r="K303" s="3">
        <v>23.561672810000001</v>
      </c>
      <c r="L303" s="3">
        <f t="shared" si="4"/>
        <v>0.23561672810000001</v>
      </c>
      <c r="M303">
        <v>63</v>
      </c>
      <c r="N303" s="6">
        <f>MediCare_Data[[#This Row],[Average_Wait_Time (mins)]]/1440</f>
        <v>4.3749999999999997E-2</v>
      </c>
      <c r="O303" s="2">
        <v>2</v>
      </c>
      <c r="P303" s="10">
        <v>5922</v>
      </c>
      <c r="Q303" s="17" t="str">
        <f>IF(AND(MediCare_Data[[#This Row],[Patient_Gender]]="Male", MediCare_Data[[#This Row],[Treatment_Type]]="Maternity"), "Gender-Treatment Mismatch", "Fine")</f>
        <v>Fine</v>
      </c>
      <c r="R303" s="10">
        <f>MediCare_Data[[#This Row],[Revenue_Generated]]-MediCare_Data[[#This Row],[Average_Treatment_Cost]]</f>
        <v>2236</v>
      </c>
      <c r="S303" s="3">
        <f>(MediCare_Data[[#This Row],[Profit]]/MediCare_Data[[#This Row],[Revenue_Generated]])</f>
        <v>0.37757514353259036</v>
      </c>
    </row>
    <row r="304" spans="1:19" x14ac:dyDescent="0.25">
      <c r="A304" t="s">
        <v>351</v>
      </c>
      <c r="B304" t="s">
        <v>58</v>
      </c>
      <c r="C304" t="s">
        <v>42</v>
      </c>
      <c r="D304" t="s">
        <v>32</v>
      </c>
      <c r="E304">
        <v>80</v>
      </c>
      <c r="F304" t="str">
        <f>IF(MediCare_Data[[#This Row],[Patient_Age]]&lt;=18,"0-18",IF(MediCare_Data[[#This Row],[Patient_Age]]&lt;=35,"19-35",IF(MediCare_Data[[#This Row],[Patient_Age]]&lt;=60,"36-60","60+")))</f>
        <v>60+</v>
      </c>
      <c r="G304" t="s">
        <v>26</v>
      </c>
      <c r="H304" t="s">
        <v>47</v>
      </c>
      <c r="I304" s="2">
        <v>89</v>
      </c>
      <c r="J304" s="11">
        <v>3073</v>
      </c>
      <c r="K304" s="3">
        <v>9.4923122370000002</v>
      </c>
      <c r="L304" s="3">
        <f t="shared" si="4"/>
        <v>9.4923122370000002E-2</v>
      </c>
      <c r="M304">
        <v>170</v>
      </c>
      <c r="N304" s="6">
        <f>MediCare_Data[[#This Row],[Average_Wait_Time (mins)]]/1440</f>
        <v>0.11805555555555555</v>
      </c>
      <c r="O304" s="2">
        <v>1</v>
      </c>
      <c r="P304" s="10">
        <v>5686</v>
      </c>
      <c r="Q304" s="17" t="str">
        <f>IF(AND(MediCare_Data[[#This Row],[Patient_Gender]]="Male", MediCare_Data[[#This Row],[Treatment_Type]]="Maternity"), "Gender-Treatment Mismatch", "Fine")</f>
        <v>Fine</v>
      </c>
      <c r="R304" s="10">
        <f>MediCare_Data[[#This Row],[Revenue_Generated]]-MediCare_Data[[#This Row],[Average_Treatment_Cost]]</f>
        <v>2613</v>
      </c>
      <c r="S304" s="3">
        <f>(MediCare_Data[[#This Row],[Profit]]/MediCare_Data[[#This Row],[Revenue_Generated]])</f>
        <v>0.45954977136827296</v>
      </c>
    </row>
    <row r="305" spans="1:19" x14ac:dyDescent="0.25">
      <c r="A305" t="s">
        <v>352</v>
      </c>
      <c r="B305" t="s">
        <v>35</v>
      </c>
      <c r="C305" t="s">
        <v>31</v>
      </c>
      <c r="D305" t="s">
        <v>32</v>
      </c>
      <c r="E305">
        <v>90</v>
      </c>
      <c r="F305" t="str">
        <f>IF(MediCare_Data[[#This Row],[Patient_Age]]&lt;=18,"0-18",IF(MediCare_Data[[#This Row],[Patient_Age]]&lt;=35,"19-35",IF(MediCare_Data[[#This Row],[Patient_Age]]&lt;=60,"36-60","60+")))</f>
        <v>60+</v>
      </c>
      <c r="G305" t="s">
        <v>22</v>
      </c>
      <c r="H305" t="s">
        <v>37</v>
      </c>
      <c r="I305" s="2">
        <v>69</v>
      </c>
      <c r="J305" s="11">
        <v>3099</v>
      </c>
      <c r="K305" s="3">
        <v>12.44334048</v>
      </c>
      <c r="L305" s="3">
        <f t="shared" si="4"/>
        <v>0.12443340479999999</v>
      </c>
      <c r="M305">
        <v>175</v>
      </c>
      <c r="N305" s="6">
        <f>MediCare_Data[[#This Row],[Average_Wait_Time (mins)]]/1440</f>
        <v>0.12152777777777778</v>
      </c>
      <c r="O305" s="2">
        <v>4</v>
      </c>
      <c r="P305" s="10">
        <v>33766</v>
      </c>
      <c r="Q305" s="17" t="str">
        <f>IF(AND(MediCare_Data[[#This Row],[Patient_Gender]]="Male", MediCare_Data[[#This Row],[Treatment_Type]]="Maternity"), "Gender-Treatment Mismatch", "Fine")</f>
        <v>Fine</v>
      </c>
      <c r="R305" s="10">
        <f>MediCare_Data[[#This Row],[Revenue_Generated]]-MediCare_Data[[#This Row],[Average_Treatment_Cost]]</f>
        <v>30667</v>
      </c>
      <c r="S305" s="3">
        <f>(MediCare_Data[[#This Row],[Profit]]/MediCare_Data[[#This Row],[Revenue_Generated]])</f>
        <v>0.90822128768583787</v>
      </c>
    </row>
    <row r="306" spans="1:19" x14ac:dyDescent="0.25">
      <c r="A306" t="s">
        <v>353</v>
      </c>
      <c r="B306" t="s">
        <v>53</v>
      </c>
      <c r="C306" t="s">
        <v>31</v>
      </c>
      <c r="D306" t="s">
        <v>21</v>
      </c>
      <c r="E306">
        <v>65</v>
      </c>
      <c r="F306" t="str">
        <f>IF(MediCare_Data[[#This Row],[Patient_Age]]&lt;=18,"0-18",IF(MediCare_Data[[#This Row],[Patient_Age]]&lt;=35,"19-35",IF(MediCare_Data[[#This Row],[Patient_Age]]&lt;=60,"36-60","60+")))</f>
        <v>60+</v>
      </c>
      <c r="G306" t="s">
        <v>43</v>
      </c>
      <c r="H306" t="s">
        <v>47</v>
      </c>
      <c r="I306" s="2">
        <v>84</v>
      </c>
      <c r="J306" s="11">
        <v>4533</v>
      </c>
      <c r="K306" s="3">
        <v>13.641537659999999</v>
      </c>
      <c r="L306" s="3">
        <f t="shared" si="4"/>
        <v>0.1364153766</v>
      </c>
      <c r="M306">
        <v>164</v>
      </c>
      <c r="N306" s="6">
        <f>MediCare_Data[[#This Row],[Average_Wait_Time (mins)]]/1440</f>
        <v>0.11388888888888889</v>
      </c>
      <c r="O306" s="2">
        <v>4</v>
      </c>
      <c r="P306" s="10">
        <v>15407</v>
      </c>
      <c r="Q306" s="17" t="str">
        <f>IF(AND(MediCare_Data[[#This Row],[Patient_Gender]]="Male", MediCare_Data[[#This Row],[Treatment_Type]]="Maternity"), "Gender-Treatment Mismatch", "Fine")</f>
        <v>Fine</v>
      </c>
      <c r="R306" s="10">
        <f>MediCare_Data[[#This Row],[Revenue_Generated]]-MediCare_Data[[#This Row],[Average_Treatment_Cost]]</f>
        <v>10874</v>
      </c>
      <c r="S306" s="3">
        <f>(MediCare_Data[[#This Row],[Profit]]/MediCare_Data[[#This Row],[Revenue_Generated]])</f>
        <v>0.70578308561043679</v>
      </c>
    </row>
    <row r="307" spans="1:19" x14ac:dyDescent="0.25">
      <c r="A307" t="s">
        <v>354</v>
      </c>
      <c r="B307" t="s">
        <v>64</v>
      </c>
      <c r="C307" t="s">
        <v>42</v>
      </c>
      <c r="D307" t="s">
        <v>32</v>
      </c>
      <c r="E307">
        <v>17</v>
      </c>
      <c r="F307" t="str">
        <f>IF(MediCare_Data[[#This Row],[Patient_Age]]&lt;=18,"0-18",IF(MediCare_Data[[#This Row],[Patient_Age]]&lt;=35,"19-35",IF(MediCare_Data[[#This Row],[Patient_Age]]&lt;=60,"36-60","60+")))</f>
        <v>0-18</v>
      </c>
      <c r="G307" t="s">
        <v>43</v>
      </c>
      <c r="H307" t="s">
        <v>51</v>
      </c>
      <c r="I307" s="2">
        <v>97</v>
      </c>
      <c r="J307" s="11">
        <v>8928</v>
      </c>
      <c r="K307" s="3">
        <v>13.78809979</v>
      </c>
      <c r="L307" s="3">
        <f t="shared" si="4"/>
        <v>0.1378809979</v>
      </c>
      <c r="M307">
        <v>24</v>
      </c>
      <c r="N307" s="6">
        <f>MediCare_Data[[#This Row],[Average_Wait_Time (mins)]]/1440</f>
        <v>1.6666666666666666E-2</v>
      </c>
      <c r="O307" s="2">
        <v>4</v>
      </c>
      <c r="P307" s="10">
        <v>33006</v>
      </c>
      <c r="Q307" s="17" t="str">
        <f>IF(AND(MediCare_Data[[#This Row],[Patient_Gender]]="Male", MediCare_Data[[#This Row],[Treatment_Type]]="Maternity"), "Gender-Treatment Mismatch", "Fine")</f>
        <v>Fine</v>
      </c>
      <c r="R307" s="10">
        <f>MediCare_Data[[#This Row],[Revenue_Generated]]-MediCare_Data[[#This Row],[Average_Treatment_Cost]]</f>
        <v>24078</v>
      </c>
      <c r="S307" s="3">
        <f>(MediCare_Data[[#This Row],[Profit]]/MediCare_Data[[#This Row],[Revenue_Generated]])</f>
        <v>0.72950372659516449</v>
      </c>
    </row>
    <row r="308" spans="1:19" x14ac:dyDescent="0.25">
      <c r="A308" t="s">
        <v>355</v>
      </c>
      <c r="B308" t="s">
        <v>58</v>
      </c>
      <c r="C308" t="s">
        <v>15</v>
      </c>
      <c r="D308" t="s">
        <v>32</v>
      </c>
      <c r="E308">
        <v>79</v>
      </c>
      <c r="F308" t="str">
        <f>IF(MediCare_Data[[#This Row],[Patient_Age]]&lt;=18,"0-18",IF(MediCare_Data[[#This Row],[Patient_Age]]&lt;=35,"19-35",IF(MediCare_Data[[#This Row],[Patient_Age]]&lt;=60,"36-60","60+")))</f>
        <v>60+</v>
      </c>
      <c r="G308" t="s">
        <v>43</v>
      </c>
      <c r="H308" t="s">
        <v>37</v>
      </c>
      <c r="I308" s="2">
        <v>74</v>
      </c>
      <c r="J308" s="11">
        <v>1804</v>
      </c>
      <c r="K308" s="3">
        <v>17.258791649999999</v>
      </c>
      <c r="L308" s="3">
        <f t="shared" si="4"/>
        <v>0.17258791649999999</v>
      </c>
      <c r="M308">
        <v>70</v>
      </c>
      <c r="N308" s="6">
        <f>MediCare_Data[[#This Row],[Average_Wait_Time (mins)]]/1440</f>
        <v>4.8611111111111112E-2</v>
      </c>
      <c r="O308" s="2">
        <v>3</v>
      </c>
      <c r="P308" s="10">
        <v>32422</v>
      </c>
      <c r="Q308" s="17" t="str">
        <f>IF(AND(MediCare_Data[[#This Row],[Patient_Gender]]="Male", MediCare_Data[[#This Row],[Treatment_Type]]="Maternity"), "Gender-Treatment Mismatch", "Fine")</f>
        <v>Fine</v>
      </c>
      <c r="R308" s="10">
        <f>MediCare_Data[[#This Row],[Revenue_Generated]]-MediCare_Data[[#This Row],[Average_Treatment_Cost]]</f>
        <v>30618</v>
      </c>
      <c r="S308" s="3">
        <f>(MediCare_Data[[#This Row],[Profit]]/MediCare_Data[[#This Row],[Revenue_Generated]])</f>
        <v>0.9443587687372772</v>
      </c>
    </row>
    <row r="309" spans="1:19" x14ac:dyDescent="0.25">
      <c r="A309" t="s">
        <v>356</v>
      </c>
      <c r="B309" t="s">
        <v>82</v>
      </c>
      <c r="C309" t="s">
        <v>54</v>
      </c>
      <c r="D309" t="s">
        <v>16</v>
      </c>
      <c r="E309">
        <v>90</v>
      </c>
      <c r="F309" t="str">
        <f>IF(MediCare_Data[[#This Row],[Patient_Age]]&lt;=18,"0-18",IF(MediCare_Data[[#This Row],[Patient_Age]]&lt;=35,"19-35",IF(MediCare_Data[[#This Row],[Patient_Age]]&lt;=60,"36-60","60+")))</f>
        <v>60+</v>
      </c>
      <c r="G309" t="s">
        <v>17</v>
      </c>
      <c r="H309" t="s">
        <v>18</v>
      </c>
      <c r="I309" s="2">
        <v>84</v>
      </c>
      <c r="J309" s="11">
        <v>7868</v>
      </c>
      <c r="K309" s="3">
        <v>23.86151675</v>
      </c>
      <c r="L309" s="3">
        <f t="shared" si="4"/>
        <v>0.2386151675</v>
      </c>
      <c r="M309">
        <v>131</v>
      </c>
      <c r="N309" s="6">
        <f>MediCare_Data[[#This Row],[Average_Wait_Time (mins)]]/1440</f>
        <v>9.0972222222222218E-2</v>
      </c>
      <c r="O309" s="2">
        <v>3</v>
      </c>
      <c r="P309" s="10">
        <v>13205</v>
      </c>
      <c r="Q309" s="17" t="str">
        <f>IF(AND(MediCare_Data[[#This Row],[Patient_Gender]]="Male", MediCare_Data[[#This Row],[Treatment_Type]]="Maternity"), "Gender-Treatment Mismatch", "Fine")</f>
        <v>Fine</v>
      </c>
      <c r="R309" s="10">
        <f>MediCare_Data[[#This Row],[Revenue_Generated]]-MediCare_Data[[#This Row],[Average_Treatment_Cost]]</f>
        <v>5337</v>
      </c>
      <c r="S309" s="3">
        <f>(MediCare_Data[[#This Row],[Profit]]/MediCare_Data[[#This Row],[Revenue_Generated]])</f>
        <v>0.40416508898144643</v>
      </c>
    </row>
    <row r="310" spans="1:19" x14ac:dyDescent="0.25">
      <c r="A310" t="s">
        <v>357</v>
      </c>
      <c r="B310" t="s">
        <v>58</v>
      </c>
      <c r="C310" t="s">
        <v>46</v>
      </c>
      <c r="D310" t="s">
        <v>32</v>
      </c>
      <c r="E310">
        <v>66</v>
      </c>
      <c r="F310" t="str">
        <f>IF(MediCare_Data[[#This Row],[Patient_Age]]&lt;=18,"0-18",IF(MediCare_Data[[#This Row],[Patient_Age]]&lt;=35,"19-35",IF(MediCare_Data[[#This Row],[Patient_Age]]&lt;=60,"36-60","60+")))</f>
        <v>60+</v>
      </c>
      <c r="G310" t="s">
        <v>43</v>
      </c>
      <c r="H310" t="s">
        <v>47</v>
      </c>
      <c r="I310" s="2">
        <v>74</v>
      </c>
      <c r="J310" s="11">
        <v>6377</v>
      </c>
      <c r="K310" s="3">
        <v>9.8138542369999993</v>
      </c>
      <c r="L310" s="3">
        <f t="shared" si="4"/>
        <v>9.8138542369999998E-2</v>
      </c>
      <c r="M310">
        <v>30</v>
      </c>
      <c r="N310" s="6">
        <f>MediCare_Data[[#This Row],[Average_Wait_Time (mins)]]/1440</f>
        <v>2.0833333333333332E-2</v>
      </c>
      <c r="O310" s="2">
        <v>4</v>
      </c>
      <c r="P310" s="10">
        <v>22054</v>
      </c>
      <c r="Q310" s="17" t="str">
        <f>IF(AND(MediCare_Data[[#This Row],[Patient_Gender]]="Male", MediCare_Data[[#This Row],[Treatment_Type]]="Maternity"), "Gender-Treatment Mismatch", "Fine")</f>
        <v>Fine</v>
      </c>
      <c r="R310" s="10">
        <f>MediCare_Data[[#This Row],[Revenue_Generated]]-MediCare_Data[[#This Row],[Average_Treatment_Cost]]</f>
        <v>15677</v>
      </c>
      <c r="S310" s="3">
        <f>(MediCare_Data[[#This Row],[Profit]]/MediCare_Data[[#This Row],[Revenue_Generated]])</f>
        <v>0.71084610501496326</v>
      </c>
    </row>
    <row r="311" spans="1:19" x14ac:dyDescent="0.25">
      <c r="A311" t="s">
        <v>358</v>
      </c>
      <c r="B311" t="s">
        <v>74</v>
      </c>
      <c r="C311" t="s">
        <v>46</v>
      </c>
      <c r="D311" t="s">
        <v>32</v>
      </c>
      <c r="E311">
        <v>45</v>
      </c>
      <c r="F311" t="str">
        <f>IF(MediCare_Data[[#This Row],[Patient_Age]]&lt;=18,"0-18",IF(MediCare_Data[[#This Row],[Patient_Age]]&lt;=35,"19-35",IF(MediCare_Data[[#This Row],[Patient_Age]]&lt;=60,"36-60","60+")))</f>
        <v>36-60</v>
      </c>
      <c r="G311" t="s">
        <v>22</v>
      </c>
      <c r="H311" t="s">
        <v>18</v>
      </c>
      <c r="I311" s="2">
        <v>78</v>
      </c>
      <c r="J311" s="11">
        <v>1801</v>
      </c>
      <c r="K311" s="3">
        <v>7.4300275259999999</v>
      </c>
      <c r="L311" s="3">
        <f t="shared" si="4"/>
        <v>7.4300275259999993E-2</v>
      </c>
      <c r="M311">
        <v>55</v>
      </c>
      <c r="N311" s="6">
        <f>MediCare_Data[[#This Row],[Average_Wait_Time (mins)]]/1440</f>
        <v>3.8194444444444448E-2</v>
      </c>
      <c r="O311" s="2">
        <v>3</v>
      </c>
      <c r="P311" s="10">
        <v>24527</v>
      </c>
      <c r="Q311" s="17" t="str">
        <f>IF(AND(MediCare_Data[[#This Row],[Patient_Gender]]="Male", MediCare_Data[[#This Row],[Treatment_Type]]="Maternity"), "Gender-Treatment Mismatch", "Fine")</f>
        <v>Fine</v>
      </c>
      <c r="R311" s="10">
        <f>MediCare_Data[[#This Row],[Revenue_Generated]]-MediCare_Data[[#This Row],[Average_Treatment_Cost]]</f>
        <v>22726</v>
      </c>
      <c r="S311" s="3">
        <f>(MediCare_Data[[#This Row],[Profit]]/MediCare_Data[[#This Row],[Revenue_Generated]])</f>
        <v>0.92657071798426227</v>
      </c>
    </row>
    <row r="312" spans="1:19" x14ac:dyDescent="0.25">
      <c r="A312" t="s">
        <v>359</v>
      </c>
      <c r="B312" t="s">
        <v>28</v>
      </c>
      <c r="C312" t="s">
        <v>54</v>
      </c>
      <c r="D312" t="s">
        <v>21</v>
      </c>
      <c r="E312">
        <v>7</v>
      </c>
      <c r="F312" t="str">
        <f>IF(MediCare_Data[[#This Row],[Patient_Age]]&lt;=18,"0-18",IF(MediCare_Data[[#This Row],[Patient_Age]]&lt;=35,"19-35",IF(MediCare_Data[[#This Row],[Patient_Age]]&lt;=60,"36-60","60+")))</f>
        <v>0-18</v>
      </c>
      <c r="G312" t="s">
        <v>43</v>
      </c>
      <c r="H312" t="s">
        <v>33</v>
      </c>
      <c r="I312" s="2">
        <v>67</v>
      </c>
      <c r="J312" s="11">
        <v>3041</v>
      </c>
      <c r="K312" s="3">
        <v>8.9494097969999995</v>
      </c>
      <c r="L312" s="3">
        <f t="shared" si="4"/>
        <v>8.9494097969999992E-2</v>
      </c>
      <c r="M312">
        <v>143</v>
      </c>
      <c r="N312" s="6">
        <f>MediCare_Data[[#This Row],[Average_Wait_Time (mins)]]/1440</f>
        <v>9.930555555555555E-2</v>
      </c>
      <c r="O312" s="2">
        <v>2</v>
      </c>
      <c r="P312" s="10">
        <v>46947</v>
      </c>
      <c r="Q312" s="17" t="str">
        <f>IF(AND(MediCare_Data[[#This Row],[Patient_Gender]]="Male", MediCare_Data[[#This Row],[Treatment_Type]]="Maternity"), "Gender-Treatment Mismatch", "Fine")</f>
        <v>Fine</v>
      </c>
      <c r="R312" s="10">
        <f>MediCare_Data[[#This Row],[Revenue_Generated]]-MediCare_Data[[#This Row],[Average_Treatment_Cost]]</f>
        <v>43906</v>
      </c>
      <c r="S312" s="3">
        <f>(MediCare_Data[[#This Row],[Profit]]/MediCare_Data[[#This Row],[Revenue_Generated]])</f>
        <v>0.93522482799752915</v>
      </c>
    </row>
    <row r="313" spans="1:19" x14ac:dyDescent="0.25">
      <c r="A313" t="s">
        <v>360</v>
      </c>
      <c r="B313" t="s">
        <v>25</v>
      </c>
      <c r="C313" t="s">
        <v>29</v>
      </c>
      <c r="D313" t="s">
        <v>21</v>
      </c>
      <c r="E313">
        <v>13</v>
      </c>
      <c r="F313" t="str">
        <f>IF(MediCare_Data[[#This Row],[Patient_Age]]&lt;=18,"0-18",IF(MediCare_Data[[#This Row],[Patient_Age]]&lt;=35,"19-35",IF(MediCare_Data[[#This Row],[Patient_Age]]&lt;=60,"36-60","60+")))</f>
        <v>0-18</v>
      </c>
      <c r="G313" t="s">
        <v>43</v>
      </c>
      <c r="H313" t="s">
        <v>33</v>
      </c>
      <c r="I313" s="2">
        <v>95</v>
      </c>
      <c r="J313" s="11">
        <v>2551</v>
      </c>
      <c r="K313" s="3">
        <v>22.738498</v>
      </c>
      <c r="L313" s="3">
        <f t="shared" si="4"/>
        <v>0.22738497999999999</v>
      </c>
      <c r="M313">
        <v>47</v>
      </c>
      <c r="N313" s="6">
        <f>MediCare_Data[[#This Row],[Average_Wait_Time (mins)]]/1440</f>
        <v>3.2638888888888891E-2</v>
      </c>
      <c r="O313" s="2">
        <v>3</v>
      </c>
      <c r="P313" s="10">
        <v>19443</v>
      </c>
      <c r="Q313" s="17" t="str">
        <f>IF(AND(MediCare_Data[[#This Row],[Patient_Gender]]="Male", MediCare_Data[[#This Row],[Treatment_Type]]="Maternity"), "Gender-Treatment Mismatch", "Fine")</f>
        <v>Fine</v>
      </c>
      <c r="R313" s="10">
        <f>MediCare_Data[[#This Row],[Revenue_Generated]]-MediCare_Data[[#This Row],[Average_Treatment_Cost]]</f>
        <v>16892</v>
      </c>
      <c r="S313" s="3">
        <f>(MediCare_Data[[#This Row],[Profit]]/MediCare_Data[[#This Row],[Revenue_Generated]])</f>
        <v>0.86879596770045775</v>
      </c>
    </row>
    <row r="314" spans="1:19" x14ac:dyDescent="0.25">
      <c r="A314" t="s">
        <v>361</v>
      </c>
      <c r="B314" t="s">
        <v>74</v>
      </c>
      <c r="C314" t="s">
        <v>29</v>
      </c>
      <c r="D314" t="s">
        <v>21</v>
      </c>
      <c r="E314">
        <v>15</v>
      </c>
      <c r="F314" t="str">
        <f>IF(MediCare_Data[[#This Row],[Patient_Age]]&lt;=18,"0-18",IF(MediCare_Data[[#This Row],[Patient_Age]]&lt;=35,"19-35",IF(MediCare_Data[[#This Row],[Patient_Age]]&lt;=60,"36-60","60+")))</f>
        <v>0-18</v>
      </c>
      <c r="G314" t="s">
        <v>43</v>
      </c>
      <c r="H314" t="s">
        <v>23</v>
      </c>
      <c r="I314" s="2">
        <v>67</v>
      </c>
      <c r="J314" s="11">
        <v>7309</v>
      </c>
      <c r="K314" s="3">
        <v>17.916216250000002</v>
      </c>
      <c r="L314" s="3">
        <f t="shared" si="4"/>
        <v>0.17916216250000003</v>
      </c>
      <c r="M314">
        <v>71</v>
      </c>
      <c r="N314" s="6">
        <f>MediCare_Data[[#This Row],[Average_Wait_Time (mins)]]/1440</f>
        <v>4.9305555555555554E-2</v>
      </c>
      <c r="O314" s="2">
        <v>3</v>
      </c>
      <c r="P314" s="10">
        <v>17524</v>
      </c>
      <c r="Q314" s="17" t="str">
        <f>IF(AND(MediCare_Data[[#This Row],[Patient_Gender]]="Male", MediCare_Data[[#This Row],[Treatment_Type]]="Maternity"), "Gender-Treatment Mismatch", "Fine")</f>
        <v>Fine</v>
      </c>
      <c r="R314" s="10">
        <f>MediCare_Data[[#This Row],[Revenue_Generated]]-MediCare_Data[[#This Row],[Average_Treatment_Cost]]</f>
        <v>10215</v>
      </c>
      <c r="S314" s="3">
        <f>(MediCare_Data[[#This Row],[Profit]]/MediCare_Data[[#This Row],[Revenue_Generated]])</f>
        <v>0.58291485962109113</v>
      </c>
    </row>
    <row r="315" spans="1:19" x14ac:dyDescent="0.25">
      <c r="A315" t="s">
        <v>362</v>
      </c>
      <c r="B315" t="s">
        <v>74</v>
      </c>
      <c r="C315" t="s">
        <v>31</v>
      </c>
      <c r="D315" t="s">
        <v>16</v>
      </c>
      <c r="E315">
        <v>47</v>
      </c>
      <c r="F315" t="str">
        <f>IF(MediCare_Data[[#This Row],[Patient_Age]]&lt;=18,"0-18",IF(MediCare_Data[[#This Row],[Patient_Age]]&lt;=35,"19-35",IF(MediCare_Data[[#This Row],[Patient_Age]]&lt;=60,"36-60","60+")))</f>
        <v>36-60</v>
      </c>
      <c r="G315" t="s">
        <v>17</v>
      </c>
      <c r="H315" t="s">
        <v>51</v>
      </c>
      <c r="I315" s="2">
        <v>51</v>
      </c>
      <c r="J315" s="11">
        <v>9133</v>
      </c>
      <c r="K315" s="3">
        <v>10.718135780000001</v>
      </c>
      <c r="L315" s="3">
        <f t="shared" si="4"/>
        <v>0.1071813578</v>
      </c>
      <c r="M315">
        <v>95</v>
      </c>
      <c r="N315" s="6">
        <f>MediCare_Data[[#This Row],[Average_Wait_Time (mins)]]/1440</f>
        <v>6.5972222222222224E-2</v>
      </c>
      <c r="O315" s="2">
        <v>4</v>
      </c>
      <c r="P315" s="10">
        <v>29202</v>
      </c>
      <c r="Q315" s="17" t="str">
        <f>IF(AND(MediCare_Data[[#This Row],[Patient_Gender]]="Male", MediCare_Data[[#This Row],[Treatment_Type]]="Maternity"), "Gender-Treatment Mismatch", "Fine")</f>
        <v>Fine</v>
      </c>
      <c r="R315" s="10">
        <f>MediCare_Data[[#This Row],[Revenue_Generated]]-MediCare_Data[[#This Row],[Average_Treatment_Cost]]</f>
        <v>20069</v>
      </c>
      <c r="S315" s="3">
        <f>(MediCare_Data[[#This Row],[Profit]]/MediCare_Data[[#This Row],[Revenue_Generated]])</f>
        <v>0.68724744880487643</v>
      </c>
    </row>
    <row r="316" spans="1:19" x14ac:dyDescent="0.25">
      <c r="A316" t="s">
        <v>363</v>
      </c>
      <c r="B316" t="s">
        <v>39</v>
      </c>
      <c r="C316" t="s">
        <v>36</v>
      </c>
      <c r="D316" t="s">
        <v>16</v>
      </c>
      <c r="E316">
        <v>36</v>
      </c>
      <c r="F316" t="str">
        <f>IF(MediCare_Data[[#This Row],[Patient_Age]]&lt;=18,"0-18",IF(MediCare_Data[[#This Row],[Patient_Age]]&lt;=35,"19-35",IF(MediCare_Data[[#This Row],[Patient_Age]]&lt;=60,"36-60","60+")))</f>
        <v>36-60</v>
      </c>
      <c r="G316" t="s">
        <v>22</v>
      </c>
      <c r="H316" t="s">
        <v>47</v>
      </c>
      <c r="I316" s="2">
        <v>84</v>
      </c>
      <c r="J316" s="11">
        <v>9496</v>
      </c>
      <c r="K316" s="3">
        <v>21.31893878</v>
      </c>
      <c r="L316" s="3">
        <f t="shared" si="4"/>
        <v>0.21318938779999999</v>
      </c>
      <c r="M316">
        <v>87</v>
      </c>
      <c r="N316" s="6">
        <f>MediCare_Data[[#This Row],[Average_Wait_Time (mins)]]/1440</f>
        <v>6.0416666666666667E-2</v>
      </c>
      <c r="O316" s="2">
        <v>1</v>
      </c>
      <c r="P316" s="10">
        <v>1016</v>
      </c>
      <c r="Q316" s="17" t="str">
        <f>IF(AND(MediCare_Data[[#This Row],[Patient_Gender]]="Male", MediCare_Data[[#This Row],[Treatment_Type]]="Maternity"), "Gender-Treatment Mismatch", "Fine")</f>
        <v>Fine</v>
      </c>
      <c r="R316" s="10">
        <f>MediCare_Data[[#This Row],[Revenue_Generated]]-MediCare_Data[[#This Row],[Average_Treatment_Cost]]</f>
        <v>-8480</v>
      </c>
      <c r="S316" s="3">
        <f>(MediCare_Data[[#This Row],[Profit]]/MediCare_Data[[#This Row],[Revenue_Generated]])</f>
        <v>-8.3464566929133852</v>
      </c>
    </row>
    <row r="317" spans="1:19" x14ac:dyDescent="0.25">
      <c r="A317" t="s">
        <v>364</v>
      </c>
      <c r="B317" t="s">
        <v>41</v>
      </c>
      <c r="C317" t="s">
        <v>31</v>
      </c>
      <c r="D317" t="s">
        <v>21</v>
      </c>
      <c r="E317">
        <v>6</v>
      </c>
      <c r="F317" t="str">
        <f>IF(MediCare_Data[[#This Row],[Patient_Age]]&lt;=18,"0-18",IF(MediCare_Data[[#This Row],[Patient_Age]]&lt;=35,"19-35",IF(MediCare_Data[[#This Row],[Patient_Age]]&lt;=60,"36-60","60+")))</f>
        <v>0-18</v>
      </c>
      <c r="G317" t="s">
        <v>43</v>
      </c>
      <c r="H317" t="s">
        <v>37</v>
      </c>
      <c r="I317" s="2">
        <v>65</v>
      </c>
      <c r="J317" s="11">
        <v>574</v>
      </c>
      <c r="K317" s="3">
        <v>22.227399930000001</v>
      </c>
      <c r="L317" s="3">
        <f t="shared" si="4"/>
        <v>0.2222739993</v>
      </c>
      <c r="M317">
        <v>55</v>
      </c>
      <c r="N317" s="6">
        <f>MediCare_Data[[#This Row],[Average_Wait_Time (mins)]]/1440</f>
        <v>3.8194444444444448E-2</v>
      </c>
      <c r="O317" s="2">
        <v>1</v>
      </c>
      <c r="P317" s="10">
        <v>47142</v>
      </c>
      <c r="Q317" s="17" t="str">
        <f>IF(AND(MediCare_Data[[#This Row],[Patient_Gender]]="Male", MediCare_Data[[#This Row],[Treatment_Type]]="Maternity"), "Gender-Treatment Mismatch", "Fine")</f>
        <v>Fine</v>
      </c>
      <c r="R317" s="10">
        <f>MediCare_Data[[#This Row],[Revenue_Generated]]-MediCare_Data[[#This Row],[Average_Treatment_Cost]]</f>
        <v>46568</v>
      </c>
      <c r="S317" s="3">
        <f>(MediCare_Data[[#This Row],[Profit]]/MediCare_Data[[#This Row],[Revenue_Generated]])</f>
        <v>0.98782402104280687</v>
      </c>
    </row>
    <row r="318" spans="1:19" x14ac:dyDescent="0.25">
      <c r="A318" t="s">
        <v>365</v>
      </c>
      <c r="B318" t="s">
        <v>58</v>
      </c>
      <c r="C318" t="s">
        <v>15</v>
      </c>
      <c r="D318" t="s">
        <v>16</v>
      </c>
      <c r="E318">
        <v>10</v>
      </c>
      <c r="F318" t="str">
        <f>IF(MediCare_Data[[#This Row],[Patient_Age]]&lt;=18,"0-18",IF(MediCare_Data[[#This Row],[Patient_Age]]&lt;=35,"19-35",IF(MediCare_Data[[#This Row],[Patient_Age]]&lt;=60,"36-60","60+")))</f>
        <v>0-18</v>
      </c>
      <c r="G318" t="s">
        <v>26</v>
      </c>
      <c r="H318" t="s">
        <v>33</v>
      </c>
      <c r="I318" s="2">
        <v>90</v>
      </c>
      <c r="J318" s="11">
        <v>7481</v>
      </c>
      <c r="K318" s="3">
        <v>21.930286769999999</v>
      </c>
      <c r="L318" s="3">
        <f t="shared" si="4"/>
        <v>0.21930286769999999</v>
      </c>
      <c r="M318">
        <v>150</v>
      </c>
      <c r="N318" s="6">
        <f>MediCare_Data[[#This Row],[Average_Wait_Time (mins)]]/1440</f>
        <v>0.10416666666666667</v>
      </c>
      <c r="O318" s="2">
        <v>1</v>
      </c>
      <c r="P318" s="10">
        <v>17848</v>
      </c>
      <c r="Q318" s="17" t="str">
        <f>IF(AND(MediCare_Data[[#This Row],[Patient_Gender]]="Male", MediCare_Data[[#This Row],[Treatment_Type]]="Maternity"), "Gender-Treatment Mismatch", "Fine")</f>
        <v>Fine</v>
      </c>
      <c r="R318" s="10">
        <f>MediCare_Data[[#This Row],[Revenue_Generated]]-MediCare_Data[[#This Row],[Average_Treatment_Cost]]</f>
        <v>10367</v>
      </c>
      <c r="S318" s="3">
        <f>(MediCare_Data[[#This Row],[Profit]]/MediCare_Data[[#This Row],[Revenue_Generated]])</f>
        <v>0.58084939489018372</v>
      </c>
    </row>
    <row r="319" spans="1:19" x14ac:dyDescent="0.25">
      <c r="A319" t="s">
        <v>366</v>
      </c>
      <c r="B319" t="s">
        <v>39</v>
      </c>
      <c r="C319" t="s">
        <v>46</v>
      </c>
      <c r="D319" t="s">
        <v>16</v>
      </c>
      <c r="E319">
        <v>20</v>
      </c>
      <c r="F319" t="str">
        <f>IF(MediCare_Data[[#This Row],[Patient_Age]]&lt;=18,"0-18",IF(MediCare_Data[[#This Row],[Patient_Age]]&lt;=35,"19-35",IF(MediCare_Data[[#This Row],[Patient_Age]]&lt;=60,"36-60","60+")))</f>
        <v>19-35</v>
      </c>
      <c r="G319" t="s">
        <v>17</v>
      </c>
      <c r="H319" t="s">
        <v>51</v>
      </c>
      <c r="I319" s="2">
        <v>85</v>
      </c>
      <c r="J319" s="11">
        <v>5975</v>
      </c>
      <c r="K319" s="3">
        <v>23.37853067</v>
      </c>
      <c r="L319" s="3">
        <f t="shared" si="4"/>
        <v>0.2337853067</v>
      </c>
      <c r="M319">
        <v>12</v>
      </c>
      <c r="N319" s="6">
        <f>MediCare_Data[[#This Row],[Average_Wait_Time (mins)]]/1440</f>
        <v>8.3333333333333332E-3</v>
      </c>
      <c r="O319" s="2">
        <v>2</v>
      </c>
      <c r="P319" s="10">
        <v>21855</v>
      </c>
      <c r="Q319" s="17" t="str">
        <f>IF(AND(MediCare_Data[[#This Row],[Patient_Gender]]="Male", MediCare_Data[[#This Row],[Treatment_Type]]="Maternity"), "Gender-Treatment Mismatch", "Fine")</f>
        <v>Fine</v>
      </c>
      <c r="R319" s="10">
        <f>MediCare_Data[[#This Row],[Revenue_Generated]]-MediCare_Data[[#This Row],[Average_Treatment_Cost]]</f>
        <v>15880</v>
      </c>
      <c r="S319" s="3">
        <f>(MediCare_Data[[#This Row],[Profit]]/MediCare_Data[[#This Row],[Revenue_Generated]])</f>
        <v>0.72660718371082134</v>
      </c>
    </row>
    <row r="320" spans="1:19" x14ac:dyDescent="0.25">
      <c r="A320" t="s">
        <v>367</v>
      </c>
      <c r="B320" t="s">
        <v>82</v>
      </c>
      <c r="C320" t="s">
        <v>36</v>
      </c>
      <c r="D320" t="s">
        <v>32</v>
      </c>
      <c r="E320">
        <v>47</v>
      </c>
      <c r="F320" t="str">
        <f>IF(MediCare_Data[[#This Row],[Patient_Age]]&lt;=18,"0-18",IF(MediCare_Data[[#This Row],[Patient_Age]]&lt;=35,"19-35",IF(MediCare_Data[[#This Row],[Patient_Age]]&lt;=60,"36-60","60+")))</f>
        <v>36-60</v>
      </c>
      <c r="G320" t="s">
        <v>43</v>
      </c>
      <c r="H320" t="s">
        <v>23</v>
      </c>
      <c r="I320" s="2">
        <v>82</v>
      </c>
      <c r="J320" s="11">
        <v>8732</v>
      </c>
      <c r="K320" s="3">
        <v>10.044820400000001</v>
      </c>
      <c r="L320" s="3">
        <f t="shared" si="4"/>
        <v>0.10044820400000001</v>
      </c>
      <c r="M320">
        <v>15</v>
      </c>
      <c r="N320" s="6">
        <f>MediCare_Data[[#This Row],[Average_Wait_Time (mins)]]/1440</f>
        <v>1.0416666666666666E-2</v>
      </c>
      <c r="O320" s="2">
        <v>3</v>
      </c>
      <c r="P320" s="10">
        <v>19211</v>
      </c>
      <c r="Q320" s="17" t="str">
        <f>IF(AND(MediCare_Data[[#This Row],[Patient_Gender]]="Male", MediCare_Data[[#This Row],[Treatment_Type]]="Maternity"), "Gender-Treatment Mismatch", "Fine")</f>
        <v>Fine</v>
      </c>
      <c r="R320" s="10">
        <f>MediCare_Data[[#This Row],[Revenue_Generated]]-MediCare_Data[[#This Row],[Average_Treatment_Cost]]</f>
        <v>10479</v>
      </c>
      <c r="S320" s="3">
        <f>(MediCare_Data[[#This Row],[Profit]]/MediCare_Data[[#This Row],[Revenue_Generated]])</f>
        <v>0.54546874186663885</v>
      </c>
    </row>
    <row r="321" spans="1:19" x14ac:dyDescent="0.25">
      <c r="A321" t="s">
        <v>368</v>
      </c>
      <c r="B321" t="s">
        <v>56</v>
      </c>
      <c r="C321" t="s">
        <v>15</v>
      </c>
      <c r="D321" t="s">
        <v>32</v>
      </c>
      <c r="E321">
        <v>68</v>
      </c>
      <c r="F321" t="str">
        <f>IF(MediCare_Data[[#This Row],[Patient_Age]]&lt;=18,"0-18",IF(MediCare_Data[[#This Row],[Patient_Age]]&lt;=35,"19-35",IF(MediCare_Data[[#This Row],[Patient_Age]]&lt;=60,"36-60","60+")))</f>
        <v>60+</v>
      </c>
      <c r="G321" t="s">
        <v>43</v>
      </c>
      <c r="H321" t="s">
        <v>37</v>
      </c>
      <c r="I321" s="2">
        <v>53</v>
      </c>
      <c r="J321" s="11">
        <v>7684</v>
      </c>
      <c r="K321" s="3">
        <v>20.100838570000001</v>
      </c>
      <c r="L321" s="3">
        <f t="shared" si="4"/>
        <v>0.20100838570000001</v>
      </c>
      <c r="M321">
        <v>102</v>
      </c>
      <c r="N321" s="6">
        <f>MediCare_Data[[#This Row],[Average_Wait_Time (mins)]]/1440</f>
        <v>7.0833333333333331E-2</v>
      </c>
      <c r="O321" s="2">
        <v>1</v>
      </c>
      <c r="P321" s="10">
        <v>26095</v>
      </c>
      <c r="Q321" s="17" t="str">
        <f>IF(AND(MediCare_Data[[#This Row],[Patient_Gender]]="Male", MediCare_Data[[#This Row],[Treatment_Type]]="Maternity"), "Gender-Treatment Mismatch", "Fine")</f>
        <v>Fine</v>
      </c>
      <c r="R321" s="10">
        <f>MediCare_Data[[#This Row],[Revenue_Generated]]-MediCare_Data[[#This Row],[Average_Treatment_Cost]]</f>
        <v>18411</v>
      </c>
      <c r="S321" s="3">
        <f>(MediCare_Data[[#This Row],[Profit]]/MediCare_Data[[#This Row],[Revenue_Generated]])</f>
        <v>0.70553745928338762</v>
      </c>
    </row>
    <row r="322" spans="1:19" x14ac:dyDescent="0.25">
      <c r="A322" t="s">
        <v>369</v>
      </c>
      <c r="B322" t="s">
        <v>82</v>
      </c>
      <c r="C322" t="s">
        <v>20</v>
      </c>
      <c r="D322" t="s">
        <v>32</v>
      </c>
      <c r="E322">
        <v>90</v>
      </c>
      <c r="F322" t="str">
        <f>IF(MediCare_Data[[#This Row],[Patient_Age]]&lt;=18,"0-18",IF(MediCare_Data[[#This Row],[Patient_Age]]&lt;=35,"19-35",IF(MediCare_Data[[#This Row],[Patient_Age]]&lt;=60,"36-60","60+")))</f>
        <v>60+</v>
      </c>
      <c r="G322" t="s">
        <v>17</v>
      </c>
      <c r="H322" t="s">
        <v>51</v>
      </c>
      <c r="I322" s="2">
        <v>82</v>
      </c>
      <c r="J322" s="11">
        <v>6296</v>
      </c>
      <c r="K322" s="3">
        <v>14.210789950000001</v>
      </c>
      <c r="L322" s="3">
        <f t="shared" ref="L322:L385" si="5">K322/100</f>
        <v>0.1421078995</v>
      </c>
      <c r="M322">
        <v>17</v>
      </c>
      <c r="N322" s="6">
        <f>MediCare_Data[[#This Row],[Average_Wait_Time (mins)]]/1440</f>
        <v>1.1805555555555555E-2</v>
      </c>
      <c r="O322" s="2">
        <v>4</v>
      </c>
      <c r="P322" s="10">
        <v>39724</v>
      </c>
      <c r="Q322" s="17" t="str">
        <f>IF(AND(MediCare_Data[[#This Row],[Patient_Gender]]="Male", MediCare_Data[[#This Row],[Treatment_Type]]="Maternity"), "Gender-Treatment Mismatch", "Fine")</f>
        <v>Fine</v>
      </c>
      <c r="R322" s="10">
        <f>MediCare_Data[[#This Row],[Revenue_Generated]]-MediCare_Data[[#This Row],[Average_Treatment_Cost]]</f>
        <v>33428</v>
      </c>
      <c r="S322" s="3">
        <f>(MediCare_Data[[#This Row],[Profit]]/MediCare_Data[[#This Row],[Revenue_Generated]])</f>
        <v>0.84150639411942407</v>
      </c>
    </row>
    <row r="323" spans="1:19" x14ac:dyDescent="0.25">
      <c r="A323" t="s">
        <v>370</v>
      </c>
      <c r="B323" t="s">
        <v>39</v>
      </c>
      <c r="C323" t="s">
        <v>29</v>
      </c>
      <c r="D323" t="s">
        <v>21</v>
      </c>
      <c r="E323">
        <v>51</v>
      </c>
      <c r="F323" t="str">
        <f>IF(MediCare_Data[[#This Row],[Patient_Age]]&lt;=18,"0-18",IF(MediCare_Data[[#This Row],[Patient_Age]]&lt;=35,"19-35",IF(MediCare_Data[[#This Row],[Patient_Age]]&lt;=60,"36-60","60+")))</f>
        <v>36-60</v>
      </c>
      <c r="G323" t="s">
        <v>26</v>
      </c>
      <c r="H323" t="s">
        <v>51</v>
      </c>
      <c r="I323" s="2">
        <v>63</v>
      </c>
      <c r="J323" s="11">
        <v>7641</v>
      </c>
      <c r="K323" s="3">
        <v>21.83997106</v>
      </c>
      <c r="L323" s="3">
        <f t="shared" si="5"/>
        <v>0.21839971059999999</v>
      </c>
      <c r="M323">
        <v>117</v>
      </c>
      <c r="N323" s="6">
        <f>MediCare_Data[[#This Row],[Average_Wait_Time (mins)]]/1440</f>
        <v>8.1250000000000003E-2</v>
      </c>
      <c r="O323" s="2">
        <v>1</v>
      </c>
      <c r="P323" s="10">
        <v>38583</v>
      </c>
      <c r="Q323" s="17" t="str">
        <f>IF(AND(MediCare_Data[[#This Row],[Patient_Gender]]="Male", MediCare_Data[[#This Row],[Treatment_Type]]="Maternity"), "Gender-Treatment Mismatch", "Fine")</f>
        <v>Fine</v>
      </c>
      <c r="R323" s="10">
        <f>MediCare_Data[[#This Row],[Revenue_Generated]]-MediCare_Data[[#This Row],[Average_Treatment_Cost]]</f>
        <v>30942</v>
      </c>
      <c r="S323" s="3">
        <f>(MediCare_Data[[#This Row],[Profit]]/MediCare_Data[[#This Row],[Revenue_Generated]])</f>
        <v>0.80195941217634714</v>
      </c>
    </row>
    <row r="324" spans="1:19" x14ac:dyDescent="0.25">
      <c r="A324" t="s">
        <v>371</v>
      </c>
      <c r="B324" t="s">
        <v>61</v>
      </c>
      <c r="C324" t="s">
        <v>29</v>
      </c>
      <c r="D324" t="s">
        <v>21</v>
      </c>
      <c r="E324">
        <v>66</v>
      </c>
      <c r="F324" t="str">
        <f>IF(MediCare_Data[[#This Row],[Patient_Age]]&lt;=18,"0-18",IF(MediCare_Data[[#This Row],[Patient_Age]]&lt;=35,"19-35",IF(MediCare_Data[[#This Row],[Patient_Age]]&lt;=60,"36-60","60+")))</f>
        <v>60+</v>
      </c>
      <c r="G324" t="s">
        <v>26</v>
      </c>
      <c r="H324" t="s">
        <v>47</v>
      </c>
      <c r="I324" s="2">
        <v>70</v>
      </c>
      <c r="J324" s="11">
        <v>2122</v>
      </c>
      <c r="K324" s="3">
        <v>19.569813539999998</v>
      </c>
      <c r="L324" s="3">
        <f t="shared" si="5"/>
        <v>0.19569813539999997</v>
      </c>
      <c r="M324">
        <v>170</v>
      </c>
      <c r="N324" s="6">
        <f>MediCare_Data[[#This Row],[Average_Wait_Time (mins)]]/1440</f>
        <v>0.11805555555555555</v>
      </c>
      <c r="O324" s="2">
        <v>1</v>
      </c>
      <c r="P324" s="10">
        <v>3843</v>
      </c>
      <c r="Q324" s="17" t="str">
        <f>IF(AND(MediCare_Data[[#This Row],[Patient_Gender]]="Male", MediCare_Data[[#This Row],[Treatment_Type]]="Maternity"), "Gender-Treatment Mismatch", "Fine")</f>
        <v>Fine</v>
      </c>
      <c r="R324" s="10">
        <f>MediCare_Data[[#This Row],[Revenue_Generated]]-MediCare_Data[[#This Row],[Average_Treatment_Cost]]</f>
        <v>1721</v>
      </c>
      <c r="S324" s="3">
        <f>(MediCare_Data[[#This Row],[Profit]]/MediCare_Data[[#This Row],[Revenue_Generated]])</f>
        <v>0.44782721831902161</v>
      </c>
    </row>
    <row r="325" spans="1:19" x14ac:dyDescent="0.25">
      <c r="A325" t="s">
        <v>372</v>
      </c>
      <c r="B325" t="s">
        <v>64</v>
      </c>
      <c r="C325" t="s">
        <v>31</v>
      </c>
      <c r="D325" t="s">
        <v>21</v>
      </c>
      <c r="E325">
        <v>1</v>
      </c>
      <c r="F325" t="str">
        <f>IF(MediCare_Data[[#This Row],[Patient_Age]]&lt;=18,"0-18",IF(MediCare_Data[[#This Row],[Patient_Age]]&lt;=35,"19-35",IF(MediCare_Data[[#This Row],[Patient_Age]]&lt;=60,"36-60","60+")))</f>
        <v>0-18</v>
      </c>
      <c r="G325" t="s">
        <v>17</v>
      </c>
      <c r="H325" t="s">
        <v>23</v>
      </c>
      <c r="I325" s="2">
        <v>97</v>
      </c>
      <c r="J325" s="11">
        <v>8541</v>
      </c>
      <c r="K325" s="3">
        <v>20.528948929999999</v>
      </c>
      <c r="L325" s="3">
        <f t="shared" si="5"/>
        <v>0.20528948929999999</v>
      </c>
      <c r="M325">
        <v>84</v>
      </c>
      <c r="N325" s="6">
        <f>MediCare_Data[[#This Row],[Average_Wait_Time (mins)]]/1440</f>
        <v>5.8333333333333334E-2</v>
      </c>
      <c r="O325" s="2">
        <v>3</v>
      </c>
      <c r="P325" s="10">
        <v>30301</v>
      </c>
      <c r="Q325" s="17" t="str">
        <f>IF(AND(MediCare_Data[[#This Row],[Patient_Gender]]="Male", MediCare_Data[[#This Row],[Treatment_Type]]="Maternity"), "Gender-Treatment Mismatch", "Fine")</f>
        <v>Fine</v>
      </c>
      <c r="R325" s="10">
        <f>MediCare_Data[[#This Row],[Revenue_Generated]]-MediCare_Data[[#This Row],[Average_Treatment_Cost]]</f>
        <v>21760</v>
      </c>
      <c r="S325" s="3">
        <f>(MediCare_Data[[#This Row],[Profit]]/MediCare_Data[[#This Row],[Revenue_Generated]])</f>
        <v>0.71812811458367709</v>
      </c>
    </row>
    <row r="326" spans="1:19" x14ac:dyDescent="0.25">
      <c r="A326" t="s">
        <v>373</v>
      </c>
      <c r="B326" t="s">
        <v>49</v>
      </c>
      <c r="C326" t="s">
        <v>46</v>
      </c>
      <c r="D326" t="s">
        <v>16</v>
      </c>
      <c r="E326">
        <v>68</v>
      </c>
      <c r="F326" t="str">
        <f>IF(MediCare_Data[[#This Row],[Patient_Age]]&lt;=18,"0-18",IF(MediCare_Data[[#This Row],[Patient_Age]]&lt;=35,"19-35",IF(MediCare_Data[[#This Row],[Patient_Age]]&lt;=60,"36-60","60+")))</f>
        <v>60+</v>
      </c>
      <c r="G326" t="s">
        <v>43</v>
      </c>
      <c r="H326" t="s">
        <v>47</v>
      </c>
      <c r="I326" s="2">
        <v>69</v>
      </c>
      <c r="J326" s="11">
        <v>841</v>
      </c>
      <c r="K326" s="3">
        <v>18.12323675</v>
      </c>
      <c r="L326" s="3">
        <f t="shared" si="5"/>
        <v>0.18123236749999999</v>
      </c>
      <c r="M326">
        <v>86</v>
      </c>
      <c r="N326" s="6">
        <f>MediCare_Data[[#This Row],[Average_Wait_Time (mins)]]/1440</f>
        <v>5.9722222222222225E-2</v>
      </c>
      <c r="O326" s="2">
        <v>3</v>
      </c>
      <c r="P326" s="10">
        <v>27460</v>
      </c>
      <c r="Q326" s="17" t="str">
        <f>IF(AND(MediCare_Data[[#This Row],[Patient_Gender]]="Male", MediCare_Data[[#This Row],[Treatment_Type]]="Maternity"), "Gender-Treatment Mismatch", "Fine")</f>
        <v>Fine</v>
      </c>
      <c r="R326" s="10">
        <f>MediCare_Data[[#This Row],[Revenue_Generated]]-MediCare_Data[[#This Row],[Average_Treatment_Cost]]</f>
        <v>26619</v>
      </c>
      <c r="S326" s="3">
        <f>(MediCare_Data[[#This Row],[Profit]]/MediCare_Data[[#This Row],[Revenue_Generated]])</f>
        <v>0.96937363437727608</v>
      </c>
    </row>
    <row r="327" spans="1:19" x14ac:dyDescent="0.25">
      <c r="A327" t="s">
        <v>374</v>
      </c>
      <c r="B327" t="s">
        <v>41</v>
      </c>
      <c r="C327" t="s">
        <v>42</v>
      </c>
      <c r="D327" t="s">
        <v>32</v>
      </c>
      <c r="E327">
        <v>22</v>
      </c>
      <c r="F327" t="str">
        <f>IF(MediCare_Data[[#This Row],[Patient_Age]]&lt;=18,"0-18",IF(MediCare_Data[[#This Row],[Patient_Age]]&lt;=35,"19-35",IF(MediCare_Data[[#This Row],[Patient_Age]]&lt;=60,"36-60","60+")))</f>
        <v>19-35</v>
      </c>
      <c r="G327" t="s">
        <v>17</v>
      </c>
      <c r="H327" t="s">
        <v>33</v>
      </c>
      <c r="I327" s="2">
        <v>57</v>
      </c>
      <c r="J327" s="11">
        <v>2574</v>
      </c>
      <c r="K327" s="3">
        <v>8.5485753889999998</v>
      </c>
      <c r="L327" s="3">
        <f t="shared" si="5"/>
        <v>8.5485753890000002E-2</v>
      </c>
      <c r="M327">
        <v>59</v>
      </c>
      <c r="N327" s="6">
        <f>MediCare_Data[[#This Row],[Average_Wait_Time (mins)]]/1440</f>
        <v>4.0972222222222222E-2</v>
      </c>
      <c r="O327" s="2">
        <v>3</v>
      </c>
      <c r="P327" s="10">
        <v>32918</v>
      </c>
      <c r="Q327" s="17" t="str">
        <f>IF(AND(MediCare_Data[[#This Row],[Patient_Gender]]="Male", MediCare_Data[[#This Row],[Treatment_Type]]="Maternity"), "Gender-Treatment Mismatch", "Fine")</f>
        <v>Fine</v>
      </c>
      <c r="R327" s="10">
        <f>MediCare_Data[[#This Row],[Revenue_Generated]]-MediCare_Data[[#This Row],[Average_Treatment_Cost]]</f>
        <v>30344</v>
      </c>
      <c r="S327" s="3">
        <f>(MediCare_Data[[#This Row],[Profit]]/MediCare_Data[[#This Row],[Revenue_Generated]])</f>
        <v>0.92180569900966036</v>
      </c>
    </row>
    <row r="328" spans="1:19" x14ac:dyDescent="0.25">
      <c r="A328" t="s">
        <v>375</v>
      </c>
      <c r="B328" t="s">
        <v>61</v>
      </c>
      <c r="C328" t="s">
        <v>46</v>
      </c>
      <c r="D328" t="s">
        <v>32</v>
      </c>
      <c r="E328">
        <v>18</v>
      </c>
      <c r="F328" t="str">
        <f>IF(MediCare_Data[[#This Row],[Patient_Age]]&lt;=18,"0-18",IF(MediCare_Data[[#This Row],[Patient_Age]]&lt;=35,"19-35",IF(MediCare_Data[[#This Row],[Patient_Age]]&lt;=60,"36-60","60+")))</f>
        <v>0-18</v>
      </c>
      <c r="G328" t="s">
        <v>17</v>
      </c>
      <c r="H328" t="s">
        <v>18</v>
      </c>
      <c r="I328" s="2">
        <v>56</v>
      </c>
      <c r="J328" s="11">
        <v>8492</v>
      </c>
      <c r="K328" s="3">
        <v>15.90053838</v>
      </c>
      <c r="L328" s="3">
        <f t="shared" si="5"/>
        <v>0.15900538380000001</v>
      </c>
      <c r="M328">
        <v>20</v>
      </c>
      <c r="N328" s="6">
        <f>MediCare_Data[[#This Row],[Average_Wait_Time (mins)]]/1440</f>
        <v>1.3888888888888888E-2</v>
      </c>
      <c r="O328" s="2">
        <v>2</v>
      </c>
      <c r="P328" s="10">
        <v>29747</v>
      </c>
      <c r="Q328" s="17" t="str">
        <f>IF(AND(MediCare_Data[[#This Row],[Patient_Gender]]="Male", MediCare_Data[[#This Row],[Treatment_Type]]="Maternity"), "Gender-Treatment Mismatch", "Fine")</f>
        <v>Fine</v>
      </c>
      <c r="R328" s="10">
        <f>MediCare_Data[[#This Row],[Revenue_Generated]]-MediCare_Data[[#This Row],[Average_Treatment_Cost]]</f>
        <v>21255</v>
      </c>
      <c r="S328" s="3">
        <f>(MediCare_Data[[#This Row],[Profit]]/MediCare_Data[[#This Row],[Revenue_Generated]])</f>
        <v>0.71452583453793661</v>
      </c>
    </row>
    <row r="329" spans="1:19" x14ac:dyDescent="0.25">
      <c r="A329" t="s">
        <v>376</v>
      </c>
      <c r="B329" t="s">
        <v>41</v>
      </c>
      <c r="C329" t="s">
        <v>15</v>
      </c>
      <c r="D329" t="s">
        <v>21</v>
      </c>
      <c r="E329">
        <v>1</v>
      </c>
      <c r="F329" t="str">
        <f>IF(MediCare_Data[[#This Row],[Patient_Age]]&lt;=18,"0-18",IF(MediCare_Data[[#This Row],[Patient_Age]]&lt;=35,"19-35",IF(MediCare_Data[[#This Row],[Patient_Age]]&lt;=60,"36-60","60+")))</f>
        <v>0-18</v>
      </c>
      <c r="G329" t="s">
        <v>17</v>
      </c>
      <c r="H329" t="s">
        <v>37</v>
      </c>
      <c r="I329" s="2">
        <v>52</v>
      </c>
      <c r="J329" s="11">
        <v>1145</v>
      </c>
      <c r="K329" s="3">
        <v>24.693394789999999</v>
      </c>
      <c r="L329" s="3">
        <f t="shared" si="5"/>
        <v>0.24693394790000001</v>
      </c>
      <c r="M329">
        <v>104</v>
      </c>
      <c r="N329" s="6">
        <f>MediCare_Data[[#This Row],[Average_Wait_Time (mins)]]/1440</f>
        <v>7.2222222222222215E-2</v>
      </c>
      <c r="O329" s="2">
        <v>2</v>
      </c>
      <c r="P329" s="10">
        <v>16972</v>
      </c>
      <c r="Q329" s="17" t="str">
        <f>IF(AND(MediCare_Data[[#This Row],[Patient_Gender]]="Male", MediCare_Data[[#This Row],[Treatment_Type]]="Maternity"), "Gender-Treatment Mismatch", "Fine")</f>
        <v>Fine</v>
      </c>
      <c r="R329" s="10">
        <f>MediCare_Data[[#This Row],[Revenue_Generated]]-MediCare_Data[[#This Row],[Average_Treatment_Cost]]</f>
        <v>15827</v>
      </c>
      <c r="S329" s="3">
        <f>(MediCare_Data[[#This Row],[Profit]]/MediCare_Data[[#This Row],[Revenue_Generated]])</f>
        <v>0.93253594155078956</v>
      </c>
    </row>
    <row r="330" spans="1:19" x14ac:dyDescent="0.25">
      <c r="A330" t="s">
        <v>377</v>
      </c>
      <c r="B330" t="s">
        <v>53</v>
      </c>
      <c r="C330" t="s">
        <v>15</v>
      </c>
      <c r="D330" t="s">
        <v>21</v>
      </c>
      <c r="E330">
        <v>71</v>
      </c>
      <c r="F330" t="str">
        <f>IF(MediCare_Data[[#This Row],[Patient_Age]]&lt;=18,"0-18",IF(MediCare_Data[[#This Row],[Patient_Age]]&lt;=35,"19-35",IF(MediCare_Data[[#This Row],[Patient_Age]]&lt;=60,"36-60","60+")))</f>
        <v>60+</v>
      </c>
      <c r="G330" t="s">
        <v>17</v>
      </c>
      <c r="H330" t="s">
        <v>23</v>
      </c>
      <c r="I330" s="2">
        <v>66</v>
      </c>
      <c r="J330" s="11">
        <v>4763</v>
      </c>
      <c r="K330" s="3">
        <v>23.747761329999999</v>
      </c>
      <c r="L330" s="3">
        <f t="shared" si="5"/>
        <v>0.2374776133</v>
      </c>
      <c r="M330">
        <v>165</v>
      </c>
      <c r="N330" s="6">
        <f>MediCare_Data[[#This Row],[Average_Wait_Time (mins)]]/1440</f>
        <v>0.11458333333333333</v>
      </c>
      <c r="O330" s="2">
        <v>1</v>
      </c>
      <c r="P330" s="10">
        <v>29310</v>
      </c>
      <c r="Q330" s="17" t="str">
        <f>IF(AND(MediCare_Data[[#This Row],[Patient_Gender]]="Male", MediCare_Data[[#This Row],[Treatment_Type]]="Maternity"), "Gender-Treatment Mismatch", "Fine")</f>
        <v>Fine</v>
      </c>
      <c r="R330" s="10">
        <f>MediCare_Data[[#This Row],[Revenue_Generated]]-MediCare_Data[[#This Row],[Average_Treatment_Cost]]</f>
        <v>24547</v>
      </c>
      <c r="S330" s="3">
        <f>(MediCare_Data[[#This Row],[Profit]]/MediCare_Data[[#This Row],[Revenue_Generated]])</f>
        <v>0.83749573524394405</v>
      </c>
    </row>
    <row r="331" spans="1:19" x14ac:dyDescent="0.25">
      <c r="A331" t="s">
        <v>378</v>
      </c>
      <c r="B331" t="s">
        <v>45</v>
      </c>
      <c r="C331" t="s">
        <v>15</v>
      </c>
      <c r="D331" t="s">
        <v>21</v>
      </c>
      <c r="E331">
        <v>81</v>
      </c>
      <c r="F331" t="str">
        <f>IF(MediCare_Data[[#This Row],[Patient_Age]]&lt;=18,"0-18",IF(MediCare_Data[[#This Row],[Patient_Age]]&lt;=35,"19-35",IF(MediCare_Data[[#This Row],[Patient_Age]]&lt;=60,"36-60","60+")))</f>
        <v>60+</v>
      </c>
      <c r="G331" t="s">
        <v>26</v>
      </c>
      <c r="H331" t="s">
        <v>51</v>
      </c>
      <c r="I331" s="2">
        <v>82</v>
      </c>
      <c r="J331" s="11">
        <v>9301</v>
      </c>
      <c r="K331" s="3">
        <v>5.8634747159999998</v>
      </c>
      <c r="L331" s="3">
        <f t="shared" si="5"/>
        <v>5.863474716E-2</v>
      </c>
      <c r="M331">
        <v>79</v>
      </c>
      <c r="N331" s="6">
        <f>MediCare_Data[[#This Row],[Average_Wait_Time (mins)]]/1440</f>
        <v>5.486111111111111E-2</v>
      </c>
      <c r="O331" s="2">
        <v>3</v>
      </c>
      <c r="P331" s="10">
        <v>23927</v>
      </c>
      <c r="Q331" s="17" t="str">
        <f>IF(AND(MediCare_Data[[#This Row],[Patient_Gender]]="Male", MediCare_Data[[#This Row],[Treatment_Type]]="Maternity"), "Gender-Treatment Mismatch", "Fine")</f>
        <v>Fine</v>
      </c>
      <c r="R331" s="10">
        <f>MediCare_Data[[#This Row],[Revenue_Generated]]-MediCare_Data[[#This Row],[Average_Treatment_Cost]]</f>
        <v>14626</v>
      </c>
      <c r="S331" s="3">
        <f>(MediCare_Data[[#This Row],[Profit]]/MediCare_Data[[#This Row],[Revenue_Generated]])</f>
        <v>0.61127596439169141</v>
      </c>
    </row>
    <row r="332" spans="1:19" x14ac:dyDescent="0.25">
      <c r="A332" t="s">
        <v>379</v>
      </c>
      <c r="B332" t="s">
        <v>61</v>
      </c>
      <c r="C332" t="s">
        <v>20</v>
      </c>
      <c r="D332" t="s">
        <v>21</v>
      </c>
      <c r="E332">
        <v>3</v>
      </c>
      <c r="F332" t="str">
        <f>IF(MediCare_Data[[#This Row],[Patient_Age]]&lt;=18,"0-18",IF(MediCare_Data[[#This Row],[Patient_Age]]&lt;=35,"19-35",IF(MediCare_Data[[#This Row],[Patient_Age]]&lt;=60,"36-60","60+")))</f>
        <v>0-18</v>
      </c>
      <c r="G332" t="s">
        <v>17</v>
      </c>
      <c r="H332" t="s">
        <v>51</v>
      </c>
      <c r="I332" s="2">
        <v>97</v>
      </c>
      <c r="J332" s="11">
        <v>6636</v>
      </c>
      <c r="K332" s="3">
        <v>8.2962963149999993</v>
      </c>
      <c r="L332" s="3">
        <f t="shared" si="5"/>
        <v>8.2962963149999999E-2</v>
      </c>
      <c r="M332">
        <v>178</v>
      </c>
      <c r="N332" s="6">
        <f>MediCare_Data[[#This Row],[Average_Wait_Time (mins)]]/1440</f>
        <v>0.12361111111111112</v>
      </c>
      <c r="O332" s="2">
        <v>1</v>
      </c>
      <c r="P332" s="10">
        <v>2094</v>
      </c>
      <c r="Q332" s="17" t="str">
        <f>IF(AND(MediCare_Data[[#This Row],[Patient_Gender]]="Male", MediCare_Data[[#This Row],[Treatment_Type]]="Maternity"), "Gender-Treatment Mismatch", "Fine")</f>
        <v>Fine</v>
      </c>
      <c r="R332" s="10">
        <f>MediCare_Data[[#This Row],[Revenue_Generated]]-MediCare_Data[[#This Row],[Average_Treatment_Cost]]</f>
        <v>-4542</v>
      </c>
      <c r="S332" s="3">
        <f>(MediCare_Data[[#This Row],[Profit]]/MediCare_Data[[#This Row],[Revenue_Generated]])</f>
        <v>-2.1690544412607449</v>
      </c>
    </row>
    <row r="333" spans="1:19" x14ac:dyDescent="0.25">
      <c r="A333" t="s">
        <v>380</v>
      </c>
      <c r="B333" t="s">
        <v>14</v>
      </c>
      <c r="C333" t="s">
        <v>42</v>
      </c>
      <c r="D333" t="s">
        <v>21</v>
      </c>
      <c r="E333">
        <v>33</v>
      </c>
      <c r="F333" t="str">
        <f>IF(MediCare_Data[[#This Row],[Patient_Age]]&lt;=18,"0-18",IF(MediCare_Data[[#This Row],[Patient_Age]]&lt;=35,"19-35",IF(MediCare_Data[[#This Row],[Patient_Age]]&lt;=60,"36-60","60+")))</f>
        <v>19-35</v>
      </c>
      <c r="G333" t="s">
        <v>43</v>
      </c>
      <c r="H333" t="s">
        <v>18</v>
      </c>
      <c r="I333" s="2">
        <v>61</v>
      </c>
      <c r="J333" s="11">
        <v>9146</v>
      </c>
      <c r="K333" s="3">
        <v>7.6345754689999996</v>
      </c>
      <c r="L333" s="3">
        <f t="shared" si="5"/>
        <v>7.6345754689999989E-2</v>
      </c>
      <c r="M333">
        <v>25</v>
      </c>
      <c r="N333" s="6">
        <f>MediCare_Data[[#This Row],[Average_Wait_Time (mins)]]/1440</f>
        <v>1.7361111111111112E-2</v>
      </c>
      <c r="O333" s="2">
        <v>4</v>
      </c>
      <c r="P333" s="10">
        <v>39892</v>
      </c>
      <c r="Q333" s="17" t="str">
        <f>IF(AND(MediCare_Data[[#This Row],[Patient_Gender]]="Male", MediCare_Data[[#This Row],[Treatment_Type]]="Maternity"), "Gender-Treatment Mismatch", "Fine")</f>
        <v>Fine</v>
      </c>
      <c r="R333" s="10">
        <f>MediCare_Data[[#This Row],[Revenue_Generated]]-MediCare_Data[[#This Row],[Average_Treatment_Cost]]</f>
        <v>30746</v>
      </c>
      <c r="S333" s="3">
        <f>(MediCare_Data[[#This Row],[Profit]]/MediCare_Data[[#This Row],[Revenue_Generated]])</f>
        <v>0.77073097362879772</v>
      </c>
    </row>
    <row r="334" spans="1:19" x14ac:dyDescent="0.25">
      <c r="A334" t="s">
        <v>381</v>
      </c>
      <c r="B334" t="s">
        <v>58</v>
      </c>
      <c r="C334" t="s">
        <v>42</v>
      </c>
      <c r="D334" t="s">
        <v>21</v>
      </c>
      <c r="E334">
        <v>42</v>
      </c>
      <c r="F334" t="str">
        <f>IF(MediCare_Data[[#This Row],[Patient_Age]]&lt;=18,"0-18",IF(MediCare_Data[[#This Row],[Patient_Age]]&lt;=35,"19-35",IF(MediCare_Data[[#This Row],[Patient_Age]]&lt;=60,"36-60","60+")))</f>
        <v>36-60</v>
      </c>
      <c r="G334" t="s">
        <v>43</v>
      </c>
      <c r="H334" t="s">
        <v>51</v>
      </c>
      <c r="I334" s="2">
        <v>71</v>
      </c>
      <c r="J334" s="11">
        <v>3469</v>
      </c>
      <c r="K334" s="3">
        <v>19.519598200000001</v>
      </c>
      <c r="L334" s="3">
        <f t="shared" si="5"/>
        <v>0.19519598200000002</v>
      </c>
      <c r="M334">
        <v>77</v>
      </c>
      <c r="N334" s="6">
        <f>MediCare_Data[[#This Row],[Average_Wait_Time (mins)]]/1440</f>
        <v>5.347222222222222E-2</v>
      </c>
      <c r="O334" s="2">
        <v>4</v>
      </c>
      <c r="P334" s="10">
        <v>35172</v>
      </c>
      <c r="Q334" s="17" t="str">
        <f>IF(AND(MediCare_Data[[#This Row],[Patient_Gender]]="Male", MediCare_Data[[#This Row],[Treatment_Type]]="Maternity"), "Gender-Treatment Mismatch", "Fine")</f>
        <v>Fine</v>
      </c>
      <c r="R334" s="10">
        <f>MediCare_Data[[#This Row],[Revenue_Generated]]-MediCare_Data[[#This Row],[Average_Treatment_Cost]]</f>
        <v>31703</v>
      </c>
      <c r="S334" s="3">
        <f>(MediCare_Data[[#This Row],[Profit]]/MediCare_Data[[#This Row],[Revenue_Generated]])</f>
        <v>0.90137040827931314</v>
      </c>
    </row>
    <row r="335" spans="1:19" x14ac:dyDescent="0.25">
      <c r="A335" t="s">
        <v>382</v>
      </c>
      <c r="B335" t="s">
        <v>58</v>
      </c>
      <c r="C335" t="s">
        <v>54</v>
      </c>
      <c r="D335" t="s">
        <v>21</v>
      </c>
      <c r="E335">
        <v>56</v>
      </c>
      <c r="F335" t="str">
        <f>IF(MediCare_Data[[#This Row],[Patient_Age]]&lt;=18,"0-18",IF(MediCare_Data[[#This Row],[Patient_Age]]&lt;=35,"19-35",IF(MediCare_Data[[#This Row],[Patient_Age]]&lt;=60,"36-60","60+")))</f>
        <v>36-60</v>
      </c>
      <c r="G335" t="s">
        <v>22</v>
      </c>
      <c r="H335" t="s">
        <v>37</v>
      </c>
      <c r="I335" s="2">
        <v>71</v>
      </c>
      <c r="J335" s="11">
        <v>3528</v>
      </c>
      <c r="K335" s="3">
        <v>21.355706600000001</v>
      </c>
      <c r="L335" s="3">
        <f t="shared" si="5"/>
        <v>0.21355706600000002</v>
      </c>
      <c r="M335">
        <v>108</v>
      </c>
      <c r="N335" s="6">
        <f>MediCare_Data[[#This Row],[Average_Wait_Time (mins)]]/1440</f>
        <v>7.4999999999999997E-2</v>
      </c>
      <c r="O335" s="2">
        <v>3</v>
      </c>
      <c r="P335" s="10">
        <v>24324</v>
      </c>
      <c r="Q335" s="17" t="str">
        <f>IF(AND(MediCare_Data[[#This Row],[Patient_Gender]]="Male", MediCare_Data[[#This Row],[Treatment_Type]]="Maternity"), "Gender-Treatment Mismatch", "Fine")</f>
        <v>Fine</v>
      </c>
      <c r="R335" s="10">
        <f>MediCare_Data[[#This Row],[Revenue_Generated]]-MediCare_Data[[#This Row],[Average_Treatment_Cost]]</f>
        <v>20796</v>
      </c>
      <c r="S335" s="3">
        <f>(MediCare_Data[[#This Row],[Profit]]/MediCare_Data[[#This Row],[Revenue_Generated]])</f>
        <v>0.8549580661075481</v>
      </c>
    </row>
    <row r="336" spans="1:19" x14ac:dyDescent="0.25">
      <c r="A336" t="s">
        <v>383</v>
      </c>
      <c r="B336" t="s">
        <v>61</v>
      </c>
      <c r="C336" t="s">
        <v>46</v>
      </c>
      <c r="D336" t="s">
        <v>32</v>
      </c>
      <c r="E336">
        <v>24</v>
      </c>
      <c r="F336" t="str">
        <f>IF(MediCare_Data[[#This Row],[Patient_Age]]&lt;=18,"0-18",IF(MediCare_Data[[#This Row],[Patient_Age]]&lt;=35,"19-35",IF(MediCare_Data[[#This Row],[Patient_Age]]&lt;=60,"36-60","60+")))</f>
        <v>19-35</v>
      </c>
      <c r="G336" t="s">
        <v>22</v>
      </c>
      <c r="H336" t="s">
        <v>47</v>
      </c>
      <c r="I336" s="2">
        <v>95</v>
      </c>
      <c r="J336" s="11">
        <v>8143</v>
      </c>
      <c r="K336" s="3">
        <v>9.2702273260000005</v>
      </c>
      <c r="L336" s="3">
        <f t="shared" si="5"/>
        <v>9.2702273260000009E-2</v>
      </c>
      <c r="M336">
        <v>57</v>
      </c>
      <c r="N336" s="6">
        <f>MediCare_Data[[#This Row],[Average_Wait_Time (mins)]]/1440</f>
        <v>3.9583333333333331E-2</v>
      </c>
      <c r="O336" s="2">
        <v>3</v>
      </c>
      <c r="P336" s="10">
        <v>21674</v>
      </c>
      <c r="Q336" s="17" t="str">
        <f>IF(AND(MediCare_Data[[#This Row],[Patient_Gender]]="Male", MediCare_Data[[#This Row],[Treatment_Type]]="Maternity"), "Gender-Treatment Mismatch", "Fine")</f>
        <v>Fine</v>
      </c>
      <c r="R336" s="10">
        <f>MediCare_Data[[#This Row],[Revenue_Generated]]-MediCare_Data[[#This Row],[Average_Treatment_Cost]]</f>
        <v>13531</v>
      </c>
      <c r="S336" s="3">
        <f>(MediCare_Data[[#This Row],[Profit]]/MediCare_Data[[#This Row],[Revenue_Generated]])</f>
        <v>0.62429639199040321</v>
      </c>
    </row>
    <row r="337" spans="1:19" x14ac:dyDescent="0.25">
      <c r="A337" t="s">
        <v>384</v>
      </c>
      <c r="B337" t="s">
        <v>39</v>
      </c>
      <c r="C337" t="s">
        <v>20</v>
      </c>
      <c r="D337" t="s">
        <v>16</v>
      </c>
      <c r="E337">
        <v>37</v>
      </c>
      <c r="F337" t="str">
        <f>IF(MediCare_Data[[#This Row],[Patient_Age]]&lt;=18,"0-18",IF(MediCare_Data[[#This Row],[Patient_Age]]&lt;=35,"19-35",IF(MediCare_Data[[#This Row],[Patient_Age]]&lt;=60,"36-60","60+")))</f>
        <v>36-60</v>
      </c>
      <c r="G337" t="s">
        <v>17</v>
      </c>
      <c r="H337" t="s">
        <v>23</v>
      </c>
      <c r="I337" s="2">
        <v>79</v>
      </c>
      <c r="J337" s="11">
        <v>3181</v>
      </c>
      <c r="K337" s="3">
        <v>15.11705386</v>
      </c>
      <c r="L337" s="3">
        <f t="shared" si="5"/>
        <v>0.15117053860000002</v>
      </c>
      <c r="M337">
        <v>73</v>
      </c>
      <c r="N337" s="6">
        <f>MediCare_Data[[#This Row],[Average_Wait_Time (mins)]]/1440</f>
        <v>5.0694444444444445E-2</v>
      </c>
      <c r="O337" s="2">
        <v>4</v>
      </c>
      <c r="P337" s="10">
        <v>4982</v>
      </c>
      <c r="Q337" s="17" t="str">
        <f>IF(AND(MediCare_Data[[#This Row],[Patient_Gender]]="Male", MediCare_Data[[#This Row],[Treatment_Type]]="Maternity"), "Gender-Treatment Mismatch", "Fine")</f>
        <v>Fine</v>
      </c>
      <c r="R337" s="10">
        <f>MediCare_Data[[#This Row],[Revenue_Generated]]-MediCare_Data[[#This Row],[Average_Treatment_Cost]]</f>
        <v>1801</v>
      </c>
      <c r="S337" s="3">
        <f>(MediCare_Data[[#This Row],[Profit]]/MediCare_Data[[#This Row],[Revenue_Generated]])</f>
        <v>0.36150140505820955</v>
      </c>
    </row>
    <row r="338" spans="1:19" x14ac:dyDescent="0.25">
      <c r="A338" t="s">
        <v>385</v>
      </c>
      <c r="B338" t="s">
        <v>41</v>
      </c>
      <c r="C338" t="s">
        <v>15</v>
      </c>
      <c r="D338" t="s">
        <v>16</v>
      </c>
      <c r="E338">
        <v>9</v>
      </c>
      <c r="F338" t="str">
        <f>IF(MediCare_Data[[#This Row],[Patient_Age]]&lt;=18,"0-18",IF(MediCare_Data[[#This Row],[Patient_Age]]&lt;=35,"19-35",IF(MediCare_Data[[#This Row],[Patient_Age]]&lt;=60,"36-60","60+")))</f>
        <v>0-18</v>
      </c>
      <c r="G338" t="s">
        <v>22</v>
      </c>
      <c r="H338" t="s">
        <v>37</v>
      </c>
      <c r="I338" s="2">
        <v>87</v>
      </c>
      <c r="J338" s="11">
        <v>4129</v>
      </c>
      <c r="K338" s="3">
        <v>21.814060560000001</v>
      </c>
      <c r="L338" s="3">
        <f t="shared" si="5"/>
        <v>0.21814060560000001</v>
      </c>
      <c r="M338">
        <v>99</v>
      </c>
      <c r="N338" s="6">
        <f>MediCare_Data[[#This Row],[Average_Wait_Time (mins)]]/1440</f>
        <v>6.8750000000000006E-2</v>
      </c>
      <c r="O338" s="2">
        <v>3</v>
      </c>
      <c r="P338" s="10">
        <v>46283</v>
      </c>
      <c r="Q338" s="17" t="str">
        <f>IF(AND(MediCare_Data[[#This Row],[Patient_Gender]]="Male", MediCare_Data[[#This Row],[Treatment_Type]]="Maternity"), "Gender-Treatment Mismatch", "Fine")</f>
        <v>Gender-Treatment Mismatch</v>
      </c>
      <c r="R338" s="10">
        <f>MediCare_Data[[#This Row],[Revenue_Generated]]-MediCare_Data[[#This Row],[Average_Treatment_Cost]]</f>
        <v>42154</v>
      </c>
      <c r="S338" s="3">
        <f>(MediCare_Data[[#This Row],[Profit]]/MediCare_Data[[#This Row],[Revenue_Generated]])</f>
        <v>0.91078797830736991</v>
      </c>
    </row>
    <row r="339" spans="1:19" x14ac:dyDescent="0.25">
      <c r="A339" t="s">
        <v>386</v>
      </c>
      <c r="B339" t="s">
        <v>53</v>
      </c>
      <c r="C339" t="s">
        <v>36</v>
      </c>
      <c r="D339" t="s">
        <v>32</v>
      </c>
      <c r="E339">
        <v>68</v>
      </c>
      <c r="F339" t="str">
        <f>IF(MediCare_Data[[#This Row],[Patient_Age]]&lt;=18,"0-18",IF(MediCare_Data[[#This Row],[Patient_Age]]&lt;=35,"19-35",IF(MediCare_Data[[#This Row],[Patient_Age]]&lt;=60,"36-60","60+")))</f>
        <v>60+</v>
      </c>
      <c r="G339" t="s">
        <v>17</v>
      </c>
      <c r="H339" t="s">
        <v>33</v>
      </c>
      <c r="I339" s="2">
        <v>87</v>
      </c>
      <c r="J339" s="11">
        <v>4725</v>
      </c>
      <c r="K339" s="3">
        <v>19.656030900000001</v>
      </c>
      <c r="L339" s="3">
        <f t="shared" si="5"/>
        <v>0.19656030900000002</v>
      </c>
      <c r="M339">
        <v>85</v>
      </c>
      <c r="N339" s="6">
        <f>MediCare_Data[[#This Row],[Average_Wait_Time (mins)]]/1440</f>
        <v>5.9027777777777776E-2</v>
      </c>
      <c r="O339" s="2">
        <v>2</v>
      </c>
      <c r="P339" s="10">
        <v>16790</v>
      </c>
      <c r="Q339" s="17" t="str">
        <f>IF(AND(MediCare_Data[[#This Row],[Patient_Gender]]="Male", MediCare_Data[[#This Row],[Treatment_Type]]="Maternity"), "Gender-Treatment Mismatch", "Fine")</f>
        <v>Fine</v>
      </c>
      <c r="R339" s="10">
        <f>MediCare_Data[[#This Row],[Revenue_Generated]]-MediCare_Data[[#This Row],[Average_Treatment_Cost]]</f>
        <v>12065</v>
      </c>
      <c r="S339" s="3">
        <f>(MediCare_Data[[#This Row],[Profit]]/MediCare_Data[[#This Row],[Revenue_Generated]])</f>
        <v>0.71858248957712922</v>
      </c>
    </row>
    <row r="340" spans="1:19" x14ac:dyDescent="0.25">
      <c r="A340" t="s">
        <v>387</v>
      </c>
      <c r="B340" t="s">
        <v>56</v>
      </c>
      <c r="C340" t="s">
        <v>46</v>
      </c>
      <c r="D340" t="s">
        <v>32</v>
      </c>
      <c r="E340">
        <v>3</v>
      </c>
      <c r="F340" t="str">
        <f>IF(MediCare_Data[[#This Row],[Patient_Age]]&lt;=18,"0-18",IF(MediCare_Data[[#This Row],[Patient_Age]]&lt;=35,"19-35",IF(MediCare_Data[[#This Row],[Patient_Age]]&lt;=60,"36-60","60+")))</f>
        <v>0-18</v>
      </c>
      <c r="G340" t="s">
        <v>26</v>
      </c>
      <c r="H340" t="s">
        <v>18</v>
      </c>
      <c r="I340" s="2">
        <v>94</v>
      </c>
      <c r="J340" s="11">
        <v>3567</v>
      </c>
      <c r="K340" s="3">
        <v>15.844744110000001</v>
      </c>
      <c r="L340" s="3">
        <f t="shared" si="5"/>
        <v>0.1584474411</v>
      </c>
      <c r="M340">
        <v>148</v>
      </c>
      <c r="N340" s="6">
        <f>MediCare_Data[[#This Row],[Average_Wait_Time (mins)]]/1440</f>
        <v>0.10277777777777777</v>
      </c>
      <c r="O340" s="2">
        <v>2</v>
      </c>
      <c r="P340" s="10">
        <v>13205</v>
      </c>
      <c r="Q340" s="17" t="str">
        <f>IF(AND(MediCare_Data[[#This Row],[Patient_Gender]]="Male", MediCare_Data[[#This Row],[Treatment_Type]]="Maternity"), "Gender-Treatment Mismatch", "Fine")</f>
        <v>Fine</v>
      </c>
      <c r="R340" s="10">
        <f>MediCare_Data[[#This Row],[Revenue_Generated]]-MediCare_Data[[#This Row],[Average_Treatment_Cost]]</f>
        <v>9638</v>
      </c>
      <c r="S340" s="3">
        <f>(MediCare_Data[[#This Row],[Profit]]/MediCare_Data[[#This Row],[Revenue_Generated]])</f>
        <v>0.72987504733055664</v>
      </c>
    </row>
    <row r="341" spans="1:19" x14ac:dyDescent="0.25">
      <c r="A341" t="s">
        <v>388</v>
      </c>
      <c r="B341" t="s">
        <v>64</v>
      </c>
      <c r="C341" t="s">
        <v>42</v>
      </c>
      <c r="D341" t="s">
        <v>16</v>
      </c>
      <c r="E341">
        <v>35</v>
      </c>
      <c r="F341" t="str">
        <f>IF(MediCare_Data[[#This Row],[Patient_Age]]&lt;=18,"0-18",IF(MediCare_Data[[#This Row],[Patient_Age]]&lt;=35,"19-35",IF(MediCare_Data[[#This Row],[Patient_Age]]&lt;=60,"36-60","60+")))</f>
        <v>19-35</v>
      </c>
      <c r="G341" t="s">
        <v>26</v>
      </c>
      <c r="H341" t="s">
        <v>33</v>
      </c>
      <c r="I341" s="2">
        <v>57</v>
      </c>
      <c r="J341" s="11">
        <v>6441</v>
      </c>
      <c r="K341" s="3">
        <v>16.80695381</v>
      </c>
      <c r="L341" s="3">
        <f t="shared" si="5"/>
        <v>0.1680695381</v>
      </c>
      <c r="M341">
        <v>110</v>
      </c>
      <c r="N341" s="6">
        <f>MediCare_Data[[#This Row],[Average_Wait_Time (mins)]]/1440</f>
        <v>7.6388888888888895E-2</v>
      </c>
      <c r="O341" s="2">
        <v>3</v>
      </c>
      <c r="P341" s="10">
        <v>25338</v>
      </c>
      <c r="Q341" s="17" t="str">
        <f>IF(AND(MediCare_Data[[#This Row],[Patient_Gender]]="Male", MediCare_Data[[#This Row],[Treatment_Type]]="Maternity"), "Gender-Treatment Mismatch", "Fine")</f>
        <v>Fine</v>
      </c>
      <c r="R341" s="10">
        <f>MediCare_Data[[#This Row],[Revenue_Generated]]-MediCare_Data[[#This Row],[Average_Treatment_Cost]]</f>
        <v>18897</v>
      </c>
      <c r="S341" s="3">
        <f>(MediCare_Data[[#This Row],[Profit]]/MediCare_Data[[#This Row],[Revenue_Generated]])</f>
        <v>0.7457968269003078</v>
      </c>
    </row>
    <row r="342" spans="1:19" x14ac:dyDescent="0.25">
      <c r="A342" t="s">
        <v>389</v>
      </c>
      <c r="B342" t="s">
        <v>53</v>
      </c>
      <c r="C342" t="s">
        <v>29</v>
      </c>
      <c r="D342" t="s">
        <v>21</v>
      </c>
      <c r="E342">
        <v>44</v>
      </c>
      <c r="F342" t="str">
        <f>IF(MediCare_Data[[#This Row],[Patient_Age]]&lt;=18,"0-18",IF(MediCare_Data[[#This Row],[Patient_Age]]&lt;=35,"19-35",IF(MediCare_Data[[#This Row],[Patient_Age]]&lt;=60,"36-60","60+")))</f>
        <v>36-60</v>
      </c>
      <c r="G342" t="s">
        <v>26</v>
      </c>
      <c r="H342" t="s">
        <v>37</v>
      </c>
      <c r="I342" s="2">
        <v>76</v>
      </c>
      <c r="J342" s="11">
        <v>1886</v>
      </c>
      <c r="K342" s="3">
        <v>15.16721094</v>
      </c>
      <c r="L342" s="3">
        <f t="shared" si="5"/>
        <v>0.1516721094</v>
      </c>
      <c r="M342">
        <v>98</v>
      </c>
      <c r="N342" s="6">
        <f>MediCare_Data[[#This Row],[Average_Wait_Time (mins)]]/1440</f>
        <v>6.805555555555555E-2</v>
      </c>
      <c r="O342" s="2">
        <v>4</v>
      </c>
      <c r="P342" s="10">
        <v>13748</v>
      </c>
      <c r="Q342" s="17" t="str">
        <f>IF(AND(MediCare_Data[[#This Row],[Patient_Gender]]="Male", MediCare_Data[[#This Row],[Treatment_Type]]="Maternity"), "Gender-Treatment Mismatch", "Fine")</f>
        <v>Fine</v>
      </c>
      <c r="R342" s="10">
        <f>MediCare_Data[[#This Row],[Revenue_Generated]]-MediCare_Data[[#This Row],[Average_Treatment_Cost]]</f>
        <v>11862</v>
      </c>
      <c r="S342" s="3">
        <f>(MediCare_Data[[#This Row],[Profit]]/MediCare_Data[[#This Row],[Revenue_Generated]])</f>
        <v>0.86281640965958684</v>
      </c>
    </row>
    <row r="343" spans="1:19" x14ac:dyDescent="0.25">
      <c r="A343" t="s">
        <v>390</v>
      </c>
      <c r="B343" t="s">
        <v>82</v>
      </c>
      <c r="C343" t="s">
        <v>29</v>
      </c>
      <c r="D343" t="s">
        <v>16</v>
      </c>
      <c r="E343">
        <v>21</v>
      </c>
      <c r="F343" t="str">
        <f>IF(MediCare_Data[[#This Row],[Patient_Age]]&lt;=18,"0-18",IF(MediCare_Data[[#This Row],[Patient_Age]]&lt;=35,"19-35",IF(MediCare_Data[[#This Row],[Patient_Age]]&lt;=60,"36-60","60+")))</f>
        <v>19-35</v>
      </c>
      <c r="G343" t="s">
        <v>26</v>
      </c>
      <c r="H343" t="s">
        <v>18</v>
      </c>
      <c r="I343" s="2">
        <v>76</v>
      </c>
      <c r="J343" s="11">
        <v>3366</v>
      </c>
      <c r="K343" s="3">
        <v>10.95096903</v>
      </c>
      <c r="L343" s="3">
        <f t="shared" si="5"/>
        <v>0.10950969029999999</v>
      </c>
      <c r="M343">
        <v>27</v>
      </c>
      <c r="N343" s="6">
        <f>MediCare_Data[[#This Row],[Average_Wait_Time (mins)]]/1440</f>
        <v>1.8749999999999999E-2</v>
      </c>
      <c r="O343" s="2">
        <v>1</v>
      </c>
      <c r="P343" s="10">
        <v>22097</v>
      </c>
      <c r="Q343" s="17" t="str">
        <f>IF(AND(MediCare_Data[[#This Row],[Patient_Gender]]="Male", MediCare_Data[[#This Row],[Treatment_Type]]="Maternity"), "Gender-Treatment Mismatch", "Fine")</f>
        <v>Fine</v>
      </c>
      <c r="R343" s="10">
        <f>MediCare_Data[[#This Row],[Revenue_Generated]]-MediCare_Data[[#This Row],[Average_Treatment_Cost]]</f>
        <v>18731</v>
      </c>
      <c r="S343" s="3">
        <f>(MediCare_Data[[#This Row],[Profit]]/MediCare_Data[[#This Row],[Revenue_Generated]])</f>
        <v>0.84767162963298182</v>
      </c>
    </row>
    <row r="344" spans="1:19" x14ac:dyDescent="0.25">
      <c r="A344" t="s">
        <v>391</v>
      </c>
      <c r="B344" t="s">
        <v>49</v>
      </c>
      <c r="C344" t="s">
        <v>20</v>
      </c>
      <c r="D344" t="s">
        <v>32</v>
      </c>
      <c r="E344">
        <v>35</v>
      </c>
      <c r="F344" t="str">
        <f>IF(MediCare_Data[[#This Row],[Patient_Age]]&lt;=18,"0-18",IF(MediCare_Data[[#This Row],[Patient_Age]]&lt;=35,"19-35",IF(MediCare_Data[[#This Row],[Patient_Age]]&lt;=60,"36-60","60+")))</f>
        <v>19-35</v>
      </c>
      <c r="G344" t="s">
        <v>43</v>
      </c>
      <c r="H344" t="s">
        <v>37</v>
      </c>
      <c r="I344" s="2">
        <v>83</v>
      </c>
      <c r="J344" s="11">
        <v>5288</v>
      </c>
      <c r="K344" s="3">
        <v>16.300439860000001</v>
      </c>
      <c r="L344" s="3">
        <f t="shared" si="5"/>
        <v>0.16300439860000002</v>
      </c>
      <c r="M344">
        <v>28</v>
      </c>
      <c r="N344" s="6">
        <f>MediCare_Data[[#This Row],[Average_Wait_Time (mins)]]/1440</f>
        <v>1.9444444444444445E-2</v>
      </c>
      <c r="O344" s="2">
        <v>3</v>
      </c>
      <c r="P344" s="10">
        <v>4092</v>
      </c>
      <c r="Q344" s="17" t="str">
        <f>IF(AND(MediCare_Data[[#This Row],[Patient_Gender]]="Male", MediCare_Data[[#This Row],[Treatment_Type]]="Maternity"), "Gender-Treatment Mismatch", "Fine")</f>
        <v>Fine</v>
      </c>
      <c r="R344" s="10">
        <f>MediCare_Data[[#This Row],[Revenue_Generated]]-MediCare_Data[[#This Row],[Average_Treatment_Cost]]</f>
        <v>-1196</v>
      </c>
      <c r="S344" s="3">
        <f>(MediCare_Data[[#This Row],[Profit]]/MediCare_Data[[#This Row],[Revenue_Generated]])</f>
        <v>-0.29227761485826004</v>
      </c>
    </row>
    <row r="345" spans="1:19" x14ac:dyDescent="0.25">
      <c r="A345" t="s">
        <v>392</v>
      </c>
      <c r="B345" t="s">
        <v>82</v>
      </c>
      <c r="C345" t="s">
        <v>31</v>
      </c>
      <c r="D345" t="s">
        <v>16</v>
      </c>
      <c r="E345">
        <v>14</v>
      </c>
      <c r="F345" t="str">
        <f>IF(MediCare_Data[[#This Row],[Patient_Age]]&lt;=18,"0-18",IF(MediCare_Data[[#This Row],[Patient_Age]]&lt;=35,"19-35",IF(MediCare_Data[[#This Row],[Patient_Age]]&lt;=60,"36-60","60+")))</f>
        <v>0-18</v>
      </c>
      <c r="G345" t="s">
        <v>26</v>
      </c>
      <c r="H345" t="s">
        <v>51</v>
      </c>
      <c r="I345" s="2">
        <v>70</v>
      </c>
      <c r="J345" s="11">
        <v>5990</v>
      </c>
      <c r="K345" s="3">
        <v>18.777706040000002</v>
      </c>
      <c r="L345" s="3">
        <f t="shared" si="5"/>
        <v>0.18777706040000003</v>
      </c>
      <c r="M345">
        <v>64</v>
      </c>
      <c r="N345" s="6">
        <f>MediCare_Data[[#This Row],[Average_Wait_Time (mins)]]/1440</f>
        <v>4.4444444444444446E-2</v>
      </c>
      <c r="O345" s="2">
        <v>3</v>
      </c>
      <c r="P345" s="10">
        <v>23692</v>
      </c>
      <c r="Q345" s="17" t="str">
        <f>IF(AND(MediCare_Data[[#This Row],[Patient_Gender]]="Male", MediCare_Data[[#This Row],[Treatment_Type]]="Maternity"), "Gender-Treatment Mismatch", "Fine")</f>
        <v>Fine</v>
      </c>
      <c r="R345" s="10">
        <f>MediCare_Data[[#This Row],[Revenue_Generated]]-MediCare_Data[[#This Row],[Average_Treatment_Cost]]</f>
        <v>17702</v>
      </c>
      <c r="S345" s="3">
        <f>(MediCare_Data[[#This Row],[Profit]]/MediCare_Data[[#This Row],[Revenue_Generated]])</f>
        <v>0.7471720411953402</v>
      </c>
    </row>
    <row r="346" spans="1:19" x14ac:dyDescent="0.25">
      <c r="A346" t="s">
        <v>393</v>
      </c>
      <c r="B346" t="s">
        <v>64</v>
      </c>
      <c r="C346" t="s">
        <v>42</v>
      </c>
      <c r="D346" t="s">
        <v>21</v>
      </c>
      <c r="E346">
        <v>30</v>
      </c>
      <c r="F346" t="str">
        <f>IF(MediCare_Data[[#This Row],[Patient_Age]]&lt;=18,"0-18",IF(MediCare_Data[[#This Row],[Patient_Age]]&lt;=35,"19-35",IF(MediCare_Data[[#This Row],[Patient_Age]]&lt;=60,"36-60","60+")))</f>
        <v>19-35</v>
      </c>
      <c r="G346" t="s">
        <v>26</v>
      </c>
      <c r="H346" t="s">
        <v>51</v>
      </c>
      <c r="I346" s="2">
        <v>79</v>
      </c>
      <c r="J346" s="11">
        <v>4624</v>
      </c>
      <c r="K346" s="3">
        <v>22.466458320000001</v>
      </c>
      <c r="L346" s="3">
        <f t="shared" si="5"/>
        <v>0.22466458320000002</v>
      </c>
      <c r="M346">
        <v>111</v>
      </c>
      <c r="N346" s="6">
        <f>MediCare_Data[[#This Row],[Average_Wait_Time (mins)]]/1440</f>
        <v>7.7083333333333337E-2</v>
      </c>
      <c r="O346" s="2">
        <v>1</v>
      </c>
      <c r="P346" s="10">
        <v>24862</v>
      </c>
      <c r="Q346" s="17" t="str">
        <f>IF(AND(MediCare_Data[[#This Row],[Patient_Gender]]="Male", MediCare_Data[[#This Row],[Treatment_Type]]="Maternity"), "Gender-Treatment Mismatch", "Fine")</f>
        <v>Fine</v>
      </c>
      <c r="R346" s="10">
        <f>MediCare_Data[[#This Row],[Revenue_Generated]]-MediCare_Data[[#This Row],[Average_Treatment_Cost]]</f>
        <v>20238</v>
      </c>
      <c r="S346" s="3">
        <f>(MediCare_Data[[#This Row],[Profit]]/MediCare_Data[[#This Row],[Revenue_Generated]])</f>
        <v>0.81401335371249295</v>
      </c>
    </row>
    <row r="347" spans="1:19" x14ac:dyDescent="0.25">
      <c r="A347" t="s">
        <v>394</v>
      </c>
      <c r="B347" t="s">
        <v>14</v>
      </c>
      <c r="C347" t="s">
        <v>46</v>
      </c>
      <c r="D347" t="s">
        <v>32</v>
      </c>
      <c r="E347">
        <v>15</v>
      </c>
      <c r="F347" t="str">
        <f>IF(MediCare_Data[[#This Row],[Patient_Age]]&lt;=18,"0-18",IF(MediCare_Data[[#This Row],[Patient_Age]]&lt;=35,"19-35",IF(MediCare_Data[[#This Row],[Patient_Age]]&lt;=60,"36-60","60+")))</f>
        <v>0-18</v>
      </c>
      <c r="G347" t="s">
        <v>43</v>
      </c>
      <c r="H347" t="s">
        <v>18</v>
      </c>
      <c r="I347" s="2">
        <v>82</v>
      </c>
      <c r="J347" s="11">
        <v>8840</v>
      </c>
      <c r="K347" s="3">
        <v>17.725827079999998</v>
      </c>
      <c r="L347" s="3">
        <f t="shared" si="5"/>
        <v>0.17725827079999998</v>
      </c>
      <c r="M347">
        <v>127</v>
      </c>
      <c r="N347" s="6">
        <f>MediCare_Data[[#This Row],[Average_Wait_Time (mins)]]/1440</f>
        <v>8.819444444444445E-2</v>
      </c>
      <c r="O347" s="2">
        <v>3</v>
      </c>
      <c r="P347" s="10">
        <v>25860</v>
      </c>
      <c r="Q347" s="17" t="str">
        <f>IF(AND(MediCare_Data[[#This Row],[Patient_Gender]]="Male", MediCare_Data[[#This Row],[Treatment_Type]]="Maternity"), "Gender-Treatment Mismatch", "Fine")</f>
        <v>Fine</v>
      </c>
      <c r="R347" s="10">
        <f>MediCare_Data[[#This Row],[Revenue_Generated]]-MediCare_Data[[#This Row],[Average_Treatment_Cost]]</f>
        <v>17020</v>
      </c>
      <c r="S347" s="3">
        <f>(MediCare_Data[[#This Row],[Profit]]/MediCare_Data[[#This Row],[Revenue_Generated]])</f>
        <v>0.65815931941221961</v>
      </c>
    </row>
    <row r="348" spans="1:19" x14ac:dyDescent="0.25">
      <c r="A348" t="s">
        <v>395</v>
      </c>
      <c r="B348" t="s">
        <v>74</v>
      </c>
      <c r="C348" t="s">
        <v>31</v>
      </c>
      <c r="D348" t="s">
        <v>32</v>
      </c>
      <c r="E348">
        <v>10</v>
      </c>
      <c r="F348" t="str">
        <f>IF(MediCare_Data[[#This Row],[Patient_Age]]&lt;=18,"0-18",IF(MediCare_Data[[#This Row],[Patient_Age]]&lt;=35,"19-35",IF(MediCare_Data[[#This Row],[Patient_Age]]&lt;=60,"36-60","60+")))</f>
        <v>0-18</v>
      </c>
      <c r="G348" t="s">
        <v>17</v>
      </c>
      <c r="H348" t="s">
        <v>37</v>
      </c>
      <c r="I348" s="2">
        <v>77</v>
      </c>
      <c r="J348" s="11">
        <v>4350</v>
      </c>
      <c r="K348" s="3">
        <v>20.22243074</v>
      </c>
      <c r="L348" s="3">
        <f t="shared" si="5"/>
        <v>0.2022243074</v>
      </c>
      <c r="M348">
        <v>163</v>
      </c>
      <c r="N348" s="6">
        <f>MediCare_Data[[#This Row],[Average_Wait_Time (mins)]]/1440</f>
        <v>0.11319444444444444</v>
      </c>
      <c r="O348" s="2">
        <v>1</v>
      </c>
      <c r="P348" s="10">
        <v>14971</v>
      </c>
      <c r="Q348" s="17" t="str">
        <f>IF(AND(MediCare_Data[[#This Row],[Patient_Gender]]="Male", MediCare_Data[[#This Row],[Treatment_Type]]="Maternity"), "Gender-Treatment Mismatch", "Fine")</f>
        <v>Fine</v>
      </c>
      <c r="R348" s="10">
        <f>MediCare_Data[[#This Row],[Revenue_Generated]]-MediCare_Data[[#This Row],[Average_Treatment_Cost]]</f>
        <v>10621</v>
      </c>
      <c r="S348" s="3">
        <f>(MediCare_Data[[#This Row],[Profit]]/MediCare_Data[[#This Row],[Revenue_Generated]])</f>
        <v>0.70943824727807092</v>
      </c>
    </row>
    <row r="349" spans="1:19" x14ac:dyDescent="0.25">
      <c r="A349" t="s">
        <v>396</v>
      </c>
      <c r="B349" t="s">
        <v>41</v>
      </c>
      <c r="C349" t="s">
        <v>42</v>
      </c>
      <c r="D349" t="s">
        <v>16</v>
      </c>
      <c r="E349">
        <v>23</v>
      </c>
      <c r="F349" t="str">
        <f>IF(MediCare_Data[[#This Row],[Patient_Age]]&lt;=18,"0-18",IF(MediCare_Data[[#This Row],[Patient_Age]]&lt;=35,"19-35",IF(MediCare_Data[[#This Row],[Patient_Age]]&lt;=60,"36-60","60+")))</f>
        <v>19-35</v>
      </c>
      <c r="G349" t="s">
        <v>22</v>
      </c>
      <c r="H349" t="s">
        <v>37</v>
      </c>
      <c r="I349" s="2">
        <v>96</v>
      </c>
      <c r="J349" s="11">
        <v>5915</v>
      </c>
      <c r="K349" s="3">
        <v>8.2014326989999997</v>
      </c>
      <c r="L349" s="3">
        <f t="shared" si="5"/>
        <v>8.2014326989999997E-2</v>
      </c>
      <c r="M349">
        <v>143</v>
      </c>
      <c r="N349" s="6">
        <f>MediCare_Data[[#This Row],[Average_Wait_Time (mins)]]/1440</f>
        <v>9.930555555555555E-2</v>
      </c>
      <c r="O349" s="2">
        <v>4</v>
      </c>
      <c r="P349" s="10">
        <v>15616</v>
      </c>
      <c r="Q349" s="17" t="str">
        <f>IF(AND(MediCare_Data[[#This Row],[Patient_Gender]]="Male", MediCare_Data[[#This Row],[Treatment_Type]]="Maternity"), "Gender-Treatment Mismatch", "Fine")</f>
        <v>Gender-Treatment Mismatch</v>
      </c>
      <c r="R349" s="10">
        <f>MediCare_Data[[#This Row],[Revenue_Generated]]-MediCare_Data[[#This Row],[Average_Treatment_Cost]]</f>
        <v>9701</v>
      </c>
      <c r="S349" s="3">
        <f>(MediCare_Data[[#This Row],[Profit]]/MediCare_Data[[#This Row],[Revenue_Generated]])</f>
        <v>0.62122182377049184</v>
      </c>
    </row>
    <row r="350" spans="1:19" x14ac:dyDescent="0.25">
      <c r="A350" t="s">
        <v>397</v>
      </c>
      <c r="B350" t="s">
        <v>39</v>
      </c>
      <c r="C350" t="s">
        <v>54</v>
      </c>
      <c r="D350" t="s">
        <v>32</v>
      </c>
      <c r="E350">
        <v>88</v>
      </c>
      <c r="F350" t="str">
        <f>IF(MediCare_Data[[#This Row],[Patient_Age]]&lt;=18,"0-18",IF(MediCare_Data[[#This Row],[Patient_Age]]&lt;=35,"19-35",IF(MediCare_Data[[#This Row],[Patient_Age]]&lt;=60,"36-60","60+")))</f>
        <v>60+</v>
      </c>
      <c r="G350" t="s">
        <v>17</v>
      </c>
      <c r="H350" t="s">
        <v>47</v>
      </c>
      <c r="I350" s="2">
        <v>82</v>
      </c>
      <c r="J350" s="11">
        <v>8179</v>
      </c>
      <c r="K350" s="3">
        <v>14.23114949</v>
      </c>
      <c r="L350" s="3">
        <f t="shared" si="5"/>
        <v>0.1423114949</v>
      </c>
      <c r="M350">
        <v>13</v>
      </c>
      <c r="N350" s="6">
        <f>MediCare_Data[[#This Row],[Average_Wait_Time (mins)]]/1440</f>
        <v>9.0277777777777769E-3</v>
      </c>
      <c r="O350" s="2">
        <v>2</v>
      </c>
      <c r="P350" s="10">
        <v>5933</v>
      </c>
      <c r="Q350" s="17" t="str">
        <f>IF(AND(MediCare_Data[[#This Row],[Patient_Gender]]="Male", MediCare_Data[[#This Row],[Treatment_Type]]="Maternity"), "Gender-Treatment Mismatch", "Fine")</f>
        <v>Fine</v>
      </c>
      <c r="R350" s="10">
        <f>MediCare_Data[[#This Row],[Revenue_Generated]]-MediCare_Data[[#This Row],[Average_Treatment_Cost]]</f>
        <v>-2246</v>
      </c>
      <c r="S350" s="3">
        <f>(MediCare_Data[[#This Row],[Profit]]/MediCare_Data[[#This Row],[Revenue_Generated]])</f>
        <v>-0.37856059329175795</v>
      </c>
    </row>
    <row r="351" spans="1:19" x14ac:dyDescent="0.25">
      <c r="A351" t="s">
        <v>398</v>
      </c>
      <c r="B351" t="s">
        <v>74</v>
      </c>
      <c r="C351" t="s">
        <v>36</v>
      </c>
      <c r="D351" t="s">
        <v>16</v>
      </c>
      <c r="E351">
        <v>85</v>
      </c>
      <c r="F351" t="str">
        <f>IF(MediCare_Data[[#This Row],[Patient_Age]]&lt;=18,"0-18",IF(MediCare_Data[[#This Row],[Patient_Age]]&lt;=35,"19-35",IF(MediCare_Data[[#This Row],[Patient_Age]]&lt;=60,"36-60","60+")))</f>
        <v>60+</v>
      </c>
      <c r="G351" t="s">
        <v>17</v>
      </c>
      <c r="H351" t="s">
        <v>47</v>
      </c>
      <c r="I351" s="2">
        <v>54</v>
      </c>
      <c r="J351" s="11">
        <v>7319</v>
      </c>
      <c r="K351" s="3">
        <v>5.1866323970000003</v>
      </c>
      <c r="L351" s="3">
        <f t="shared" si="5"/>
        <v>5.1866323970000003E-2</v>
      </c>
      <c r="M351">
        <v>117</v>
      </c>
      <c r="N351" s="6">
        <f>MediCare_Data[[#This Row],[Average_Wait_Time (mins)]]/1440</f>
        <v>8.1250000000000003E-2</v>
      </c>
      <c r="O351" s="2">
        <v>4</v>
      </c>
      <c r="P351" s="10">
        <v>5926</v>
      </c>
      <c r="Q351" s="17" t="str">
        <f>IF(AND(MediCare_Data[[#This Row],[Patient_Gender]]="Male", MediCare_Data[[#This Row],[Treatment_Type]]="Maternity"), "Gender-Treatment Mismatch", "Fine")</f>
        <v>Fine</v>
      </c>
      <c r="R351" s="10">
        <f>MediCare_Data[[#This Row],[Revenue_Generated]]-MediCare_Data[[#This Row],[Average_Treatment_Cost]]</f>
        <v>-1393</v>
      </c>
      <c r="S351" s="3">
        <f>(MediCare_Data[[#This Row],[Profit]]/MediCare_Data[[#This Row],[Revenue_Generated]])</f>
        <v>-0.23506581167735402</v>
      </c>
    </row>
    <row r="352" spans="1:19" x14ac:dyDescent="0.25">
      <c r="A352" t="s">
        <v>399</v>
      </c>
      <c r="B352" t="s">
        <v>39</v>
      </c>
      <c r="C352" t="s">
        <v>42</v>
      </c>
      <c r="D352" t="s">
        <v>16</v>
      </c>
      <c r="E352">
        <v>19</v>
      </c>
      <c r="F352" t="str">
        <f>IF(MediCare_Data[[#This Row],[Patient_Age]]&lt;=18,"0-18",IF(MediCare_Data[[#This Row],[Patient_Age]]&lt;=35,"19-35",IF(MediCare_Data[[#This Row],[Patient_Age]]&lt;=60,"36-60","60+")))</f>
        <v>19-35</v>
      </c>
      <c r="G352" t="s">
        <v>22</v>
      </c>
      <c r="H352" t="s">
        <v>23</v>
      </c>
      <c r="I352" s="2">
        <v>97</v>
      </c>
      <c r="J352" s="11">
        <v>9828</v>
      </c>
      <c r="K352" s="3">
        <v>9.9335772900000006</v>
      </c>
      <c r="L352" s="3">
        <f t="shared" si="5"/>
        <v>9.9335772900000008E-2</v>
      </c>
      <c r="M352">
        <v>124</v>
      </c>
      <c r="N352" s="6">
        <f>MediCare_Data[[#This Row],[Average_Wait_Time (mins)]]/1440</f>
        <v>8.611111111111111E-2</v>
      </c>
      <c r="O352" s="2">
        <v>2</v>
      </c>
      <c r="P352" s="10">
        <v>26763</v>
      </c>
      <c r="Q352" s="17" t="str">
        <f>IF(AND(MediCare_Data[[#This Row],[Patient_Gender]]="Male", MediCare_Data[[#This Row],[Treatment_Type]]="Maternity"), "Gender-Treatment Mismatch", "Fine")</f>
        <v>Fine</v>
      </c>
      <c r="R352" s="10">
        <f>MediCare_Data[[#This Row],[Revenue_Generated]]-MediCare_Data[[#This Row],[Average_Treatment_Cost]]</f>
        <v>16935</v>
      </c>
      <c r="S352" s="3">
        <f>(MediCare_Data[[#This Row],[Profit]]/MediCare_Data[[#This Row],[Revenue_Generated]])</f>
        <v>0.63277659455218027</v>
      </c>
    </row>
    <row r="353" spans="1:19" x14ac:dyDescent="0.25">
      <c r="A353" t="s">
        <v>400</v>
      </c>
      <c r="B353" t="s">
        <v>53</v>
      </c>
      <c r="C353" t="s">
        <v>29</v>
      </c>
      <c r="D353" t="s">
        <v>32</v>
      </c>
      <c r="E353">
        <v>55</v>
      </c>
      <c r="F353" t="str">
        <f>IF(MediCare_Data[[#This Row],[Patient_Age]]&lt;=18,"0-18",IF(MediCare_Data[[#This Row],[Patient_Age]]&lt;=35,"19-35",IF(MediCare_Data[[#This Row],[Patient_Age]]&lt;=60,"36-60","60+")))</f>
        <v>36-60</v>
      </c>
      <c r="G353" t="s">
        <v>26</v>
      </c>
      <c r="H353" t="s">
        <v>51</v>
      </c>
      <c r="I353" s="2">
        <v>68</v>
      </c>
      <c r="J353" s="11">
        <v>8878</v>
      </c>
      <c r="K353" s="3">
        <v>19.529234299999999</v>
      </c>
      <c r="L353" s="3">
        <f t="shared" si="5"/>
        <v>0.19529234299999998</v>
      </c>
      <c r="M353">
        <v>38</v>
      </c>
      <c r="N353" s="6">
        <f>MediCare_Data[[#This Row],[Average_Wait_Time (mins)]]/1440</f>
        <v>2.6388888888888889E-2</v>
      </c>
      <c r="O353" s="2">
        <v>1</v>
      </c>
      <c r="P353" s="10">
        <v>4969</v>
      </c>
      <c r="Q353" s="17" t="str">
        <f>IF(AND(MediCare_Data[[#This Row],[Patient_Gender]]="Male", MediCare_Data[[#This Row],[Treatment_Type]]="Maternity"), "Gender-Treatment Mismatch", "Fine")</f>
        <v>Fine</v>
      </c>
      <c r="R353" s="10">
        <f>MediCare_Data[[#This Row],[Revenue_Generated]]-MediCare_Data[[#This Row],[Average_Treatment_Cost]]</f>
        <v>-3909</v>
      </c>
      <c r="S353" s="3">
        <f>(MediCare_Data[[#This Row],[Profit]]/MediCare_Data[[#This Row],[Revenue_Generated]])</f>
        <v>-0.78667739987925134</v>
      </c>
    </row>
    <row r="354" spans="1:19" x14ac:dyDescent="0.25">
      <c r="A354" t="s">
        <v>401</v>
      </c>
      <c r="B354" t="s">
        <v>64</v>
      </c>
      <c r="C354" t="s">
        <v>54</v>
      </c>
      <c r="D354" t="s">
        <v>32</v>
      </c>
      <c r="E354">
        <v>50</v>
      </c>
      <c r="F354" t="str">
        <f>IF(MediCare_Data[[#This Row],[Patient_Age]]&lt;=18,"0-18",IF(MediCare_Data[[#This Row],[Patient_Age]]&lt;=35,"19-35",IF(MediCare_Data[[#This Row],[Patient_Age]]&lt;=60,"36-60","60+")))</f>
        <v>36-60</v>
      </c>
      <c r="G354" t="s">
        <v>26</v>
      </c>
      <c r="H354" t="s">
        <v>18</v>
      </c>
      <c r="I354" s="2">
        <v>53</v>
      </c>
      <c r="J354" s="11">
        <v>9942</v>
      </c>
      <c r="K354" s="3">
        <v>24.83619903</v>
      </c>
      <c r="L354" s="3">
        <f t="shared" si="5"/>
        <v>0.2483619903</v>
      </c>
      <c r="M354">
        <v>68</v>
      </c>
      <c r="N354" s="6">
        <f>MediCare_Data[[#This Row],[Average_Wait_Time (mins)]]/1440</f>
        <v>4.7222222222222221E-2</v>
      </c>
      <c r="O354" s="2">
        <v>2</v>
      </c>
      <c r="P354" s="10">
        <v>36733</v>
      </c>
      <c r="Q354" s="17" t="str">
        <f>IF(AND(MediCare_Data[[#This Row],[Patient_Gender]]="Male", MediCare_Data[[#This Row],[Treatment_Type]]="Maternity"), "Gender-Treatment Mismatch", "Fine")</f>
        <v>Fine</v>
      </c>
      <c r="R354" s="10">
        <f>MediCare_Data[[#This Row],[Revenue_Generated]]-MediCare_Data[[#This Row],[Average_Treatment_Cost]]</f>
        <v>26791</v>
      </c>
      <c r="S354" s="3">
        <f>(MediCare_Data[[#This Row],[Profit]]/MediCare_Data[[#This Row],[Revenue_Generated]])</f>
        <v>0.72934418642637411</v>
      </c>
    </row>
    <row r="355" spans="1:19" x14ac:dyDescent="0.25">
      <c r="A355" t="s">
        <v>402</v>
      </c>
      <c r="B355" t="s">
        <v>49</v>
      </c>
      <c r="C355" t="s">
        <v>15</v>
      </c>
      <c r="D355" t="s">
        <v>16</v>
      </c>
      <c r="E355">
        <v>43</v>
      </c>
      <c r="F355" t="str">
        <f>IF(MediCare_Data[[#This Row],[Patient_Age]]&lt;=18,"0-18",IF(MediCare_Data[[#This Row],[Patient_Age]]&lt;=35,"19-35",IF(MediCare_Data[[#This Row],[Patient_Age]]&lt;=60,"36-60","60+")))</f>
        <v>36-60</v>
      </c>
      <c r="G355" t="s">
        <v>26</v>
      </c>
      <c r="H355" t="s">
        <v>33</v>
      </c>
      <c r="I355" s="2">
        <v>84</v>
      </c>
      <c r="J355" s="11">
        <v>1833</v>
      </c>
      <c r="K355" s="3">
        <v>6.9835619920000003</v>
      </c>
      <c r="L355" s="3">
        <f t="shared" si="5"/>
        <v>6.9835619920000008E-2</v>
      </c>
      <c r="M355">
        <v>134</v>
      </c>
      <c r="N355" s="6">
        <f>MediCare_Data[[#This Row],[Average_Wait_Time (mins)]]/1440</f>
        <v>9.3055555555555558E-2</v>
      </c>
      <c r="O355" s="2">
        <v>4</v>
      </c>
      <c r="P355" s="10">
        <v>5319</v>
      </c>
      <c r="Q355" s="17" t="str">
        <f>IF(AND(MediCare_Data[[#This Row],[Patient_Gender]]="Male", MediCare_Data[[#This Row],[Treatment_Type]]="Maternity"), "Gender-Treatment Mismatch", "Fine")</f>
        <v>Fine</v>
      </c>
      <c r="R355" s="10">
        <f>MediCare_Data[[#This Row],[Revenue_Generated]]-MediCare_Data[[#This Row],[Average_Treatment_Cost]]</f>
        <v>3486</v>
      </c>
      <c r="S355" s="3">
        <f>(MediCare_Data[[#This Row],[Profit]]/MediCare_Data[[#This Row],[Revenue_Generated]])</f>
        <v>0.65538635081782293</v>
      </c>
    </row>
    <row r="356" spans="1:19" x14ac:dyDescent="0.25">
      <c r="A356" t="s">
        <v>403</v>
      </c>
      <c r="B356" t="s">
        <v>14</v>
      </c>
      <c r="C356" t="s">
        <v>46</v>
      </c>
      <c r="D356" t="s">
        <v>32</v>
      </c>
      <c r="E356">
        <v>64</v>
      </c>
      <c r="F356" t="str">
        <f>IF(MediCare_Data[[#This Row],[Patient_Age]]&lt;=18,"0-18",IF(MediCare_Data[[#This Row],[Patient_Age]]&lt;=35,"19-35",IF(MediCare_Data[[#This Row],[Patient_Age]]&lt;=60,"36-60","60+")))</f>
        <v>60+</v>
      </c>
      <c r="G356" t="s">
        <v>26</v>
      </c>
      <c r="H356" t="s">
        <v>51</v>
      </c>
      <c r="I356" s="2">
        <v>98</v>
      </c>
      <c r="J356" s="11">
        <v>4650</v>
      </c>
      <c r="K356" s="3">
        <v>13.029886319999999</v>
      </c>
      <c r="L356" s="3">
        <f t="shared" si="5"/>
        <v>0.1302988632</v>
      </c>
      <c r="M356">
        <v>107</v>
      </c>
      <c r="N356" s="6">
        <f>MediCare_Data[[#This Row],[Average_Wait_Time (mins)]]/1440</f>
        <v>7.4305555555555555E-2</v>
      </c>
      <c r="O356" s="2">
        <v>2</v>
      </c>
      <c r="P356" s="10">
        <v>42743</v>
      </c>
      <c r="Q356" s="17" t="str">
        <f>IF(AND(MediCare_Data[[#This Row],[Patient_Gender]]="Male", MediCare_Data[[#This Row],[Treatment_Type]]="Maternity"), "Gender-Treatment Mismatch", "Fine")</f>
        <v>Fine</v>
      </c>
      <c r="R356" s="10">
        <f>MediCare_Data[[#This Row],[Revenue_Generated]]-MediCare_Data[[#This Row],[Average_Treatment_Cost]]</f>
        <v>38093</v>
      </c>
      <c r="S356" s="3">
        <f>(MediCare_Data[[#This Row],[Profit]]/MediCare_Data[[#This Row],[Revenue_Generated]])</f>
        <v>0.8912102566502117</v>
      </c>
    </row>
    <row r="357" spans="1:19" x14ac:dyDescent="0.25">
      <c r="A357" t="s">
        <v>404</v>
      </c>
      <c r="B357" t="s">
        <v>58</v>
      </c>
      <c r="C357" t="s">
        <v>31</v>
      </c>
      <c r="D357" t="s">
        <v>32</v>
      </c>
      <c r="E357">
        <v>75</v>
      </c>
      <c r="F357" t="str">
        <f>IF(MediCare_Data[[#This Row],[Patient_Age]]&lt;=18,"0-18",IF(MediCare_Data[[#This Row],[Patient_Age]]&lt;=35,"19-35",IF(MediCare_Data[[#This Row],[Patient_Age]]&lt;=60,"36-60","60+")))</f>
        <v>60+</v>
      </c>
      <c r="G357" t="s">
        <v>22</v>
      </c>
      <c r="H357" t="s">
        <v>37</v>
      </c>
      <c r="I357" s="2">
        <v>66</v>
      </c>
      <c r="J357" s="11">
        <v>7266</v>
      </c>
      <c r="K357" s="3">
        <v>21.001419370000001</v>
      </c>
      <c r="L357" s="3">
        <f t="shared" si="5"/>
        <v>0.21001419370000002</v>
      </c>
      <c r="M357">
        <v>26</v>
      </c>
      <c r="N357" s="6">
        <f>MediCare_Data[[#This Row],[Average_Wait_Time (mins)]]/1440</f>
        <v>1.8055555555555554E-2</v>
      </c>
      <c r="O357" s="2">
        <v>1</v>
      </c>
      <c r="P357" s="10">
        <v>40876</v>
      </c>
      <c r="Q357" s="17" t="str">
        <f>IF(AND(MediCare_Data[[#This Row],[Patient_Gender]]="Male", MediCare_Data[[#This Row],[Treatment_Type]]="Maternity"), "Gender-Treatment Mismatch", "Fine")</f>
        <v>Fine</v>
      </c>
      <c r="R357" s="10">
        <f>MediCare_Data[[#This Row],[Revenue_Generated]]-MediCare_Data[[#This Row],[Average_Treatment_Cost]]</f>
        <v>33610</v>
      </c>
      <c r="S357" s="3">
        <f>(MediCare_Data[[#This Row],[Profit]]/MediCare_Data[[#This Row],[Revenue_Generated]])</f>
        <v>0.82224288090811237</v>
      </c>
    </row>
    <row r="358" spans="1:19" x14ac:dyDescent="0.25">
      <c r="A358" t="s">
        <v>405</v>
      </c>
      <c r="B358" t="s">
        <v>61</v>
      </c>
      <c r="C358" t="s">
        <v>54</v>
      </c>
      <c r="D358" t="s">
        <v>21</v>
      </c>
      <c r="E358">
        <v>1</v>
      </c>
      <c r="F358" t="str">
        <f>IF(MediCare_Data[[#This Row],[Patient_Age]]&lt;=18,"0-18",IF(MediCare_Data[[#This Row],[Patient_Age]]&lt;=35,"19-35",IF(MediCare_Data[[#This Row],[Patient_Age]]&lt;=60,"36-60","60+")))</f>
        <v>0-18</v>
      </c>
      <c r="G358" t="s">
        <v>26</v>
      </c>
      <c r="H358" t="s">
        <v>51</v>
      </c>
      <c r="I358" s="2">
        <v>93</v>
      </c>
      <c r="J358" s="11">
        <v>3211</v>
      </c>
      <c r="K358" s="3">
        <v>9.0807126930000006</v>
      </c>
      <c r="L358" s="3">
        <f t="shared" si="5"/>
        <v>9.0807126930000009E-2</v>
      </c>
      <c r="M358">
        <v>116</v>
      </c>
      <c r="N358" s="6">
        <f>MediCare_Data[[#This Row],[Average_Wait_Time (mins)]]/1440</f>
        <v>8.0555555555555561E-2</v>
      </c>
      <c r="O358" s="2">
        <v>2</v>
      </c>
      <c r="P358" s="10">
        <v>42909</v>
      </c>
      <c r="Q358" s="17" t="str">
        <f>IF(AND(MediCare_Data[[#This Row],[Patient_Gender]]="Male", MediCare_Data[[#This Row],[Treatment_Type]]="Maternity"), "Gender-Treatment Mismatch", "Fine")</f>
        <v>Fine</v>
      </c>
      <c r="R358" s="10">
        <f>MediCare_Data[[#This Row],[Revenue_Generated]]-MediCare_Data[[#This Row],[Average_Treatment_Cost]]</f>
        <v>39698</v>
      </c>
      <c r="S358" s="3">
        <f>(MediCare_Data[[#This Row],[Profit]]/MediCare_Data[[#This Row],[Revenue_Generated]])</f>
        <v>0.92516721433731852</v>
      </c>
    </row>
    <row r="359" spans="1:19" x14ac:dyDescent="0.25">
      <c r="A359" t="s">
        <v>406</v>
      </c>
      <c r="B359" t="s">
        <v>64</v>
      </c>
      <c r="C359" t="s">
        <v>29</v>
      </c>
      <c r="D359" t="s">
        <v>32</v>
      </c>
      <c r="E359">
        <v>8</v>
      </c>
      <c r="F359" t="str">
        <f>IF(MediCare_Data[[#This Row],[Patient_Age]]&lt;=18,"0-18",IF(MediCare_Data[[#This Row],[Patient_Age]]&lt;=35,"19-35",IF(MediCare_Data[[#This Row],[Patient_Age]]&lt;=60,"36-60","60+")))</f>
        <v>0-18</v>
      </c>
      <c r="G359" t="s">
        <v>26</v>
      </c>
      <c r="H359" t="s">
        <v>47</v>
      </c>
      <c r="I359" s="2">
        <v>77</v>
      </c>
      <c r="J359" s="11">
        <v>5353</v>
      </c>
      <c r="K359" s="3">
        <v>16.101698989999999</v>
      </c>
      <c r="L359" s="3">
        <f t="shared" si="5"/>
        <v>0.16101698989999999</v>
      </c>
      <c r="M359">
        <v>52</v>
      </c>
      <c r="N359" s="6">
        <f>MediCare_Data[[#This Row],[Average_Wait_Time (mins)]]/1440</f>
        <v>3.6111111111111108E-2</v>
      </c>
      <c r="O359" s="2">
        <v>3</v>
      </c>
      <c r="P359" s="10">
        <v>21323</v>
      </c>
      <c r="Q359" s="17" t="str">
        <f>IF(AND(MediCare_Data[[#This Row],[Patient_Gender]]="Male", MediCare_Data[[#This Row],[Treatment_Type]]="Maternity"), "Gender-Treatment Mismatch", "Fine")</f>
        <v>Fine</v>
      </c>
      <c r="R359" s="10">
        <f>MediCare_Data[[#This Row],[Revenue_Generated]]-MediCare_Data[[#This Row],[Average_Treatment_Cost]]</f>
        <v>15970</v>
      </c>
      <c r="S359" s="3">
        <f>(MediCare_Data[[#This Row],[Profit]]/MediCare_Data[[#This Row],[Revenue_Generated]])</f>
        <v>0.74895652581719274</v>
      </c>
    </row>
    <row r="360" spans="1:19" x14ac:dyDescent="0.25">
      <c r="A360" t="s">
        <v>407</v>
      </c>
      <c r="B360" t="s">
        <v>58</v>
      </c>
      <c r="C360" t="s">
        <v>15</v>
      </c>
      <c r="D360" t="s">
        <v>16</v>
      </c>
      <c r="E360">
        <v>71</v>
      </c>
      <c r="F360" t="str">
        <f>IF(MediCare_Data[[#This Row],[Patient_Age]]&lt;=18,"0-18",IF(MediCare_Data[[#This Row],[Patient_Age]]&lt;=35,"19-35",IF(MediCare_Data[[#This Row],[Patient_Age]]&lt;=60,"36-60","60+")))</f>
        <v>60+</v>
      </c>
      <c r="G360" t="s">
        <v>26</v>
      </c>
      <c r="H360" t="s">
        <v>33</v>
      </c>
      <c r="I360" s="2">
        <v>79</v>
      </c>
      <c r="J360" s="11">
        <v>6712</v>
      </c>
      <c r="K360" s="3">
        <v>19.661425919999999</v>
      </c>
      <c r="L360" s="3">
        <f t="shared" si="5"/>
        <v>0.1966142592</v>
      </c>
      <c r="M360">
        <v>89</v>
      </c>
      <c r="N360" s="6">
        <f>MediCare_Data[[#This Row],[Average_Wait_Time (mins)]]/1440</f>
        <v>6.1805555555555558E-2</v>
      </c>
      <c r="O360" s="2">
        <v>4</v>
      </c>
      <c r="P360" s="10">
        <v>17428</v>
      </c>
      <c r="Q360" s="17" t="str">
        <f>IF(AND(MediCare_Data[[#This Row],[Patient_Gender]]="Male", MediCare_Data[[#This Row],[Treatment_Type]]="Maternity"), "Gender-Treatment Mismatch", "Fine")</f>
        <v>Fine</v>
      </c>
      <c r="R360" s="10">
        <f>MediCare_Data[[#This Row],[Revenue_Generated]]-MediCare_Data[[#This Row],[Average_Treatment_Cost]]</f>
        <v>10716</v>
      </c>
      <c r="S360" s="3">
        <f>(MediCare_Data[[#This Row],[Profit]]/MediCare_Data[[#This Row],[Revenue_Generated]])</f>
        <v>0.61487261877438604</v>
      </c>
    </row>
    <row r="361" spans="1:19" x14ac:dyDescent="0.25">
      <c r="A361" t="s">
        <v>408</v>
      </c>
      <c r="B361" t="s">
        <v>64</v>
      </c>
      <c r="C361" t="s">
        <v>36</v>
      </c>
      <c r="D361" t="s">
        <v>16</v>
      </c>
      <c r="E361">
        <v>18</v>
      </c>
      <c r="F361" t="str">
        <f>IF(MediCare_Data[[#This Row],[Patient_Age]]&lt;=18,"0-18",IF(MediCare_Data[[#This Row],[Patient_Age]]&lt;=35,"19-35",IF(MediCare_Data[[#This Row],[Patient_Age]]&lt;=60,"36-60","60+")))</f>
        <v>0-18</v>
      </c>
      <c r="G361" t="s">
        <v>22</v>
      </c>
      <c r="H361" t="s">
        <v>37</v>
      </c>
      <c r="I361" s="2">
        <v>78</v>
      </c>
      <c r="J361" s="11">
        <v>7979</v>
      </c>
      <c r="K361" s="3">
        <v>17.31970901</v>
      </c>
      <c r="L361" s="3">
        <f t="shared" si="5"/>
        <v>0.17319709010000001</v>
      </c>
      <c r="M361">
        <v>171</v>
      </c>
      <c r="N361" s="6">
        <f>MediCare_Data[[#This Row],[Average_Wait_Time (mins)]]/1440</f>
        <v>0.11874999999999999</v>
      </c>
      <c r="O361" s="2">
        <v>3</v>
      </c>
      <c r="P361" s="10">
        <v>35578</v>
      </c>
      <c r="Q361" s="17" t="str">
        <f>IF(AND(MediCare_Data[[#This Row],[Patient_Gender]]="Male", MediCare_Data[[#This Row],[Treatment_Type]]="Maternity"), "Gender-Treatment Mismatch", "Fine")</f>
        <v>Gender-Treatment Mismatch</v>
      </c>
      <c r="R361" s="10">
        <f>MediCare_Data[[#This Row],[Revenue_Generated]]-MediCare_Data[[#This Row],[Average_Treatment_Cost]]</f>
        <v>27599</v>
      </c>
      <c r="S361" s="3">
        <f>(MediCare_Data[[#This Row],[Profit]]/MediCare_Data[[#This Row],[Revenue_Generated]])</f>
        <v>0.77573219405250438</v>
      </c>
    </row>
    <row r="362" spans="1:19" x14ac:dyDescent="0.25">
      <c r="A362" t="s">
        <v>409</v>
      </c>
      <c r="B362" t="s">
        <v>53</v>
      </c>
      <c r="C362" t="s">
        <v>15</v>
      </c>
      <c r="D362" t="s">
        <v>32</v>
      </c>
      <c r="E362">
        <v>55</v>
      </c>
      <c r="F362" t="str">
        <f>IF(MediCare_Data[[#This Row],[Patient_Age]]&lt;=18,"0-18",IF(MediCare_Data[[#This Row],[Patient_Age]]&lt;=35,"19-35",IF(MediCare_Data[[#This Row],[Patient_Age]]&lt;=60,"36-60","60+")))</f>
        <v>36-60</v>
      </c>
      <c r="G362" t="s">
        <v>43</v>
      </c>
      <c r="H362" t="s">
        <v>51</v>
      </c>
      <c r="I362" s="2">
        <v>95</v>
      </c>
      <c r="J362" s="11">
        <v>5908</v>
      </c>
      <c r="K362" s="3">
        <v>8.760494692</v>
      </c>
      <c r="L362" s="3">
        <f t="shared" si="5"/>
        <v>8.7604946919999996E-2</v>
      </c>
      <c r="M362">
        <v>17</v>
      </c>
      <c r="N362" s="6">
        <f>MediCare_Data[[#This Row],[Average_Wait_Time (mins)]]/1440</f>
        <v>1.1805555555555555E-2</v>
      </c>
      <c r="O362" s="2">
        <v>1</v>
      </c>
      <c r="P362" s="10">
        <v>21950</v>
      </c>
      <c r="Q362" s="17" t="str">
        <f>IF(AND(MediCare_Data[[#This Row],[Patient_Gender]]="Male", MediCare_Data[[#This Row],[Treatment_Type]]="Maternity"), "Gender-Treatment Mismatch", "Fine")</f>
        <v>Fine</v>
      </c>
      <c r="R362" s="10">
        <f>MediCare_Data[[#This Row],[Revenue_Generated]]-MediCare_Data[[#This Row],[Average_Treatment_Cost]]</f>
        <v>16042</v>
      </c>
      <c r="S362" s="3">
        <f>(MediCare_Data[[#This Row],[Profit]]/MediCare_Data[[#This Row],[Revenue_Generated]])</f>
        <v>0.73084282460136674</v>
      </c>
    </row>
    <row r="363" spans="1:19" x14ac:dyDescent="0.25">
      <c r="A363" t="s">
        <v>410</v>
      </c>
      <c r="B363" t="s">
        <v>14</v>
      </c>
      <c r="C363" t="s">
        <v>54</v>
      </c>
      <c r="D363" t="s">
        <v>21</v>
      </c>
      <c r="E363">
        <v>21</v>
      </c>
      <c r="F363" t="str">
        <f>IF(MediCare_Data[[#This Row],[Patient_Age]]&lt;=18,"0-18",IF(MediCare_Data[[#This Row],[Patient_Age]]&lt;=35,"19-35",IF(MediCare_Data[[#This Row],[Patient_Age]]&lt;=60,"36-60","60+")))</f>
        <v>19-35</v>
      </c>
      <c r="G363" t="s">
        <v>22</v>
      </c>
      <c r="H363" t="s">
        <v>23</v>
      </c>
      <c r="I363" s="2">
        <v>55</v>
      </c>
      <c r="J363" s="11">
        <v>8215</v>
      </c>
      <c r="K363" s="3">
        <v>12.10769137</v>
      </c>
      <c r="L363" s="3">
        <f t="shared" si="5"/>
        <v>0.1210769137</v>
      </c>
      <c r="M363">
        <v>150</v>
      </c>
      <c r="N363" s="6">
        <f>MediCare_Data[[#This Row],[Average_Wait_Time (mins)]]/1440</f>
        <v>0.10416666666666667</v>
      </c>
      <c r="O363" s="2">
        <v>2</v>
      </c>
      <c r="P363" s="10">
        <v>44041</v>
      </c>
      <c r="Q363" s="17" t="str">
        <f>IF(AND(MediCare_Data[[#This Row],[Patient_Gender]]="Male", MediCare_Data[[#This Row],[Treatment_Type]]="Maternity"), "Gender-Treatment Mismatch", "Fine")</f>
        <v>Fine</v>
      </c>
      <c r="R363" s="10">
        <f>MediCare_Data[[#This Row],[Revenue_Generated]]-MediCare_Data[[#This Row],[Average_Treatment_Cost]]</f>
        <v>35826</v>
      </c>
      <c r="S363" s="3">
        <f>(MediCare_Data[[#This Row],[Profit]]/MediCare_Data[[#This Row],[Revenue_Generated]])</f>
        <v>0.81346926727367685</v>
      </c>
    </row>
    <row r="364" spans="1:19" x14ac:dyDescent="0.25">
      <c r="A364" t="s">
        <v>411</v>
      </c>
      <c r="B364" t="s">
        <v>28</v>
      </c>
      <c r="C364" t="s">
        <v>46</v>
      </c>
      <c r="D364" t="s">
        <v>32</v>
      </c>
      <c r="E364">
        <v>73</v>
      </c>
      <c r="F364" t="str">
        <f>IF(MediCare_Data[[#This Row],[Patient_Age]]&lt;=18,"0-18",IF(MediCare_Data[[#This Row],[Patient_Age]]&lt;=35,"19-35",IF(MediCare_Data[[#This Row],[Patient_Age]]&lt;=60,"36-60","60+")))</f>
        <v>60+</v>
      </c>
      <c r="G364" t="s">
        <v>26</v>
      </c>
      <c r="H364" t="s">
        <v>47</v>
      </c>
      <c r="I364" s="2">
        <v>84</v>
      </c>
      <c r="J364" s="11">
        <v>9442</v>
      </c>
      <c r="K364" s="3">
        <v>20.67583569</v>
      </c>
      <c r="L364" s="3">
        <f t="shared" si="5"/>
        <v>0.2067583569</v>
      </c>
      <c r="M364">
        <v>115</v>
      </c>
      <c r="N364" s="6">
        <f>MediCare_Data[[#This Row],[Average_Wait_Time (mins)]]/1440</f>
        <v>7.9861111111111105E-2</v>
      </c>
      <c r="O364" s="2">
        <v>3</v>
      </c>
      <c r="P364" s="10">
        <v>42789</v>
      </c>
      <c r="Q364" s="17" t="str">
        <f>IF(AND(MediCare_Data[[#This Row],[Patient_Gender]]="Male", MediCare_Data[[#This Row],[Treatment_Type]]="Maternity"), "Gender-Treatment Mismatch", "Fine")</f>
        <v>Fine</v>
      </c>
      <c r="R364" s="10">
        <f>MediCare_Data[[#This Row],[Revenue_Generated]]-MediCare_Data[[#This Row],[Average_Treatment_Cost]]</f>
        <v>33347</v>
      </c>
      <c r="S364" s="3">
        <f>(MediCare_Data[[#This Row],[Profit]]/MediCare_Data[[#This Row],[Revenue_Generated]])</f>
        <v>0.77933581060552948</v>
      </c>
    </row>
    <row r="365" spans="1:19" x14ac:dyDescent="0.25">
      <c r="A365" t="s">
        <v>412</v>
      </c>
      <c r="B365" t="s">
        <v>39</v>
      </c>
      <c r="C365" t="s">
        <v>36</v>
      </c>
      <c r="D365" t="s">
        <v>32</v>
      </c>
      <c r="E365">
        <v>68</v>
      </c>
      <c r="F365" t="str">
        <f>IF(MediCare_Data[[#This Row],[Patient_Age]]&lt;=18,"0-18",IF(MediCare_Data[[#This Row],[Patient_Age]]&lt;=35,"19-35",IF(MediCare_Data[[#This Row],[Patient_Age]]&lt;=60,"36-60","60+")))</f>
        <v>60+</v>
      </c>
      <c r="G365" t="s">
        <v>22</v>
      </c>
      <c r="H365" t="s">
        <v>47</v>
      </c>
      <c r="I365" s="2">
        <v>90</v>
      </c>
      <c r="J365" s="11">
        <v>2262</v>
      </c>
      <c r="K365" s="3">
        <v>16.084530279999999</v>
      </c>
      <c r="L365" s="3">
        <f t="shared" si="5"/>
        <v>0.16084530279999998</v>
      </c>
      <c r="M365">
        <v>17</v>
      </c>
      <c r="N365" s="6">
        <f>MediCare_Data[[#This Row],[Average_Wait_Time (mins)]]/1440</f>
        <v>1.1805555555555555E-2</v>
      </c>
      <c r="O365" s="2">
        <v>3</v>
      </c>
      <c r="P365" s="10">
        <v>19293</v>
      </c>
      <c r="Q365" s="17" t="str">
        <f>IF(AND(MediCare_Data[[#This Row],[Patient_Gender]]="Male", MediCare_Data[[#This Row],[Treatment_Type]]="Maternity"), "Gender-Treatment Mismatch", "Fine")</f>
        <v>Fine</v>
      </c>
      <c r="R365" s="10">
        <f>MediCare_Data[[#This Row],[Revenue_Generated]]-MediCare_Data[[#This Row],[Average_Treatment_Cost]]</f>
        <v>17031</v>
      </c>
      <c r="S365" s="3">
        <f>(MediCare_Data[[#This Row],[Profit]]/MediCare_Data[[#This Row],[Revenue_Generated]])</f>
        <v>0.88275540351422799</v>
      </c>
    </row>
    <row r="366" spans="1:19" x14ac:dyDescent="0.25">
      <c r="A366" t="s">
        <v>413</v>
      </c>
      <c r="B366" t="s">
        <v>14</v>
      </c>
      <c r="C366" t="s">
        <v>42</v>
      </c>
      <c r="D366" t="s">
        <v>21</v>
      </c>
      <c r="E366">
        <v>89</v>
      </c>
      <c r="F366" t="str">
        <f>IF(MediCare_Data[[#This Row],[Patient_Age]]&lt;=18,"0-18",IF(MediCare_Data[[#This Row],[Patient_Age]]&lt;=35,"19-35",IF(MediCare_Data[[#This Row],[Patient_Age]]&lt;=60,"36-60","60+")))</f>
        <v>60+</v>
      </c>
      <c r="G366" t="s">
        <v>17</v>
      </c>
      <c r="H366" t="s">
        <v>51</v>
      </c>
      <c r="I366" s="2">
        <v>86</v>
      </c>
      <c r="J366" s="11">
        <v>7601</v>
      </c>
      <c r="K366" s="3">
        <v>5.1045922709999996</v>
      </c>
      <c r="L366" s="3">
        <f t="shared" si="5"/>
        <v>5.1045922709999997E-2</v>
      </c>
      <c r="M366">
        <v>105</v>
      </c>
      <c r="N366" s="6">
        <f>MediCare_Data[[#This Row],[Average_Wait_Time (mins)]]/1440</f>
        <v>7.2916666666666671E-2</v>
      </c>
      <c r="O366" s="2">
        <v>2</v>
      </c>
      <c r="P366" s="10">
        <v>7364</v>
      </c>
      <c r="Q366" s="17" t="str">
        <f>IF(AND(MediCare_Data[[#This Row],[Patient_Gender]]="Male", MediCare_Data[[#This Row],[Treatment_Type]]="Maternity"), "Gender-Treatment Mismatch", "Fine")</f>
        <v>Fine</v>
      </c>
      <c r="R366" s="10">
        <f>MediCare_Data[[#This Row],[Revenue_Generated]]-MediCare_Data[[#This Row],[Average_Treatment_Cost]]</f>
        <v>-237</v>
      </c>
      <c r="S366" s="3">
        <f>(MediCare_Data[[#This Row],[Profit]]/MediCare_Data[[#This Row],[Revenue_Generated]])</f>
        <v>-3.2183595871808801E-2</v>
      </c>
    </row>
    <row r="367" spans="1:19" x14ac:dyDescent="0.25">
      <c r="A367" t="s">
        <v>414</v>
      </c>
      <c r="B367" t="s">
        <v>41</v>
      </c>
      <c r="C367" t="s">
        <v>46</v>
      </c>
      <c r="D367" t="s">
        <v>32</v>
      </c>
      <c r="E367">
        <v>65</v>
      </c>
      <c r="F367" t="str">
        <f>IF(MediCare_Data[[#This Row],[Patient_Age]]&lt;=18,"0-18",IF(MediCare_Data[[#This Row],[Patient_Age]]&lt;=35,"19-35",IF(MediCare_Data[[#This Row],[Patient_Age]]&lt;=60,"36-60","60+")))</f>
        <v>60+</v>
      </c>
      <c r="G367" t="s">
        <v>17</v>
      </c>
      <c r="H367" t="s">
        <v>37</v>
      </c>
      <c r="I367" s="2">
        <v>73</v>
      </c>
      <c r="J367" s="11">
        <v>8174</v>
      </c>
      <c r="K367" s="3">
        <v>20.219815199999999</v>
      </c>
      <c r="L367" s="3">
        <f t="shared" si="5"/>
        <v>0.20219815199999999</v>
      </c>
      <c r="M367">
        <v>103</v>
      </c>
      <c r="N367" s="6">
        <f>MediCare_Data[[#This Row],[Average_Wait_Time (mins)]]/1440</f>
        <v>7.1527777777777773E-2</v>
      </c>
      <c r="O367" s="2">
        <v>2</v>
      </c>
      <c r="P367" s="10">
        <v>36349</v>
      </c>
      <c r="Q367" s="17" t="str">
        <f>IF(AND(MediCare_Data[[#This Row],[Patient_Gender]]="Male", MediCare_Data[[#This Row],[Treatment_Type]]="Maternity"), "Gender-Treatment Mismatch", "Fine")</f>
        <v>Fine</v>
      </c>
      <c r="R367" s="10">
        <f>MediCare_Data[[#This Row],[Revenue_Generated]]-MediCare_Data[[#This Row],[Average_Treatment_Cost]]</f>
        <v>28175</v>
      </c>
      <c r="S367" s="3">
        <f>(MediCare_Data[[#This Row],[Profit]]/MediCare_Data[[#This Row],[Revenue_Generated]])</f>
        <v>0.77512448760626151</v>
      </c>
    </row>
    <row r="368" spans="1:19" x14ac:dyDescent="0.25">
      <c r="A368" t="s">
        <v>415</v>
      </c>
      <c r="B368" t="s">
        <v>49</v>
      </c>
      <c r="C368" t="s">
        <v>15</v>
      </c>
      <c r="D368" t="s">
        <v>16</v>
      </c>
      <c r="E368">
        <v>34</v>
      </c>
      <c r="F368" t="str">
        <f>IF(MediCare_Data[[#This Row],[Patient_Age]]&lt;=18,"0-18",IF(MediCare_Data[[#This Row],[Patient_Age]]&lt;=35,"19-35",IF(MediCare_Data[[#This Row],[Patient_Age]]&lt;=60,"36-60","60+")))</f>
        <v>19-35</v>
      </c>
      <c r="G368" t="s">
        <v>43</v>
      </c>
      <c r="H368" t="s">
        <v>37</v>
      </c>
      <c r="I368" s="2">
        <v>78</v>
      </c>
      <c r="J368" s="11">
        <v>6622</v>
      </c>
      <c r="K368" s="3">
        <v>5.7062270990000004</v>
      </c>
      <c r="L368" s="3">
        <f t="shared" si="5"/>
        <v>5.7062270990000004E-2</v>
      </c>
      <c r="M368">
        <v>74</v>
      </c>
      <c r="N368" s="6">
        <f>MediCare_Data[[#This Row],[Average_Wait_Time (mins)]]/1440</f>
        <v>5.1388888888888887E-2</v>
      </c>
      <c r="O368" s="2">
        <v>4</v>
      </c>
      <c r="P368" s="10">
        <v>1691</v>
      </c>
      <c r="Q368" s="17" t="str">
        <f>IF(AND(MediCare_Data[[#This Row],[Patient_Gender]]="Male", MediCare_Data[[#This Row],[Treatment_Type]]="Maternity"), "Gender-Treatment Mismatch", "Fine")</f>
        <v>Gender-Treatment Mismatch</v>
      </c>
      <c r="R368" s="10">
        <f>MediCare_Data[[#This Row],[Revenue_Generated]]-MediCare_Data[[#This Row],[Average_Treatment_Cost]]</f>
        <v>-4931</v>
      </c>
      <c r="S368" s="3">
        <f>(MediCare_Data[[#This Row],[Profit]]/MediCare_Data[[#This Row],[Revenue_Generated]])</f>
        <v>-2.9160260201064458</v>
      </c>
    </row>
    <row r="369" spans="1:19" x14ac:dyDescent="0.25">
      <c r="A369" t="s">
        <v>416</v>
      </c>
      <c r="B369" t="s">
        <v>61</v>
      </c>
      <c r="C369" t="s">
        <v>29</v>
      </c>
      <c r="D369" t="s">
        <v>21</v>
      </c>
      <c r="E369">
        <v>12</v>
      </c>
      <c r="F369" t="str">
        <f>IF(MediCare_Data[[#This Row],[Patient_Age]]&lt;=18,"0-18",IF(MediCare_Data[[#This Row],[Patient_Age]]&lt;=35,"19-35",IF(MediCare_Data[[#This Row],[Patient_Age]]&lt;=60,"36-60","60+")))</f>
        <v>0-18</v>
      </c>
      <c r="G369" t="s">
        <v>26</v>
      </c>
      <c r="H369" t="s">
        <v>47</v>
      </c>
      <c r="I369" s="2">
        <v>98</v>
      </c>
      <c r="J369" s="11">
        <v>981</v>
      </c>
      <c r="K369" s="3">
        <v>19.91467565</v>
      </c>
      <c r="L369" s="3">
        <f t="shared" si="5"/>
        <v>0.19914675649999999</v>
      </c>
      <c r="M369">
        <v>48</v>
      </c>
      <c r="N369" s="6">
        <f>MediCare_Data[[#This Row],[Average_Wait_Time (mins)]]/1440</f>
        <v>3.3333333333333333E-2</v>
      </c>
      <c r="O369" s="2">
        <v>3</v>
      </c>
      <c r="P369" s="10">
        <v>31062</v>
      </c>
      <c r="Q369" s="17" t="str">
        <f>IF(AND(MediCare_Data[[#This Row],[Patient_Gender]]="Male", MediCare_Data[[#This Row],[Treatment_Type]]="Maternity"), "Gender-Treatment Mismatch", "Fine")</f>
        <v>Fine</v>
      </c>
      <c r="R369" s="10">
        <f>MediCare_Data[[#This Row],[Revenue_Generated]]-MediCare_Data[[#This Row],[Average_Treatment_Cost]]</f>
        <v>30081</v>
      </c>
      <c r="S369" s="3">
        <f>(MediCare_Data[[#This Row],[Profit]]/MediCare_Data[[#This Row],[Revenue_Generated]])</f>
        <v>0.96841800270426892</v>
      </c>
    </row>
    <row r="370" spans="1:19" x14ac:dyDescent="0.25">
      <c r="A370" t="s">
        <v>417</v>
      </c>
      <c r="B370" t="s">
        <v>14</v>
      </c>
      <c r="C370" t="s">
        <v>46</v>
      </c>
      <c r="D370" t="s">
        <v>21</v>
      </c>
      <c r="E370">
        <v>8</v>
      </c>
      <c r="F370" t="str">
        <f>IF(MediCare_Data[[#This Row],[Patient_Age]]&lt;=18,"0-18",IF(MediCare_Data[[#This Row],[Patient_Age]]&lt;=35,"19-35",IF(MediCare_Data[[#This Row],[Patient_Age]]&lt;=60,"36-60","60+")))</f>
        <v>0-18</v>
      </c>
      <c r="G370" t="s">
        <v>43</v>
      </c>
      <c r="H370" t="s">
        <v>33</v>
      </c>
      <c r="I370" s="2">
        <v>95</v>
      </c>
      <c r="J370" s="11">
        <v>653</v>
      </c>
      <c r="K370" s="3">
        <v>9.0496112029999995</v>
      </c>
      <c r="L370" s="3">
        <f t="shared" si="5"/>
        <v>9.0496112029999992E-2</v>
      </c>
      <c r="M370">
        <v>90</v>
      </c>
      <c r="N370" s="6">
        <f>MediCare_Data[[#This Row],[Average_Wait_Time (mins)]]/1440</f>
        <v>6.25E-2</v>
      </c>
      <c r="O370" s="2">
        <v>3</v>
      </c>
      <c r="P370" s="10">
        <v>1931</v>
      </c>
      <c r="Q370" s="17" t="str">
        <f>IF(AND(MediCare_Data[[#This Row],[Patient_Gender]]="Male", MediCare_Data[[#This Row],[Treatment_Type]]="Maternity"), "Gender-Treatment Mismatch", "Fine")</f>
        <v>Fine</v>
      </c>
      <c r="R370" s="10">
        <f>MediCare_Data[[#This Row],[Revenue_Generated]]-MediCare_Data[[#This Row],[Average_Treatment_Cost]]</f>
        <v>1278</v>
      </c>
      <c r="S370" s="3">
        <f>(MediCare_Data[[#This Row],[Profit]]/MediCare_Data[[#This Row],[Revenue_Generated]])</f>
        <v>0.6618332470222682</v>
      </c>
    </row>
    <row r="371" spans="1:19" x14ac:dyDescent="0.25">
      <c r="A371" t="s">
        <v>418</v>
      </c>
      <c r="B371" t="s">
        <v>56</v>
      </c>
      <c r="C371" t="s">
        <v>36</v>
      </c>
      <c r="D371" t="s">
        <v>16</v>
      </c>
      <c r="E371">
        <v>41</v>
      </c>
      <c r="F371" t="str">
        <f>IF(MediCare_Data[[#This Row],[Patient_Age]]&lt;=18,"0-18",IF(MediCare_Data[[#This Row],[Patient_Age]]&lt;=35,"19-35",IF(MediCare_Data[[#This Row],[Patient_Age]]&lt;=60,"36-60","60+")))</f>
        <v>36-60</v>
      </c>
      <c r="G371" t="s">
        <v>17</v>
      </c>
      <c r="H371" t="s">
        <v>37</v>
      </c>
      <c r="I371" s="2">
        <v>80</v>
      </c>
      <c r="J371" s="11">
        <v>8117</v>
      </c>
      <c r="K371" s="3">
        <v>24.1614696</v>
      </c>
      <c r="L371" s="3">
        <f t="shared" si="5"/>
        <v>0.24161469599999999</v>
      </c>
      <c r="M371">
        <v>93</v>
      </c>
      <c r="N371" s="6">
        <f>MediCare_Data[[#This Row],[Average_Wait_Time (mins)]]/1440</f>
        <v>6.458333333333334E-2</v>
      </c>
      <c r="O371" s="2">
        <v>1</v>
      </c>
      <c r="P371" s="10">
        <v>46896</v>
      </c>
      <c r="Q371" s="17" t="str">
        <f>IF(AND(MediCare_Data[[#This Row],[Patient_Gender]]="Male", MediCare_Data[[#This Row],[Treatment_Type]]="Maternity"), "Gender-Treatment Mismatch", "Fine")</f>
        <v>Gender-Treatment Mismatch</v>
      </c>
      <c r="R371" s="10">
        <f>MediCare_Data[[#This Row],[Revenue_Generated]]-MediCare_Data[[#This Row],[Average_Treatment_Cost]]</f>
        <v>38779</v>
      </c>
      <c r="S371" s="3">
        <f>(MediCare_Data[[#This Row],[Profit]]/MediCare_Data[[#This Row],[Revenue_Generated]])</f>
        <v>0.82691487546912312</v>
      </c>
    </row>
    <row r="372" spans="1:19" x14ac:dyDescent="0.25">
      <c r="A372" t="s">
        <v>419</v>
      </c>
      <c r="B372" t="s">
        <v>35</v>
      </c>
      <c r="C372" t="s">
        <v>15</v>
      </c>
      <c r="D372" t="s">
        <v>32</v>
      </c>
      <c r="E372">
        <v>83</v>
      </c>
      <c r="F372" t="str">
        <f>IF(MediCare_Data[[#This Row],[Patient_Age]]&lt;=18,"0-18",IF(MediCare_Data[[#This Row],[Patient_Age]]&lt;=35,"19-35",IF(MediCare_Data[[#This Row],[Patient_Age]]&lt;=60,"36-60","60+")))</f>
        <v>60+</v>
      </c>
      <c r="G372" t="s">
        <v>43</v>
      </c>
      <c r="H372" t="s">
        <v>23</v>
      </c>
      <c r="I372" s="2">
        <v>84</v>
      </c>
      <c r="J372" s="11">
        <v>2024</v>
      </c>
      <c r="K372" s="3">
        <v>12.358815030000001</v>
      </c>
      <c r="L372" s="3">
        <f t="shared" si="5"/>
        <v>0.1235881503</v>
      </c>
      <c r="M372">
        <v>97</v>
      </c>
      <c r="N372" s="6">
        <f>MediCare_Data[[#This Row],[Average_Wait_Time (mins)]]/1440</f>
        <v>6.7361111111111108E-2</v>
      </c>
      <c r="O372" s="2">
        <v>4</v>
      </c>
      <c r="P372" s="10">
        <v>32730</v>
      </c>
      <c r="Q372" s="17" t="str">
        <f>IF(AND(MediCare_Data[[#This Row],[Patient_Gender]]="Male", MediCare_Data[[#This Row],[Treatment_Type]]="Maternity"), "Gender-Treatment Mismatch", "Fine")</f>
        <v>Fine</v>
      </c>
      <c r="R372" s="10">
        <f>MediCare_Data[[#This Row],[Revenue_Generated]]-MediCare_Data[[#This Row],[Average_Treatment_Cost]]</f>
        <v>30706</v>
      </c>
      <c r="S372" s="3">
        <f>(MediCare_Data[[#This Row],[Profit]]/MediCare_Data[[#This Row],[Revenue_Generated]])</f>
        <v>0.93816070882981972</v>
      </c>
    </row>
    <row r="373" spans="1:19" x14ac:dyDescent="0.25">
      <c r="A373" t="s">
        <v>420</v>
      </c>
      <c r="B373" t="s">
        <v>25</v>
      </c>
      <c r="C373" t="s">
        <v>36</v>
      </c>
      <c r="D373" t="s">
        <v>32</v>
      </c>
      <c r="E373">
        <v>43</v>
      </c>
      <c r="F373" t="str">
        <f>IF(MediCare_Data[[#This Row],[Patient_Age]]&lt;=18,"0-18",IF(MediCare_Data[[#This Row],[Patient_Age]]&lt;=35,"19-35",IF(MediCare_Data[[#This Row],[Patient_Age]]&lt;=60,"36-60","60+")))</f>
        <v>36-60</v>
      </c>
      <c r="G373" t="s">
        <v>17</v>
      </c>
      <c r="H373" t="s">
        <v>18</v>
      </c>
      <c r="I373" s="2">
        <v>82</v>
      </c>
      <c r="J373" s="11">
        <v>2620</v>
      </c>
      <c r="K373" s="3">
        <v>11.53863233</v>
      </c>
      <c r="L373" s="3">
        <f t="shared" si="5"/>
        <v>0.11538632330000001</v>
      </c>
      <c r="M373">
        <v>95</v>
      </c>
      <c r="N373" s="6">
        <f>MediCare_Data[[#This Row],[Average_Wait_Time (mins)]]/1440</f>
        <v>6.5972222222222224E-2</v>
      </c>
      <c r="O373" s="2">
        <v>1</v>
      </c>
      <c r="P373" s="10">
        <v>15226</v>
      </c>
      <c r="Q373" s="17" t="str">
        <f>IF(AND(MediCare_Data[[#This Row],[Patient_Gender]]="Male", MediCare_Data[[#This Row],[Treatment_Type]]="Maternity"), "Gender-Treatment Mismatch", "Fine")</f>
        <v>Fine</v>
      </c>
      <c r="R373" s="10">
        <f>MediCare_Data[[#This Row],[Revenue_Generated]]-MediCare_Data[[#This Row],[Average_Treatment_Cost]]</f>
        <v>12606</v>
      </c>
      <c r="S373" s="3">
        <f>(MediCare_Data[[#This Row],[Profit]]/MediCare_Data[[#This Row],[Revenue_Generated]])</f>
        <v>0.82792591619598055</v>
      </c>
    </row>
    <row r="374" spans="1:19" x14ac:dyDescent="0.25">
      <c r="A374" t="s">
        <v>421</v>
      </c>
      <c r="B374" t="s">
        <v>28</v>
      </c>
      <c r="C374" t="s">
        <v>42</v>
      </c>
      <c r="D374" t="s">
        <v>21</v>
      </c>
      <c r="E374">
        <v>77</v>
      </c>
      <c r="F374" t="str">
        <f>IF(MediCare_Data[[#This Row],[Patient_Age]]&lt;=18,"0-18",IF(MediCare_Data[[#This Row],[Patient_Age]]&lt;=35,"19-35",IF(MediCare_Data[[#This Row],[Patient_Age]]&lt;=60,"36-60","60+")))</f>
        <v>60+</v>
      </c>
      <c r="G374" t="s">
        <v>17</v>
      </c>
      <c r="H374" t="s">
        <v>33</v>
      </c>
      <c r="I374" s="2">
        <v>70</v>
      </c>
      <c r="J374" s="11">
        <v>2843</v>
      </c>
      <c r="K374" s="3">
        <v>7.9777610069999998</v>
      </c>
      <c r="L374" s="3">
        <f t="shared" si="5"/>
        <v>7.9777610070000005E-2</v>
      </c>
      <c r="M374">
        <v>102</v>
      </c>
      <c r="N374" s="6">
        <f>MediCare_Data[[#This Row],[Average_Wait_Time (mins)]]/1440</f>
        <v>7.0833333333333331E-2</v>
      </c>
      <c r="O374" s="2">
        <v>3</v>
      </c>
      <c r="P374" s="10">
        <v>14861</v>
      </c>
      <c r="Q374" s="17" t="str">
        <f>IF(AND(MediCare_Data[[#This Row],[Patient_Gender]]="Male", MediCare_Data[[#This Row],[Treatment_Type]]="Maternity"), "Gender-Treatment Mismatch", "Fine")</f>
        <v>Fine</v>
      </c>
      <c r="R374" s="10">
        <f>MediCare_Data[[#This Row],[Revenue_Generated]]-MediCare_Data[[#This Row],[Average_Treatment_Cost]]</f>
        <v>12018</v>
      </c>
      <c r="S374" s="3">
        <f>(MediCare_Data[[#This Row],[Profit]]/MediCare_Data[[#This Row],[Revenue_Generated]])</f>
        <v>0.80869389677679837</v>
      </c>
    </row>
    <row r="375" spans="1:19" x14ac:dyDescent="0.25">
      <c r="A375" t="s">
        <v>422</v>
      </c>
      <c r="B375" t="s">
        <v>28</v>
      </c>
      <c r="C375" t="s">
        <v>31</v>
      </c>
      <c r="D375" t="s">
        <v>16</v>
      </c>
      <c r="E375">
        <v>35</v>
      </c>
      <c r="F375" t="str">
        <f>IF(MediCare_Data[[#This Row],[Patient_Age]]&lt;=18,"0-18",IF(MediCare_Data[[#This Row],[Patient_Age]]&lt;=35,"19-35",IF(MediCare_Data[[#This Row],[Patient_Age]]&lt;=60,"36-60","60+")))</f>
        <v>19-35</v>
      </c>
      <c r="G375" t="s">
        <v>22</v>
      </c>
      <c r="H375" t="s">
        <v>33</v>
      </c>
      <c r="I375" s="2">
        <v>81</v>
      </c>
      <c r="J375" s="11">
        <v>5636</v>
      </c>
      <c r="K375" s="3">
        <v>11.11208431</v>
      </c>
      <c r="L375" s="3">
        <f t="shared" si="5"/>
        <v>0.11112084310000001</v>
      </c>
      <c r="M375">
        <v>95</v>
      </c>
      <c r="N375" s="6">
        <f>MediCare_Data[[#This Row],[Average_Wait_Time (mins)]]/1440</f>
        <v>6.5972222222222224E-2</v>
      </c>
      <c r="O375" s="2">
        <v>1</v>
      </c>
      <c r="P375" s="10">
        <v>32301</v>
      </c>
      <c r="Q375" s="17" t="str">
        <f>IF(AND(MediCare_Data[[#This Row],[Patient_Gender]]="Male", MediCare_Data[[#This Row],[Treatment_Type]]="Maternity"), "Gender-Treatment Mismatch", "Fine")</f>
        <v>Fine</v>
      </c>
      <c r="R375" s="10">
        <f>MediCare_Data[[#This Row],[Revenue_Generated]]-MediCare_Data[[#This Row],[Average_Treatment_Cost]]</f>
        <v>26665</v>
      </c>
      <c r="S375" s="3">
        <f>(MediCare_Data[[#This Row],[Profit]]/MediCare_Data[[#This Row],[Revenue_Generated]])</f>
        <v>0.82551623788737194</v>
      </c>
    </row>
    <row r="376" spans="1:19" x14ac:dyDescent="0.25">
      <c r="A376" t="s">
        <v>423</v>
      </c>
      <c r="B376" t="s">
        <v>28</v>
      </c>
      <c r="C376" t="s">
        <v>20</v>
      </c>
      <c r="D376" t="s">
        <v>21</v>
      </c>
      <c r="E376">
        <v>41</v>
      </c>
      <c r="F376" t="str">
        <f>IF(MediCare_Data[[#This Row],[Patient_Age]]&lt;=18,"0-18",IF(MediCare_Data[[#This Row],[Patient_Age]]&lt;=35,"19-35",IF(MediCare_Data[[#This Row],[Patient_Age]]&lt;=60,"36-60","60+")))</f>
        <v>36-60</v>
      </c>
      <c r="G376" t="s">
        <v>26</v>
      </c>
      <c r="H376" t="s">
        <v>37</v>
      </c>
      <c r="I376" s="2">
        <v>72</v>
      </c>
      <c r="J376" s="11">
        <v>6260</v>
      </c>
      <c r="K376" s="3">
        <v>22.533015240000001</v>
      </c>
      <c r="L376" s="3">
        <f t="shared" si="5"/>
        <v>0.22533015240000001</v>
      </c>
      <c r="M376">
        <v>53</v>
      </c>
      <c r="N376" s="6">
        <f>MediCare_Data[[#This Row],[Average_Wait_Time (mins)]]/1440</f>
        <v>3.6805555555555557E-2</v>
      </c>
      <c r="O376" s="2">
        <v>3</v>
      </c>
      <c r="P376" s="10">
        <v>49243</v>
      </c>
      <c r="Q376" s="17" t="str">
        <f>IF(AND(MediCare_Data[[#This Row],[Patient_Gender]]="Male", MediCare_Data[[#This Row],[Treatment_Type]]="Maternity"), "Gender-Treatment Mismatch", "Fine")</f>
        <v>Fine</v>
      </c>
      <c r="R376" s="10">
        <f>MediCare_Data[[#This Row],[Revenue_Generated]]-MediCare_Data[[#This Row],[Average_Treatment_Cost]]</f>
        <v>42983</v>
      </c>
      <c r="S376" s="3">
        <f>(MediCare_Data[[#This Row],[Profit]]/MediCare_Data[[#This Row],[Revenue_Generated]])</f>
        <v>0.87287533253457339</v>
      </c>
    </row>
    <row r="377" spans="1:19" x14ac:dyDescent="0.25">
      <c r="A377" t="s">
        <v>424</v>
      </c>
      <c r="B377" t="s">
        <v>14</v>
      </c>
      <c r="C377" t="s">
        <v>20</v>
      </c>
      <c r="D377" t="s">
        <v>32</v>
      </c>
      <c r="E377">
        <v>25</v>
      </c>
      <c r="F377" t="str">
        <f>IF(MediCare_Data[[#This Row],[Patient_Age]]&lt;=18,"0-18",IF(MediCare_Data[[#This Row],[Patient_Age]]&lt;=35,"19-35",IF(MediCare_Data[[#This Row],[Patient_Age]]&lt;=60,"36-60","60+")))</f>
        <v>19-35</v>
      </c>
      <c r="G377" t="s">
        <v>17</v>
      </c>
      <c r="H377" t="s">
        <v>23</v>
      </c>
      <c r="I377" s="2">
        <v>82</v>
      </c>
      <c r="J377" s="11">
        <v>1740</v>
      </c>
      <c r="K377" s="3">
        <v>24.926686750000002</v>
      </c>
      <c r="L377" s="3">
        <f t="shared" si="5"/>
        <v>0.24926686750000002</v>
      </c>
      <c r="M377">
        <v>146</v>
      </c>
      <c r="N377" s="6">
        <f>MediCare_Data[[#This Row],[Average_Wait_Time (mins)]]/1440</f>
        <v>0.10138888888888889</v>
      </c>
      <c r="O377" s="2">
        <v>3</v>
      </c>
      <c r="P377" s="10">
        <v>23766</v>
      </c>
      <c r="Q377" s="17" t="str">
        <f>IF(AND(MediCare_Data[[#This Row],[Patient_Gender]]="Male", MediCare_Data[[#This Row],[Treatment_Type]]="Maternity"), "Gender-Treatment Mismatch", "Fine")</f>
        <v>Fine</v>
      </c>
      <c r="R377" s="10">
        <f>MediCare_Data[[#This Row],[Revenue_Generated]]-MediCare_Data[[#This Row],[Average_Treatment_Cost]]</f>
        <v>22026</v>
      </c>
      <c r="S377" s="3">
        <f>(MediCare_Data[[#This Row],[Profit]]/MediCare_Data[[#This Row],[Revenue_Generated]])</f>
        <v>0.9267861651098207</v>
      </c>
    </row>
    <row r="378" spans="1:19" x14ac:dyDescent="0.25">
      <c r="A378" t="s">
        <v>425</v>
      </c>
      <c r="B378" t="s">
        <v>35</v>
      </c>
      <c r="C378" t="s">
        <v>29</v>
      </c>
      <c r="D378" t="s">
        <v>32</v>
      </c>
      <c r="E378">
        <v>53</v>
      </c>
      <c r="F378" t="str">
        <f>IF(MediCare_Data[[#This Row],[Patient_Age]]&lt;=18,"0-18",IF(MediCare_Data[[#This Row],[Patient_Age]]&lt;=35,"19-35",IF(MediCare_Data[[#This Row],[Patient_Age]]&lt;=60,"36-60","60+")))</f>
        <v>36-60</v>
      </c>
      <c r="G378" t="s">
        <v>26</v>
      </c>
      <c r="H378" t="s">
        <v>37</v>
      </c>
      <c r="I378" s="2">
        <v>52</v>
      </c>
      <c r="J378" s="11">
        <v>560</v>
      </c>
      <c r="K378" s="3">
        <v>12.36619061</v>
      </c>
      <c r="L378" s="3">
        <f t="shared" si="5"/>
        <v>0.1236619061</v>
      </c>
      <c r="M378">
        <v>174</v>
      </c>
      <c r="N378" s="6">
        <f>MediCare_Data[[#This Row],[Average_Wait_Time (mins)]]/1440</f>
        <v>0.12083333333333333</v>
      </c>
      <c r="O378" s="2">
        <v>1</v>
      </c>
      <c r="P378" s="10">
        <v>37174</v>
      </c>
      <c r="Q378" s="17" t="str">
        <f>IF(AND(MediCare_Data[[#This Row],[Patient_Gender]]="Male", MediCare_Data[[#This Row],[Treatment_Type]]="Maternity"), "Gender-Treatment Mismatch", "Fine")</f>
        <v>Fine</v>
      </c>
      <c r="R378" s="10">
        <f>MediCare_Data[[#This Row],[Revenue_Generated]]-MediCare_Data[[#This Row],[Average_Treatment_Cost]]</f>
        <v>36614</v>
      </c>
      <c r="S378" s="3">
        <f>(MediCare_Data[[#This Row],[Profit]]/MediCare_Data[[#This Row],[Revenue_Generated]])</f>
        <v>0.98493570775273043</v>
      </c>
    </row>
    <row r="379" spans="1:19" x14ac:dyDescent="0.25">
      <c r="A379" t="s">
        <v>426</v>
      </c>
      <c r="B379" t="s">
        <v>53</v>
      </c>
      <c r="C379" t="s">
        <v>36</v>
      </c>
      <c r="D379" t="s">
        <v>16</v>
      </c>
      <c r="E379">
        <v>49</v>
      </c>
      <c r="F379" t="str">
        <f>IF(MediCare_Data[[#This Row],[Patient_Age]]&lt;=18,"0-18",IF(MediCare_Data[[#This Row],[Patient_Age]]&lt;=35,"19-35",IF(MediCare_Data[[#This Row],[Patient_Age]]&lt;=60,"36-60","60+")))</f>
        <v>36-60</v>
      </c>
      <c r="G379" t="s">
        <v>43</v>
      </c>
      <c r="H379" t="s">
        <v>47</v>
      </c>
      <c r="I379" s="2">
        <v>67</v>
      </c>
      <c r="J379" s="11">
        <v>9630</v>
      </c>
      <c r="K379" s="3">
        <v>13.972212620000001</v>
      </c>
      <c r="L379" s="3">
        <f t="shared" si="5"/>
        <v>0.13972212620000002</v>
      </c>
      <c r="M379">
        <v>83</v>
      </c>
      <c r="N379" s="6">
        <f>MediCare_Data[[#This Row],[Average_Wait_Time (mins)]]/1440</f>
        <v>5.7638888888888892E-2</v>
      </c>
      <c r="O379" s="2">
        <v>1</v>
      </c>
      <c r="P379" s="10">
        <v>42107</v>
      </c>
      <c r="Q379" s="17" t="str">
        <f>IF(AND(MediCare_Data[[#This Row],[Patient_Gender]]="Male", MediCare_Data[[#This Row],[Treatment_Type]]="Maternity"), "Gender-Treatment Mismatch", "Fine")</f>
        <v>Fine</v>
      </c>
      <c r="R379" s="10">
        <f>MediCare_Data[[#This Row],[Revenue_Generated]]-MediCare_Data[[#This Row],[Average_Treatment_Cost]]</f>
        <v>32477</v>
      </c>
      <c r="S379" s="3">
        <f>(MediCare_Data[[#This Row],[Profit]]/MediCare_Data[[#This Row],[Revenue_Generated]])</f>
        <v>0.77129693400147248</v>
      </c>
    </row>
    <row r="380" spans="1:19" x14ac:dyDescent="0.25">
      <c r="A380" t="s">
        <v>427</v>
      </c>
      <c r="B380" t="s">
        <v>64</v>
      </c>
      <c r="C380" t="s">
        <v>15</v>
      </c>
      <c r="D380" t="s">
        <v>21</v>
      </c>
      <c r="E380">
        <v>88</v>
      </c>
      <c r="F380" t="str">
        <f>IF(MediCare_Data[[#This Row],[Patient_Age]]&lt;=18,"0-18",IF(MediCare_Data[[#This Row],[Patient_Age]]&lt;=35,"19-35",IF(MediCare_Data[[#This Row],[Patient_Age]]&lt;=60,"36-60","60+")))</f>
        <v>60+</v>
      </c>
      <c r="G380" t="s">
        <v>43</v>
      </c>
      <c r="H380" t="s">
        <v>23</v>
      </c>
      <c r="I380" s="2">
        <v>74</v>
      </c>
      <c r="J380" s="11">
        <v>2139</v>
      </c>
      <c r="K380" s="3">
        <v>19.441418760000001</v>
      </c>
      <c r="L380" s="3">
        <f t="shared" si="5"/>
        <v>0.19441418760000001</v>
      </c>
      <c r="M380">
        <v>45</v>
      </c>
      <c r="N380" s="6">
        <f>MediCare_Data[[#This Row],[Average_Wait_Time (mins)]]/1440</f>
        <v>3.125E-2</v>
      </c>
      <c r="O380" s="2">
        <v>2</v>
      </c>
      <c r="P380" s="10">
        <v>18695</v>
      </c>
      <c r="Q380" s="17" t="str">
        <f>IF(AND(MediCare_Data[[#This Row],[Patient_Gender]]="Male", MediCare_Data[[#This Row],[Treatment_Type]]="Maternity"), "Gender-Treatment Mismatch", "Fine")</f>
        <v>Fine</v>
      </c>
      <c r="R380" s="10">
        <f>MediCare_Data[[#This Row],[Revenue_Generated]]-MediCare_Data[[#This Row],[Average_Treatment_Cost]]</f>
        <v>16556</v>
      </c>
      <c r="S380" s="3">
        <f>(MediCare_Data[[#This Row],[Profit]]/MediCare_Data[[#This Row],[Revenue_Generated]])</f>
        <v>0.88558438085049473</v>
      </c>
    </row>
    <row r="381" spans="1:19" x14ac:dyDescent="0.25">
      <c r="A381" t="s">
        <v>428</v>
      </c>
      <c r="B381" t="s">
        <v>39</v>
      </c>
      <c r="C381" t="s">
        <v>15</v>
      </c>
      <c r="D381" t="s">
        <v>21</v>
      </c>
      <c r="E381">
        <v>84</v>
      </c>
      <c r="F381" t="str">
        <f>IF(MediCare_Data[[#This Row],[Patient_Age]]&lt;=18,"0-18",IF(MediCare_Data[[#This Row],[Patient_Age]]&lt;=35,"19-35",IF(MediCare_Data[[#This Row],[Patient_Age]]&lt;=60,"36-60","60+")))</f>
        <v>60+</v>
      </c>
      <c r="G381" t="s">
        <v>17</v>
      </c>
      <c r="H381" t="s">
        <v>33</v>
      </c>
      <c r="I381" s="2">
        <v>91</v>
      </c>
      <c r="J381" s="11">
        <v>6685</v>
      </c>
      <c r="K381" s="3">
        <v>22.723915609999999</v>
      </c>
      <c r="L381" s="3">
        <f t="shared" si="5"/>
        <v>0.22723915609999998</v>
      </c>
      <c r="M381">
        <v>110</v>
      </c>
      <c r="N381" s="6">
        <f>MediCare_Data[[#This Row],[Average_Wait_Time (mins)]]/1440</f>
        <v>7.6388888888888895E-2</v>
      </c>
      <c r="O381" s="2">
        <v>2</v>
      </c>
      <c r="P381" s="10">
        <v>42347</v>
      </c>
      <c r="Q381" s="17" t="str">
        <f>IF(AND(MediCare_Data[[#This Row],[Patient_Gender]]="Male", MediCare_Data[[#This Row],[Treatment_Type]]="Maternity"), "Gender-Treatment Mismatch", "Fine")</f>
        <v>Fine</v>
      </c>
      <c r="R381" s="10">
        <f>MediCare_Data[[#This Row],[Revenue_Generated]]-MediCare_Data[[#This Row],[Average_Treatment_Cost]]</f>
        <v>35662</v>
      </c>
      <c r="S381" s="3">
        <f>(MediCare_Data[[#This Row],[Profit]]/MediCare_Data[[#This Row],[Revenue_Generated]])</f>
        <v>0.84213757763241792</v>
      </c>
    </row>
    <row r="382" spans="1:19" x14ac:dyDescent="0.25">
      <c r="A382" t="s">
        <v>429</v>
      </c>
      <c r="B382" t="s">
        <v>58</v>
      </c>
      <c r="C382" t="s">
        <v>54</v>
      </c>
      <c r="D382" t="s">
        <v>32</v>
      </c>
      <c r="E382">
        <v>44</v>
      </c>
      <c r="F382" t="str">
        <f>IF(MediCare_Data[[#This Row],[Patient_Age]]&lt;=18,"0-18",IF(MediCare_Data[[#This Row],[Patient_Age]]&lt;=35,"19-35",IF(MediCare_Data[[#This Row],[Patient_Age]]&lt;=60,"36-60","60+")))</f>
        <v>36-60</v>
      </c>
      <c r="G382" t="s">
        <v>26</v>
      </c>
      <c r="H382" t="s">
        <v>33</v>
      </c>
      <c r="I382" s="2">
        <v>80</v>
      </c>
      <c r="J382" s="11">
        <v>8470</v>
      </c>
      <c r="K382" s="3">
        <v>16.86088668</v>
      </c>
      <c r="L382" s="3">
        <f t="shared" si="5"/>
        <v>0.16860886680000001</v>
      </c>
      <c r="M382">
        <v>165</v>
      </c>
      <c r="N382" s="6">
        <f>MediCare_Data[[#This Row],[Average_Wait_Time (mins)]]/1440</f>
        <v>0.11458333333333333</v>
      </c>
      <c r="O382" s="2">
        <v>2</v>
      </c>
      <c r="P382" s="10">
        <v>4121</v>
      </c>
      <c r="Q382" s="17" t="str">
        <f>IF(AND(MediCare_Data[[#This Row],[Patient_Gender]]="Male", MediCare_Data[[#This Row],[Treatment_Type]]="Maternity"), "Gender-Treatment Mismatch", "Fine")</f>
        <v>Fine</v>
      </c>
      <c r="R382" s="10">
        <f>MediCare_Data[[#This Row],[Revenue_Generated]]-MediCare_Data[[#This Row],[Average_Treatment_Cost]]</f>
        <v>-4349</v>
      </c>
      <c r="S382" s="3">
        <f>(MediCare_Data[[#This Row],[Profit]]/MediCare_Data[[#This Row],[Revenue_Generated]])</f>
        <v>-1.0553263770929386</v>
      </c>
    </row>
    <row r="383" spans="1:19" x14ac:dyDescent="0.25">
      <c r="A383" t="s">
        <v>430</v>
      </c>
      <c r="B383" t="s">
        <v>58</v>
      </c>
      <c r="C383" t="s">
        <v>15</v>
      </c>
      <c r="D383" t="s">
        <v>16</v>
      </c>
      <c r="E383">
        <v>27</v>
      </c>
      <c r="F383" t="str">
        <f>IF(MediCare_Data[[#This Row],[Patient_Age]]&lt;=18,"0-18",IF(MediCare_Data[[#This Row],[Patient_Age]]&lt;=35,"19-35",IF(MediCare_Data[[#This Row],[Patient_Age]]&lt;=60,"36-60","60+")))</f>
        <v>19-35</v>
      </c>
      <c r="G383" t="s">
        <v>17</v>
      </c>
      <c r="H383" t="s">
        <v>47</v>
      </c>
      <c r="I383" s="2">
        <v>52</v>
      </c>
      <c r="J383" s="11">
        <v>1752</v>
      </c>
      <c r="K383" s="3">
        <v>12.830513959999999</v>
      </c>
      <c r="L383" s="3">
        <f t="shared" si="5"/>
        <v>0.12830513960000001</v>
      </c>
      <c r="M383">
        <v>179</v>
      </c>
      <c r="N383" s="6">
        <f>MediCare_Data[[#This Row],[Average_Wait_Time (mins)]]/1440</f>
        <v>0.12430555555555556</v>
      </c>
      <c r="O383" s="2">
        <v>3</v>
      </c>
      <c r="P383" s="10">
        <v>19257</v>
      </c>
      <c r="Q383" s="17" t="str">
        <f>IF(AND(MediCare_Data[[#This Row],[Patient_Gender]]="Male", MediCare_Data[[#This Row],[Treatment_Type]]="Maternity"), "Gender-Treatment Mismatch", "Fine")</f>
        <v>Fine</v>
      </c>
      <c r="R383" s="10">
        <f>MediCare_Data[[#This Row],[Revenue_Generated]]-MediCare_Data[[#This Row],[Average_Treatment_Cost]]</f>
        <v>17505</v>
      </c>
      <c r="S383" s="3">
        <f>(MediCare_Data[[#This Row],[Profit]]/MediCare_Data[[#This Row],[Revenue_Generated]])</f>
        <v>0.90902009658825367</v>
      </c>
    </row>
    <row r="384" spans="1:19" x14ac:dyDescent="0.25">
      <c r="A384" t="s">
        <v>431</v>
      </c>
      <c r="B384" t="s">
        <v>28</v>
      </c>
      <c r="C384" t="s">
        <v>46</v>
      </c>
      <c r="D384" t="s">
        <v>32</v>
      </c>
      <c r="E384">
        <v>19</v>
      </c>
      <c r="F384" t="str">
        <f>IF(MediCare_Data[[#This Row],[Patient_Age]]&lt;=18,"0-18",IF(MediCare_Data[[#This Row],[Patient_Age]]&lt;=35,"19-35",IF(MediCare_Data[[#This Row],[Patient_Age]]&lt;=60,"36-60","60+")))</f>
        <v>19-35</v>
      </c>
      <c r="G384" t="s">
        <v>17</v>
      </c>
      <c r="H384" t="s">
        <v>51</v>
      </c>
      <c r="I384" s="2">
        <v>89</v>
      </c>
      <c r="J384" s="11">
        <v>4703</v>
      </c>
      <c r="K384" s="3">
        <v>13.25243682</v>
      </c>
      <c r="L384" s="3">
        <f t="shared" si="5"/>
        <v>0.13252436819999999</v>
      </c>
      <c r="M384">
        <v>179</v>
      </c>
      <c r="N384" s="6">
        <f>MediCare_Data[[#This Row],[Average_Wait_Time (mins)]]/1440</f>
        <v>0.12430555555555556</v>
      </c>
      <c r="O384" s="2">
        <v>1</v>
      </c>
      <c r="P384" s="10">
        <v>29164</v>
      </c>
      <c r="Q384" s="17" t="str">
        <f>IF(AND(MediCare_Data[[#This Row],[Patient_Gender]]="Male", MediCare_Data[[#This Row],[Treatment_Type]]="Maternity"), "Gender-Treatment Mismatch", "Fine")</f>
        <v>Fine</v>
      </c>
      <c r="R384" s="10">
        <f>MediCare_Data[[#This Row],[Revenue_Generated]]-MediCare_Data[[#This Row],[Average_Treatment_Cost]]</f>
        <v>24461</v>
      </c>
      <c r="S384" s="3">
        <f>(MediCare_Data[[#This Row],[Profit]]/MediCare_Data[[#This Row],[Revenue_Generated]])</f>
        <v>0.83873954190097377</v>
      </c>
    </row>
    <row r="385" spans="1:19" x14ac:dyDescent="0.25">
      <c r="A385" t="s">
        <v>432</v>
      </c>
      <c r="B385" t="s">
        <v>35</v>
      </c>
      <c r="C385" t="s">
        <v>31</v>
      </c>
      <c r="D385" t="s">
        <v>16</v>
      </c>
      <c r="E385">
        <v>41</v>
      </c>
      <c r="F385" t="str">
        <f>IF(MediCare_Data[[#This Row],[Patient_Age]]&lt;=18,"0-18",IF(MediCare_Data[[#This Row],[Patient_Age]]&lt;=35,"19-35",IF(MediCare_Data[[#This Row],[Patient_Age]]&lt;=60,"36-60","60+")))</f>
        <v>36-60</v>
      </c>
      <c r="G385" t="s">
        <v>22</v>
      </c>
      <c r="H385" t="s">
        <v>33</v>
      </c>
      <c r="I385" s="2">
        <v>95</v>
      </c>
      <c r="J385" s="11">
        <v>8863</v>
      </c>
      <c r="K385" s="3">
        <v>18.91236293</v>
      </c>
      <c r="L385" s="3">
        <f t="shared" si="5"/>
        <v>0.18912362930000001</v>
      </c>
      <c r="M385">
        <v>113</v>
      </c>
      <c r="N385" s="6">
        <f>MediCare_Data[[#This Row],[Average_Wait_Time (mins)]]/1440</f>
        <v>7.8472222222222221E-2</v>
      </c>
      <c r="O385" s="2">
        <v>4</v>
      </c>
      <c r="P385" s="10">
        <v>26491</v>
      </c>
      <c r="Q385" s="17" t="str">
        <f>IF(AND(MediCare_Data[[#This Row],[Patient_Gender]]="Male", MediCare_Data[[#This Row],[Treatment_Type]]="Maternity"), "Gender-Treatment Mismatch", "Fine")</f>
        <v>Fine</v>
      </c>
      <c r="R385" s="10">
        <f>MediCare_Data[[#This Row],[Revenue_Generated]]-MediCare_Data[[#This Row],[Average_Treatment_Cost]]</f>
        <v>17628</v>
      </c>
      <c r="S385" s="3">
        <f>(MediCare_Data[[#This Row],[Profit]]/MediCare_Data[[#This Row],[Revenue_Generated]])</f>
        <v>0.66543354346759276</v>
      </c>
    </row>
    <row r="386" spans="1:19" x14ac:dyDescent="0.25">
      <c r="A386" t="s">
        <v>433</v>
      </c>
      <c r="B386" t="s">
        <v>82</v>
      </c>
      <c r="C386" t="s">
        <v>29</v>
      </c>
      <c r="D386" t="s">
        <v>32</v>
      </c>
      <c r="E386">
        <v>46</v>
      </c>
      <c r="F386" t="str">
        <f>IF(MediCare_Data[[#This Row],[Patient_Age]]&lt;=18,"0-18",IF(MediCare_Data[[#This Row],[Patient_Age]]&lt;=35,"19-35",IF(MediCare_Data[[#This Row],[Patient_Age]]&lt;=60,"36-60","60+")))</f>
        <v>36-60</v>
      </c>
      <c r="G386" t="s">
        <v>43</v>
      </c>
      <c r="H386" t="s">
        <v>37</v>
      </c>
      <c r="I386" s="2">
        <v>73</v>
      </c>
      <c r="J386" s="11">
        <v>4049</v>
      </c>
      <c r="K386" s="3">
        <v>5.0643652719999999</v>
      </c>
      <c r="L386" s="3">
        <f t="shared" ref="L386:L449" si="6">K386/100</f>
        <v>5.0643652720000001E-2</v>
      </c>
      <c r="M386">
        <v>75</v>
      </c>
      <c r="N386" s="6">
        <f>MediCare_Data[[#This Row],[Average_Wait_Time (mins)]]/1440</f>
        <v>5.2083333333333336E-2</v>
      </c>
      <c r="O386" s="2">
        <v>3</v>
      </c>
      <c r="P386" s="10">
        <v>24165</v>
      </c>
      <c r="Q386" s="17" t="str">
        <f>IF(AND(MediCare_Data[[#This Row],[Patient_Gender]]="Male", MediCare_Data[[#This Row],[Treatment_Type]]="Maternity"), "Gender-Treatment Mismatch", "Fine")</f>
        <v>Fine</v>
      </c>
      <c r="R386" s="10">
        <f>MediCare_Data[[#This Row],[Revenue_Generated]]-MediCare_Data[[#This Row],[Average_Treatment_Cost]]</f>
        <v>20116</v>
      </c>
      <c r="S386" s="3">
        <f>(MediCare_Data[[#This Row],[Profit]]/MediCare_Data[[#This Row],[Revenue_Generated]])</f>
        <v>0.83244361680115875</v>
      </c>
    </row>
    <row r="387" spans="1:19" x14ac:dyDescent="0.25">
      <c r="A387" t="s">
        <v>434</v>
      </c>
      <c r="B387" t="s">
        <v>56</v>
      </c>
      <c r="C387" t="s">
        <v>46</v>
      </c>
      <c r="D387" t="s">
        <v>32</v>
      </c>
      <c r="E387">
        <v>57</v>
      </c>
      <c r="F387" t="str">
        <f>IF(MediCare_Data[[#This Row],[Patient_Age]]&lt;=18,"0-18",IF(MediCare_Data[[#This Row],[Patient_Age]]&lt;=35,"19-35",IF(MediCare_Data[[#This Row],[Patient_Age]]&lt;=60,"36-60","60+")))</f>
        <v>36-60</v>
      </c>
      <c r="G387" t="s">
        <v>26</v>
      </c>
      <c r="H387" t="s">
        <v>37</v>
      </c>
      <c r="I387" s="2">
        <v>99</v>
      </c>
      <c r="J387" s="11">
        <v>4697</v>
      </c>
      <c r="K387" s="3">
        <v>17.391786750000001</v>
      </c>
      <c r="L387" s="3">
        <f t="shared" si="6"/>
        <v>0.17391786750000002</v>
      </c>
      <c r="M387">
        <v>64</v>
      </c>
      <c r="N387" s="6">
        <f>MediCare_Data[[#This Row],[Average_Wait_Time (mins)]]/1440</f>
        <v>4.4444444444444446E-2</v>
      </c>
      <c r="O387" s="2">
        <v>4</v>
      </c>
      <c r="P387" s="10">
        <v>49714</v>
      </c>
      <c r="Q387" s="17" t="str">
        <f>IF(AND(MediCare_Data[[#This Row],[Patient_Gender]]="Male", MediCare_Data[[#This Row],[Treatment_Type]]="Maternity"), "Gender-Treatment Mismatch", "Fine")</f>
        <v>Fine</v>
      </c>
      <c r="R387" s="10">
        <f>MediCare_Data[[#This Row],[Revenue_Generated]]-MediCare_Data[[#This Row],[Average_Treatment_Cost]]</f>
        <v>45017</v>
      </c>
      <c r="S387" s="3">
        <f>(MediCare_Data[[#This Row],[Profit]]/MediCare_Data[[#This Row],[Revenue_Generated]])</f>
        <v>0.90551957195156296</v>
      </c>
    </row>
    <row r="388" spans="1:19" x14ac:dyDescent="0.25">
      <c r="A388" t="s">
        <v>435</v>
      </c>
      <c r="B388" t="s">
        <v>35</v>
      </c>
      <c r="C388" t="s">
        <v>46</v>
      </c>
      <c r="D388" t="s">
        <v>16</v>
      </c>
      <c r="E388">
        <v>37</v>
      </c>
      <c r="F388" t="str">
        <f>IF(MediCare_Data[[#This Row],[Patient_Age]]&lt;=18,"0-18",IF(MediCare_Data[[#This Row],[Patient_Age]]&lt;=35,"19-35",IF(MediCare_Data[[#This Row],[Patient_Age]]&lt;=60,"36-60","60+")))</f>
        <v>36-60</v>
      </c>
      <c r="G388" t="s">
        <v>43</v>
      </c>
      <c r="H388" t="s">
        <v>47</v>
      </c>
      <c r="I388" s="2">
        <v>81</v>
      </c>
      <c r="J388" s="11">
        <v>7509</v>
      </c>
      <c r="K388" s="3">
        <v>12.109860210000001</v>
      </c>
      <c r="L388" s="3">
        <f t="shared" si="6"/>
        <v>0.12109860210000001</v>
      </c>
      <c r="M388">
        <v>100</v>
      </c>
      <c r="N388" s="6">
        <f>MediCare_Data[[#This Row],[Average_Wait_Time (mins)]]/1440</f>
        <v>6.9444444444444448E-2</v>
      </c>
      <c r="O388" s="2">
        <v>1</v>
      </c>
      <c r="P388" s="10">
        <v>4748</v>
      </c>
      <c r="Q388" s="17" t="str">
        <f>IF(AND(MediCare_Data[[#This Row],[Patient_Gender]]="Male", MediCare_Data[[#This Row],[Treatment_Type]]="Maternity"), "Gender-Treatment Mismatch", "Fine")</f>
        <v>Fine</v>
      </c>
      <c r="R388" s="10">
        <f>MediCare_Data[[#This Row],[Revenue_Generated]]-MediCare_Data[[#This Row],[Average_Treatment_Cost]]</f>
        <v>-2761</v>
      </c>
      <c r="S388" s="3">
        <f>(MediCare_Data[[#This Row],[Profit]]/MediCare_Data[[#This Row],[Revenue_Generated]])</f>
        <v>-0.58150800336983999</v>
      </c>
    </row>
    <row r="389" spans="1:19" x14ac:dyDescent="0.25">
      <c r="A389" t="s">
        <v>436</v>
      </c>
      <c r="B389" t="s">
        <v>25</v>
      </c>
      <c r="C389" t="s">
        <v>31</v>
      </c>
      <c r="D389" t="s">
        <v>32</v>
      </c>
      <c r="E389">
        <v>80</v>
      </c>
      <c r="F389" t="str">
        <f>IF(MediCare_Data[[#This Row],[Patient_Age]]&lt;=18,"0-18",IF(MediCare_Data[[#This Row],[Patient_Age]]&lt;=35,"19-35",IF(MediCare_Data[[#This Row],[Patient_Age]]&lt;=60,"36-60","60+")))</f>
        <v>60+</v>
      </c>
      <c r="G389" t="s">
        <v>22</v>
      </c>
      <c r="H389" t="s">
        <v>37</v>
      </c>
      <c r="I389" s="2">
        <v>96</v>
      </c>
      <c r="J389" s="11">
        <v>7167</v>
      </c>
      <c r="K389" s="3">
        <v>20.883946630000001</v>
      </c>
      <c r="L389" s="3">
        <f t="shared" si="6"/>
        <v>0.2088394663</v>
      </c>
      <c r="M389">
        <v>31</v>
      </c>
      <c r="N389" s="6">
        <f>MediCare_Data[[#This Row],[Average_Wait_Time (mins)]]/1440</f>
        <v>2.1527777777777778E-2</v>
      </c>
      <c r="O389" s="2">
        <v>3</v>
      </c>
      <c r="P389" s="10">
        <v>34045</v>
      </c>
      <c r="Q389" s="17" t="str">
        <f>IF(AND(MediCare_Data[[#This Row],[Patient_Gender]]="Male", MediCare_Data[[#This Row],[Treatment_Type]]="Maternity"), "Gender-Treatment Mismatch", "Fine")</f>
        <v>Fine</v>
      </c>
      <c r="R389" s="10">
        <f>MediCare_Data[[#This Row],[Revenue_Generated]]-MediCare_Data[[#This Row],[Average_Treatment_Cost]]</f>
        <v>26878</v>
      </c>
      <c r="S389" s="3">
        <f>(MediCare_Data[[#This Row],[Profit]]/MediCare_Data[[#This Row],[Revenue_Generated]])</f>
        <v>0.7894845058011456</v>
      </c>
    </row>
    <row r="390" spans="1:19" x14ac:dyDescent="0.25">
      <c r="A390" t="s">
        <v>437</v>
      </c>
      <c r="B390" t="s">
        <v>25</v>
      </c>
      <c r="C390" t="s">
        <v>54</v>
      </c>
      <c r="D390" t="s">
        <v>16</v>
      </c>
      <c r="E390">
        <v>6</v>
      </c>
      <c r="F390" t="str">
        <f>IF(MediCare_Data[[#This Row],[Patient_Age]]&lt;=18,"0-18",IF(MediCare_Data[[#This Row],[Patient_Age]]&lt;=35,"19-35",IF(MediCare_Data[[#This Row],[Patient_Age]]&lt;=60,"36-60","60+")))</f>
        <v>0-18</v>
      </c>
      <c r="G390" t="s">
        <v>43</v>
      </c>
      <c r="H390" t="s">
        <v>33</v>
      </c>
      <c r="I390" s="2">
        <v>71</v>
      </c>
      <c r="J390" s="11">
        <v>2822</v>
      </c>
      <c r="K390" s="3">
        <v>6.8598127959999999</v>
      </c>
      <c r="L390" s="3">
        <f t="shared" si="6"/>
        <v>6.8598127960000005E-2</v>
      </c>
      <c r="M390">
        <v>110</v>
      </c>
      <c r="N390" s="6">
        <f>MediCare_Data[[#This Row],[Average_Wait_Time (mins)]]/1440</f>
        <v>7.6388888888888895E-2</v>
      </c>
      <c r="O390" s="2">
        <v>4</v>
      </c>
      <c r="P390" s="10">
        <v>27553</v>
      </c>
      <c r="Q390" s="17" t="str">
        <f>IF(AND(MediCare_Data[[#This Row],[Patient_Gender]]="Male", MediCare_Data[[#This Row],[Treatment_Type]]="Maternity"), "Gender-Treatment Mismatch", "Fine")</f>
        <v>Fine</v>
      </c>
      <c r="R390" s="10">
        <f>MediCare_Data[[#This Row],[Revenue_Generated]]-MediCare_Data[[#This Row],[Average_Treatment_Cost]]</f>
        <v>24731</v>
      </c>
      <c r="S390" s="3">
        <f>(MediCare_Data[[#This Row],[Profit]]/MediCare_Data[[#This Row],[Revenue_Generated]])</f>
        <v>0.89757921097521143</v>
      </c>
    </row>
    <row r="391" spans="1:19" x14ac:dyDescent="0.25">
      <c r="A391" t="s">
        <v>438</v>
      </c>
      <c r="B391" t="s">
        <v>64</v>
      </c>
      <c r="C391" t="s">
        <v>15</v>
      </c>
      <c r="D391" t="s">
        <v>21</v>
      </c>
      <c r="E391">
        <v>38</v>
      </c>
      <c r="F391" t="str">
        <f>IF(MediCare_Data[[#This Row],[Patient_Age]]&lt;=18,"0-18",IF(MediCare_Data[[#This Row],[Patient_Age]]&lt;=35,"19-35",IF(MediCare_Data[[#This Row],[Patient_Age]]&lt;=60,"36-60","60+")))</f>
        <v>36-60</v>
      </c>
      <c r="G391" t="s">
        <v>22</v>
      </c>
      <c r="H391" t="s">
        <v>33</v>
      </c>
      <c r="I391" s="2">
        <v>72</v>
      </c>
      <c r="J391" s="11">
        <v>4590</v>
      </c>
      <c r="K391" s="3">
        <v>16.764045339999999</v>
      </c>
      <c r="L391" s="3">
        <f t="shared" si="6"/>
        <v>0.1676404534</v>
      </c>
      <c r="M391">
        <v>164</v>
      </c>
      <c r="N391" s="6">
        <f>MediCare_Data[[#This Row],[Average_Wait_Time (mins)]]/1440</f>
        <v>0.11388888888888889</v>
      </c>
      <c r="O391" s="2">
        <v>4</v>
      </c>
      <c r="P391" s="10">
        <v>45331</v>
      </c>
      <c r="Q391" s="17" t="str">
        <f>IF(AND(MediCare_Data[[#This Row],[Patient_Gender]]="Male", MediCare_Data[[#This Row],[Treatment_Type]]="Maternity"), "Gender-Treatment Mismatch", "Fine")</f>
        <v>Fine</v>
      </c>
      <c r="R391" s="10">
        <f>MediCare_Data[[#This Row],[Revenue_Generated]]-MediCare_Data[[#This Row],[Average_Treatment_Cost]]</f>
        <v>40741</v>
      </c>
      <c r="S391" s="3">
        <f>(MediCare_Data[[#This Row],[Profit]]/MediCare_Data[[#This Row],[Revenue_Generated]])</f>
        <v>0.89874478833469373</v>
      </c>
    </row>
    <row r="392" spans="1:19" x14ac:dyDescent="0.25">
      <c r="A392" t="s">
        <v>439</v>
      </c>
      <c r="B392" t="s">
        <v>56</v>
      </c>
      <c r="C392" t="s">
        <v>54</v>
      </c>
      <c r="D392" t="s">
        <v>16</v>
      </c>
      <c r="E392">
        <v>86</v>
      </c>
      <c r="F392" t="str">
        <f>IF(MediCare_Data[[#This Row],[Patient_Age]]&lt;=18,"0-18",IF(MediCare_Data[[#This Row],[Patient_Age]]&lt;=35,"19-35",IF(MediCare_Data[[#This Row],[Patient_Age]]&lt;=60,"36-60","60+")))</f>
        <v>60+</v>
      </c>
      <c r="G392" t="s">
        <v>43</v>
      </c>
      <c r="H392" t="s">
        <v>18</v>
      </c>
      <c r="I392" s="2">
        <v>51</v>
      </c>
      <c r="J392" s="11">
        <v>7460</v>
      </c>
      <c r="K392" s="3">
        <v>14.619457799999999</v>
      </c>
      <c r="L392" s="3">
        <f t="shared" si="6"/>
        <v>0.14619457799999999</v>
      </c>
      <c r="M392">
        <v>130</v>
      </c>
      <c r="N392" s="6">
        <f>MediCare_Data[[#This Row],[Average_Wait_Time (mins)]]/1440</f>
        <v>9.0277777777777776E-2</v>
      </c>
      <c r="O392" s="2">
        <v>2</v>
      </c>
      <c r="P392" s="10">
        <v>31497</v>
      </c>
      <c r="Q392" s="17" t="str">
        <f>IF(AND(MediCare_Data[[#This Row],[Patient_Gender]]="Male", MediCare_Data[[#This Row],[Treatment_Type]]="Maternity"), "Gender-Treatment Mismatch", "Fine")</f>
        <v>Fine</v>
      </c>
      <c r="R392" s="10">
        <f>MediCare_Data[[#This Row],[Revenue_Generated]]-MediCare_Data[[#This Row],[Average_Treatment_Cost]]</f>
        <v>24037</v>
      </c>
      <c r="S392" s="3">
        <f>(MediCare_Data[[#This Row],[Profit]]/MediCare_Data[[#This Row],[Revenue_Generated]])</f>
        <v>0.7631520462266248</v>
      </c>
    </row>
    <row r="393" spans="1:19" x14ac:dyDescent="0.25">
      <c r="A393" t="s">
        <v>440</v>
      </c>
      <c r="B393" t="s">
        <v>28</v>
      </c>
      <c r="C393" t="s">
        <v>15</v>
      </c>
      <c r="D393" t="s">
        <v>16</v>
      </c>
      <c r="E393">
        <v>24</v>
      </c>
      <c r="F393" t="str">
        <f>IF(MediCare_Data[[#This Row],[Patient_Age]]&lt;=18,"0-18",IF(MediCare_Data[[#This Row],[Patient_Age]]&lt;=35,"19-35",IF(MediCare_Data[[#This Row],[Patient_Age]]&lt;=60,"36-60","60+")))</f>
        <v>19-35</v>
      </c>
      <c r="G393" t="s">
        <v>26</v>
      </c>
      <c r="H393" t="s">
        <v>37</v>
      </c>
      <c r="I393" s="2">
        <v>76</v>
      </c>
      <c r="J393" s="11">
        <v>3504</v>
      </c>
      <c r="K393" s="3">
        <v>17.846510519999999</v>
      </c>
      <c r="L393" s="3">
        <f t="shared" si="6"/>
        <v>0.1784651052</v>
      </c>
      <c r="M393">
        <v>102</v>
      </c>
      <c r="N393" s="6">
        <f>MediCare_Data[[#This Row],[Average_Wait_Time (mins)]]/1440</f>
        <v>7.0833333333333331E-2</v>
      </c>
      <c r="O393" s="2">
        <v>2</v>
      </c>
      <c r="P393" s="10">
        <v>32308</v>
      </c>
      <c r="Q393" s="17" t="str">
        <f>IF(AND(MediCare_Data[[#This Row],[Patient_Gender]]="Male", MediCare_Data[[#This Row],[Treatment_Type]]="Maternity"), "Gender-Treatment Mismatch", "Fine")</f>
        <v>Gender-Treatment Mismatch</v>
      </c>
      <c r="R393" s="10">
        <f>MediCare_Data[[#This Row],[Revenue_Generated]]-MediCare_Data[[#This Row],[Average_Treatment_Cost]]</f>
        <v>28804</v>
      </c>
      <c r="S393" s="3">
        <f>(MediCare_Data[[#This Row],[Profit]]/MediCare_Data[[#This Row],[Revenue_Generated]])</f>
        <v>0.8915438900581899</v>
      </c>
    </row>
    <row r="394" spans="1:19" x14ac:dyDescent="0.25">
      <c r="A394" t="s">
        <v>441</v>
      </c>
      <c r="B394" t="s">
        <v>61</v>
      </c>
      <c r="C394" t="s">
        <v>36</v>
      </c>
      <c r="D394" t="s">
        <v>32</v>
      </c>
      <c r="E394">
        <v>43</v>
      </c>
      <c r="F394" t="str">
        <f>IF(MediCare_Data[[#This Row],[Patient_Age]]&lt;=18,"0-18",IF(MediCare_Data[[#This Row],[Patient_Age]]&lt;=35,"19-35",IF(MediCare_Data[[#This Row],[Patient_Age]]&lt;=60,"36-60","60+")))</f>
        <v>36-60</v>
      </c>
      <c r="G394" t="s">
        <v>22</v>
      </c>
      <c r="H394" t="s">
        <v>23</v>
      </c>
      <c r="I394" s="2">
        <v>91</v>
      </c>
      <c r="J394" s="11">
        <v>5636</v>
      </c>
      <c r="K394" s="3">
        <v>6.2970718899999998</v>
      </c>
      <c r="L394" s="3">
        <f t="shared" si="6"/>
        <v>6.29707189E-2</v>
      </c>
      <c r="M394">
        <v>117</v>
      </c>
      <c r="N394" s="6">
        <f>MediCare_Data[[#This Row],[Average_Wait_Time (mins)]]/1440</f>
        <v>8.1250000000000003E-2</v>
      </c>
      <c r="O394" s="2">
        <v>2</v>
      </c>
      <c r="P394" s="10">
        <v>40560</v>
      </c>
      <c r="Q394" s="17" t="str">
        <f>IF(AND(MediCare_Data[[#This Row],[Patient_Gender]]="Male", MediCare_Data[[#This Row],[Treatment_Type]]="Maternity"), "Gender-Treatment Mismatch", "Fine")</f>
        <v>Fine</v>
      </c>
      <c r="R394" s="10">
        <f>MediCare_Data[[#This Row],[Revenue_Generated]]-MediCare_Data[[#This Row],[Average_Treatment_Cost]]</f>
        <v>34924</v>
      </c>
      <c r="S394" s="3">
        <f>(MediCare_Data[[#This Row],[Profit]]/MediCare_Data[[#This Row],[Revenue_Generated]])</f>
        <v>0.86104536489151873</v>
      </c>
    </row>
    <row r="395" spans="1:19" x14ac:dyDescent="0.25">
      <c r="A395" t="s">
        <v>442</v>
      </c>
      <c r="B395" t="s">
        <v>39</v>
      </c>
      <c r="C395" t="s">
        <v>36</v>
      </c>
      <c r="D395" t="s">
        <v>32</v>
      </c>
      <c r="E395">
        <v>61</v>
      </c>
      <c r="F395" t="str">
        <f>IF(MediCare_Data[[#This Row],[Patient_Age]]&lt;=18,"0-18",IF(MediCare_Data[[#This Row],[Patient_Age]]&lt;=35,"19-35",IF(MediCare_Data[[#This Row],[Patient_Age]]&lt;=60,"36-60","60+")))</f>
        <v>60+</v>
      </c>
      <c r="G395" t="s">
        <v>43</v>
      </c>
      <c r="H395" t="s">
        <v>51</v>
      </c>
      <c r="I395" s="2">
        <v>51</v>
      </c>
      <c r="J395" s="11">
        <v>829</v>
      </c>
      <c r="K395" s="3">
        <v>16.599675749999999</v>
      </c>
      <c r="L395" s="3">
        <f t="shared" si="6"/>
        <v>0.16599675749999998</v>
      </c>
      <c r="M395">
        <v>150</v>
      </c>
      <c r="N395" s="6">
        <f>MediCare_Data[[#This Row],[Average_Wait_Time (mins)]]/1440</f>
        <v>0.10416666666666667</v>
      </c>
      <c r="O395" s="2">
        <v>3</v>
      </c>
      <c r="P395" s="10">
        <v>47686</v>
      </c>
      <c r="Q395" s="17" t="str">
        <f>IF(AND(MediCare_Data[[#This Row],[Patient_Gender]]="Male", MediCare_Data[[#This Row],[Treatment_Type]]="Maternity"), "Gender-Treatment Mismatch", "Fine")</f>
        <v>Fine</v>
      </c>
      <c r="R395" s="10">
        <f>MediCare_Data[[#This Row],[Revenue_Generated]]-MediCare_Data[[#This Row],[Average_Treatment_Cost]]</f>
        <v>46857</v>
      </c>
      <c r="S395" s="3">
        <f>(MediCare_Data[[#This Row],[Profit]]/MediCare_Data[[#This Row],[Revenue_Generated]])</f>
        <v>0.98261544268758128</v>
      </c>
    </row>
    <row r="396" spans="1:19" x14ac:dyDescent="0.25">
      <c r="A396" t="s">
        <v>443</v>
      </c>
      <c r="B396" t="s">
        <v>58</v>
      </c>
      <c r="C396" t="s">
        <v>46</v>
      </c>
      <c r="D396" t="s">
        <v>32</v>
      </c>
      <c r="E396">
        <v>82</v>
      </c>
      <c r="F396" t="str">
        <f>IF(MediCare_Data[[#This Row],[Patient_Age]]&lt;=18,"0-18",IF(MediCare_Data[[#This Row],[Patient_Age]]&lt;=35,"19-35",IF(MediCare_Data[[#This Row],[Patient_Age]]&lt;=60,"36-60","60+")))</f>
        <v>60+</v>
      </c>
      <c r="G396" t="s">
        <v>22</v>
      </c>
      <c r="H396" t="s">
        <v>47</v>
      </c>
      <c r="I396" s="2">
        <v>75</v>
      </c>
      <c r="J396" s="11">
        <v>4140</v>
      </c>
      <c r="K396" s="3">
        <v>16.229691760000001</v>
      </c>
      <c r="L396" s="3">
        <f t="shared" si="6"/>
        <v>0.16229691760000001</v>
      </c>
      <c r="M396">
        <v>19</v>
      </c>
      <c r="N396" s="6">
        <f>MediCare_Data[[#This Row],[Average_Wait_Time (mins)]]/1440</f>
        <v>1.3194444444444444E-2</v>
      </c>
      <c r="O396" s="2">
        <v>1</v>
      </c>
      <c r="P396" s="10">
        <v>11374</v>
      </c>
      <c r="Q396" s="17" t="str">
        <f>IF(AND(MediCare_Data[[#This Row],[Patient_Gender]]="Male", MediCare_Data[[#This Row],[Treatment_Type]]="Maternity"), "Gender-Treatment Mismatch", "Fine")</f>
        <v>Fine</v>
      </c>
      <c r="R396" s="10">
        <f>MediCare_Data[[#This Row],[Revenue_Generated]]-MediCare_Data[[#This Row],[Average_Treatment_Cost]]</f>
        <v>7234</v>
      </c>
      <c r="S396" s="3">
        <f>(MediCare_Data[[#This Row],[Profit]]/MediCare_Data[[#This Row],[Revenue_Generated]])</f>
        <v>0.63601195709512925</v>
      </c>
    </row>
    <row r="397" spans="1:19" x14ac:dyDescent="0.25">
      <c r="A397" t="s">
        <v>444</v>
      </c>
      <c r="B397" t="s">
        <v>35</v>
      </c>
      <c r="C397" t="s">
        <v>46</v>
      </c>
      <c r="D397" t="s">
        <v>16</v>
      </c>
      <c r="E397">
        <v>56</v>
      </c>
      <c r="F397" t="str">
        <f>IF(MediCare_Data[[#This Row],[Patient_Age]]&lt;=18,"0-18",IF(MediCare_Data[[#This Row],[Patient_Age]]&lt;=35,"19-35",IF(MediCare_Data[[#This Row],[Patient_Age]]&lt;=60,"36-60","60+")))</f>
        <v>36-60</v>
      </c>
      <c r="G397" t="s">
        <v>26</v>
      </c>
      <c r="H397" t="s">
        <v>23</v>
      </c>
      <c r="I397" s="2">
        <v>66</v>
      </c>
      <c r="J397" s="11">
        <v>8482</v>
      </c>
      <c r="K397" s="3">
        <v>16.213201890000001</v>
      </c>
      <c r="L397" s="3">
        <f t="shared" si="6"/>
        <v>0.16213201890000001</v>
      </c>
      <c r="M397">
        <v>18</v>
      </c>
      <c r="N397" s="6">
        <f>MediCare_Data[[#This Row],[Average_Wait_Time (mins)]]/1440</f>
        <v>1.2500000000000001E-2</v>
      </c>
      <c r="O397" s="2">
        <v>1</v>
      </c>
      <c r="P397" s="10">
        <v>5675</v>
      </c>
      <c r="Q397" s="17" t="str">
        <f>IF(AND(MediCare_Data[[#This Row],[Patient_Gender]]="Male", MediCare_Data[[#This Row],[Treatment_Type]]="Maternity"), "Gender-Treatment Mismatch", "Fine")</f>
        <v>Fine</v>
      </c>
      <c r="R397" s="10">
        <f>MediCare_Data[[#This Row],[Revenue_Generated]]-MediCare_Data[[#This Row],[Average_Treatment_Cost]]</f>
        <v>-2807</v>
      </c>
      <c r="S397" s="3">
        <f>(MediCare_Data[[#This Row],[Profit]]/MediCare_Data[[#This Row],[Revenue_Generated]])</f>
        <v>-0.49462555066079295</v>
      </c>
    </row>
    <row r="398" spans="1:19" x14ac:dyDescent="0.25">
      <c r="A398" t="s">
        <v>445</v>
      </c>
      <c r="B398" t="s">
        <v>56</v>
      </c>
      <c r="C398" t="s">
        <v>42</v>
      </c>
      <c r="D398" t="s">
        <v>32</v>
      </c>
      <c r="E398">
        <v>33</v>
      </c>
      <c r="F398" t="str">
        <f>IF(MediCare_Data[[#This Row],[Patient_Age]]&lt;=18,"0-18",IF(MediCare_Data[[#This Row],[Patient_Age]]&lt;=35,"19-35",IF(MediCare_Data[[#This Row],[Patient_Age]]&lt;=60,"36-60","60+")))</f>
        <v>19-35</v>
      </c>
      <c r="G398" t="s">
        <v>43</v>
      </c>
      <c r="H398" t="s">
        <v>23</v>
      </c>
      <c r="I398" s="2">
        <v>89</v>
      </c>
      <c r="J398" s="11">
        <v>4607</v>
      </c>
      <c r="K398" s="3">
        <v>17.069753330000001</v>
      </c>
      <c r="L398" s="3">
        <f t="shared" si="6"/>
        <v>0.17069753330000001</v>
      </c>
      <c r="M398">
        <v>164</v>
      </c>
      <c r="N398" s="6">
        <f>MediCare_Data[[#This Row],[Average_Wait_Time (mins)]]/1440</f>
        <v>0.11388888888888889</v>
      </c>
      <c r="O398" s="2">
        <v>2</v>
      </c>
      <c r="P398" s="10">
        <v>2170</v>
      </c>
      <c r="Q398" s="17" t="str">
        <f>IF(AND(MediCare_Data[[#This Row],[Patient_Gender]]="Male", MediCare_Data[[#This Row],[Treatment_Type]]="Maternity"), "Gender-Treatment Mismatch", "Fine")</f>
        <v>Fine</v>
      </c>
      <c r="R398" s="10">
        <f>MediCare_Data[[#This Row],[Revenue_Generated]]-MediCare_Data[[#This Row],[Average_Treatment_Cost]]</f>
        <v>-2437</v>
      </c>
      <c r="S398" s="3">
        <f>(MediCare_Data[[#This Row],[Profit]]/MediCare_Data[[#This Row],[Revenue_Generated]])</f>
        <v>-1.123041474654378</v>
      </c>
    </row>
    <row r="399" spans="1:19" x14ac:dyDescent="0.25">
      <c r="A399" t="s">
        <v>446</v>
      </c>
      <c r="B399" t="s">
        <v>58</v>
      </c>
      <c r="C399" t="s">
        <v>31</v>
      </c>
      <c r="D399" t="s">
        <v>32</v>
      </c>
      <c r="E399">
        <v>39</v>
      </c>
      <c r="F399" t="str">
        <f>IF(MediCare_Data[[#This Row],[Patient_Age]]&lt;=18,"0-18",IF(MediCare_Data[[#This Row],[Patient_Age]]&lt;=35,"19-35",IF(MediCare_Data[[#This Row],[Patient_Age]]&lt;=60,"36-60","60+")))</f>
        <v>36-60</v>
      </c>
      <c r="G399" t="s">
        <v>17</v>
      </c>
      <c r="H399" t="s">
        <v>23</v>
      </c>
      <c r="I399" s="2">
        <v>82</v>
      </c>
      <c r="J399" s="11">
        <v>1841</v>
      </c>
      <c r="K399" s="3">
        <v>18.529358739999999</v>
      </c>
      <c r="L399" s="3">
        <f t="shared" si="6"/>
        <v>0.18529358739999999</v>
      </c>
      <c r="M399">
        <v>43</v>
      </c>
      <c r="N399" s="6">
        <f>MediCare_Data[[#This Row],[Average_Wait_Time (mins)]]/1440</f>
        <v>2.9861111111111113E-2</v>
      </c>
      <c r="O399" s="2">
        <v>2</v>
      </c>
      <c r="P399" s="10">
        <v>42449</v>
      </c>
      <c r="Q399" s="17" t="str">
        <f>IF(AND(MediCare_Data[[#This Row],[Patient_Gender]]="Male", MediCare_Data[[#This Row],[Treatment_Type]]="Maternity"), "Gender-Treatment Mismatch", "Fine")</f>
        <v>Fine</v>
      </c>
      <c r="R399" s="10">
        <f>MediCare_Data[[#This Row],[Revenue_Generated]]-MediCare_Data[[#This Row],[Average_Treatment_Cost]]</f>
        <v>40608</v>
      </c>
      <c r="S399" s="3">
        <f>(MediCare_Data[[#This Row],[Profit]]/MediCare_Data[[#This Row],[Revenue_Generated]])</f>
        <v>0.95663030931235127</v>
      </c>
    </row>
    <row r="400" spans="1:19" x14ac:dyDescent="0.25">
      <c r="A400" t="s">
        <v>447</v>
      </c>
      <c r="B400" t="s">
        <v>45</v>
      </c>
      <c r="C400" t="s">
        <v>20</v>
      </c>
      <c r="D400" t="s">
        <v>21</v>
      </c>
      <c r="E400">
        <v>7</v>
      </c>
      <c r="F400" t="str">
        <f>IF(MediCare_Data[[#This Row],[Patient_Age]]&lt;=18,"0-18",IF(MediCare_Data[[#This Row],[Patient_Age]]&lt;=35,"19-35",IF(MediCare_Data[[#This Row],[Patient_Age]]&lt;=60,"36-60","60+")))</f>
        <v>0-18</v>
      </c>
      <c r="G400" t="s">
        <v>26</v>
      </c>
      <c r="H400" t="s">
        <v>33</v>
      </c>
      <c r="I400" s="2">
        <v>58</v>
      </c>
      <c r="J400" s="11">
        <v>8907</v>
      </c>
      <c r="K400" s="3">
        <v>21.099779989999998</v>
      </c>
      <c r="L400" s="3">
        <f t="shared" si="6"/>
        <v>0.21099779989999998</v>
      </c>
      <c r="M400">
        <v>138</v>
      </c>
      <c r="N400" s="6">
        <f>MediCare_Data[[#This Row],[Average_Wait_Time (mins)]]/1440</f>
        <v>9.583333333333334E-2</v>
      </c>
      <c r="O400" s="2">
        <v>2</v>
      </c>
      <c r="P400" s="10">
        <v>44485</v>
      </c>
      <c r="Q400" s="17" t="str">
        <f>IF(AND(MediCare_Data[[#This Row],[Patient_Gender]]="Male", MediCare_Data[[#This Row],[Treatment_Type]]="Maternity"), "Gender-Treatment Mismatch", "Fine")</f>
        <v>Fine</v>
      </c>
      <c r="R400" s="10">
        <f>MediCare_Data[[#This Row],[Revenue_Generated]]-MediCare_Data[[#This Row],[Average_Treatment_Cost]]</f>
        <v>35578</v>
      </c>
      <c r="S400" s="3">
        <f>(MediCare_Data[[#This Row],[Profit]]/MediCare_Data[[#This Row],[Revenue_Generated]])</f>
        <v>0.79977520512532319</v>
      </c>
    </row>
    <row r="401" spans="1:19" x14ac:dyDescent="0.25">
      <c r="A401" t="s">
        <v>448</v>
      </c>
      <c r="B401" t="s">
        <v>64</v>
      </c>
      <c r="C401" t="s">
        <v>36</v>
      </c>
      <c r="D401" t="s">
        <v>21</v>
      </c>
      <c r="E401">
        <v>45</v>
      </c>
      <c r="F401" t="str">
        <f>IF(MediCare_Data[[#This Row],[Patient_Age]]&lt;=18,"0-18",IF(MediCare_Data[[#This Row],[Patient_Age]]&lt;=35,"19-35",IF(MediCare_Data[[#This Row],[Patient_Age]]&lt;=60,"36-60","60+")))</f>
        <v>36-60</v>
      </c>
      <c r="G401" t="s">
        <v>26</v>
      </c>
      <c r="H401" t="s">
        <v>33</v>
      </c>
      <c r="I401" s="2">
        <v>92</v>
      </c>
      <c r="J401" s="11">
        <v>838</v>
      </c>
      <c r="K401" s="3">
        <v>10.396414399999999</v>
      </c>
      <c r="L401" s="3">
        <f t="shared" si="6"/>
        <v>0.10396414399999999</v>
      </c>
      <c r="M401">
        <v>169</v>
      </c>
      <c r="N401" s="6">
        <f>MediCare_Data[[#This Row],[Average_Wait_Time (mins)]]/1440</f>
        <v>0.11736111111111111</v>
      </c>
      <c r="O401" s="2">
        <v>4</v>
      </c>
      <c r="P401" s="10">
        <v>13450</v>
      </c>
      <c r="Q401" s="17" t="str">
        <f>IF(AND(MediCare_Data[[#This Row],[Patient_Gender]]="Male", MediCare_Data[[#This Row],[Treatment_Type]]="Maternity"), "Gender-Treatment Mismatch", "Fine")</f>
        <v>Fine</v>
      </c>
      <c r="R401" s="10">
        <f>MediCare_Data[[#This Row],[Revenue_Generated]]-MediCare_Data[[#This Row],[Average_Treatment_Cost]]</f>
        <v>12612</v>
      </c>
      <c r="S401" s="3">
        <f>(MediCare_Data[[#This Row],[Profit]]/MediCare_Data[[#This Row],[Revenue_Generated]])</f>
        <v>0.93769516728624536</v>
      </c>
    </row>
    <row r="402" spans="1:19" x14ac:dyDescent="0.25">
      <c r="A402" t="s">
        <v>449</v>
      </c>
      <c r="B402" t="s">
        <v>56</v>
      </c>
      <c r="C402" t="s">
        <v>31</v>
      </c>
      <c r="D402" t="s">
        <v>16</v>
      </c>
      <c r="E402">
        <v>89</v>
      </c>
      <c r="F402" t="str">
        <f>IF(MediCare_Data[[#This Row],[Patient_Age]]&lt;=18,"0-18",IF(MediCare_Data[[#This Row],[Patient_Age]]&lt;=35,"19-35",IF(MediCare_Data[[#This Row],[Patient_Age]]&lt;=60,"36-60","60+")))</f>
        <v>60+</v>
      </c>
      <c r="G402" t="s">
        <v>26</v>
      </c>
      <c r="H402" t="s">
        <v>51</v>
      </c>
      <c r="I402" s="2">
        <v>97</v>
      </c>
      <c r="J402" s="11">
        <v>6395</v>
      </c>
      <c r="K402" s="3">
        <v>21.500988199999998</v>
      </c>
      <c r="L402" s="3">
        <f t="shared" si="6"/>
        <v>0.21500988199999999</v>
      </c>
      <c r="M402">
        <v>98</v>
      </c>
      <c r="N402" s="6">
        <f>MediCare_Data[[#This Row],[Average_Wait_Time (mins)]]/1440</f>
        <v>6.805555555555555E-2</v>
      </c>
      <c r="O402" s="2">
        <v>2</v>
      </c>
      <c r="P402" s="10">
        <v>11680</v>
      </c>
      <c r="Q402" s="17" t="str">
        <f>IF(AND(MediCare_Data[[#This Row],[Patient_Gender]]="Male", MediCare_Data[[#This Row],[Treatment_Type]]="Maternity"), "Gender-Treatment Mismatch", "Fine")</f>
        <v>Fine</v>
      </c>
      <c r="R402" s="10">
        <f>MediCare_Data[[#This Row],[Revenue_Generated]]-MediCare_Data[[#This Row],[Average_Treatment_Cost]]</f>
        <v>5285</v>
      </c>
      <c r="S402" s="3">
        <f>(MediCare_Data[[#This Row],[Profit]]/MediCare_Data[[#This Row],[Revenue_Generated]])</f>
        <v>0.45248287671232879</v>
      </c>
    </row>
    <row r="403" spans="1:19" x14ac:dyDescent="0.25">
      <c r="A403" t="s">
        <v>450</v>
      </c>
      <c r="B403" t="s">
        <v>53</v>
      </c>
      <c r="C403" t="s">
        <v>46</v>
      </c>
      <c r="D403" t="s">
        <v>16</v>
      </c>
      <c r="E403">
        <v>86</v>
      </c>
      <c r="F403" t="str">
        <f>IF(MediCare_Data[[#This Row],[Patient_Age]]&lt;=18,"0-18",IF(MediCare_Data[[#This Row],[Patient_Age]]&lt;=35,"19-35",IF(MediCare_Data[[#This Row],[Patient_Age]]&lt;=60,"36-60","60+")))</f>
        <v>60+</v>
      </c>
      <c r="G403" t="s">
        <v>26</v>
      </c>
      <c r="H403" t="s">
        <v>47</v>
      </c>
      <c r="I403" s="2">
        <v>88</v>
      </c>
      <c r="J403" s="11">
        <v>3208</v>
      </c>
      <c r="K403" s="3">
        <v>14.965113649999999</v>
      </c>
      <c r="L403" s="3">
        <f t="shared" si="6"/>
        <v>0.1496511365</v>
      </c>
      <c r="M403">
        <v>102</v>
      </c>
      <c r="N403" s="6">
        <f>MediCare_Data[[#This Row],[Average_Wait_Time (mins)]]/1440</f>
        <v>7.0833333333333331E-2</v>
      </c>
      <c r="O403" s="2">
        <v>4</v>
      </c>
      <c r="P403" s="10">
        <v>11068</v>
      </c>
      <c r="Q403" s="17" t="str">
        <f>IF(AND(MediCare_Data[[#This Row],[Patient_Gender]]="Male", MediCare_Data[[#This Row],[Treatment_Type]]="Maternity"), "Gender-Treatment Mismatch", "Fine")</f>
        <v>Fine</v>
      </c>
      <c r="R403" s="10">
        <f>MediCare_Data[[#This Row],[Revenue_Generated]]-MediCare_Data[[#This Row],[Average_Treatment_Cost]]</f>
        <v>7860</v>
      </c>
      <c r="S403" s="3">
        <f>(MediCare_Data[[#This Row],[Profit]]/MediCare_Data[[#This Row],[Revenue_Generated]])</f>
        <v>0.71015540296349833</v>
      </c>
    </row>
    <row r="404" spans="1:19" x14ac:dyDescent="0.25">
      <c r="A404" t="s">
        <v>451</v>
      </c>
      <c r="B404" t="s">
        <v>61</v>
      </c>
      <c r="C404" t="s">
        <v>54</v>
      </c>
      <c r="D404" t="s">
        <v>21</v>
      </c>
      <c r="E404">
        <v>19</v>
      </c>
      <c r="F404" t="str">
        <f>IF(MediCare_Data[[#This Row],[Patient_Age]]&lt;=18,"0-18",IF(MediCare_Data[[#This Row],[Patient_Age]]&lt;=35,"19-35",IF(MediCare_Data[[#This Row],[Patient_Age]]&lt;=60,"36-60","60+")))</f>
        <v>19-35</v>
      </c>
      <c r="G404" t="s">
        <v>17</v>
      </c>
      <c r="H404" t="s">
        <v>47</v>
      </c>
      <c r="I404" s="2">
        <v>78</v>
      </c>
      <c r="J404" s="11">
        <v>2250</v>
      </c>
      <c r="K404" s="3">
        <v>6.5411655829999997</v>
      </c>
      <c r="L404" s="3">
        <f t="shared" si="6"/>
        <v>6.5411655829999998E-2</v>
      </c>
      <c r="M404">
        <v>80</v>
      </c>
      <c r="N404" s="6">
        <f>MediCare_Data[[#This Row],[Average_Wait_Time (mins)]]/1440</f>
        <v>5.5555555555555552E-2</v>
      </c>
      <c r="O404" s="2">
        <v>1</v>
      </c>
      <c r="P404" s="10">
        <v>36230</v>
      </c>
      <c r="Q404" s="17" t="str">
        <f>IF(AND(MediCare_Data[[#This Row],[Patient_Gender]]="Male", MediCare_Data[[#This Row],[Treatment_Type]]="Maternity"), "Gender-Treatment Mismatch", "Fine")</f>
        <v>Fine</v>
      </c>
      <c r="R404" s="10">
        <f>MediCare_Data[[#This Row],[Revenue_Generated]]-MediCare_Data[[#This Row],[Average_Treatment_Cost]]</f>
        <v>33980</v>
      </c>
      <c r="S404" s="3">
        <f>(MediCare_Data[[#This Row],[Profit]]/MediCare_Data[[#This Row],[Revenue_Generated]])</f>
        <v>0.93789677063207288</v>
      </c>
    </row>
    <row r="405" spans="1:19" x14ac:dyDescent="0.25">
      <c r="A405" t="s">
        <v>452</v>
      </c>
      <c r="B405" t="s">
        <v>49</v>
      </c>
      <c r="C405" t="s">
        <v>46</v>
      </c>
      <c r="D405" t="s">
        <v>16</v>
      </c>
      <c r="E405">
        <v>1</v>
      </c>
      <c r="F405" t="str">
        <f>IF(MediCare_Data[[#This Row],[Patient_Age]]&lt;=18,"0-18",IF(MediCare_Data[[#This Row],[Patient_Age]]&lt;=35,"19-35",IF(MediCare_Data[[#This Row],[Patient_Age]]&lt;=60,"36-60","60+")))</f>
        <v>0-18</v>
      </c>
      <c r="G405" t="s">
        <v>43</v>
      </c>
      <c r="H405" t="s">
        <v>51</v>
      </c>
      <c r="I405" s="2">
        <v>91</v>
      </c>
      <c r="J405" s="11">
        <v>6104</v>
      </c>
      <c r="K405" s="3">
        <v>6.1710185849999997</v>
      </c>
      <c r="L405" s="3">
        <f t="shared" si="6"/>
        <v>6.1710185849999995E-2</v>
      </c>
      <c r="M405">
        <v>76</v>
      </c>
      <c r="N405" s="6">
        <f>MediCare_Data[[#This Row],[Average_Wait_Time (mins)]]/1440</f>
        <v>5.2777777777777778E-2</v>
      </c>
      <c r="O405" s="2">
        <v>3</v>
      </c>
      <c r="P405" s="10">
        <v>47418</v>
      </c>
      <c r="Q405" s="17" t="str">
        <f>IF(AND(MediCare_Data[[#This Row],[Patient_Gender]]="Male", MediCare_Data[[#This Row],[Treatment_Type]]="Maternity"), "Gender-Treatment Mismatch", "Fine")</f>
        <v>Fine</v>
      </c>
      <c r="R405" s="10">
        <f>MediCare_Data[[#This Row],[Revenue_Generated]]-MediCare_Data[[#This Row],[Average_Treatment_Cost]]</f>
        <v>41314</v>
      </c>
      <c r="S405" s="3">
        <f>(MediCare_Data[[#This Row],[Profit]]/MediCare_Data[[#This Row],[Revenue_Generated]])</f>
        <v>0.87127251254797755</v>
      </c>
    </row>
    <row r="406" spans="1:19" x14ac:dyDescent="0.25">
      <c r="A406" t="s">
        <v>453</v>
      </c>
      <c r="B406" t="s">
        <v>41</v>
      </c>
      <c r="C406" t="s">
        <v>54</v>
      </c>
      <c r="D406" t="s">
        <v>16</v>
      </c>
      <c r="E406">
        <v>5</v>
      </c>
      <c r="F406" t="str">
        <f>IF(MediCare_Data[[#This Row],[Patient_Age]]&lt;=18,"0-18",IF(MediCare_Data[[#This Row],[Patient_Age]]&lt;=35,"19-35",IF(MediCare_Data[[#This Row],[Patient_Age]]&lt;=60,"36-60","60+")))</f>
        <v>0-18</v>
      </c>
      <c r="G406" t="s">
        <v>26</v>
      </c>
      <c r="H406" t="s">
        <v>18</v>
      </c>
      <c r="I406" s="2">
        <v>75</v>
      </c>
      <c r="J406" s="11">
        <v>2921</v>
      </c>
      <c r="K406" s="3">
        <v>11.68476637</v>
      </c>
      <c r="L406" s="3">
        <f t="shared" si="6"/>
        <v>0.11684766370000001</v>
      </c>
      <c r="M406">
        <v>157</v>
      </c>
      <c r="N406" s="6">
        <f>MediCare_Data[[#This Row],[Average_Wait_Time (mins)]]/1440</f>
        <v>0.10902777777777778</v>
      </c>
      <c r="O406" s="2">
        <v>3</v>
      </c>
      <c r="P406" s="10">
        <v>27206</v>
      </c>
      <c r="Q406" s="17" t="str">
        <f>IF(AND(MediCare_Data[[#This Row],[Patient_Gender]]="Male", MediCare_Data[[#This Row],[Treatment_Type]]="Maternity"), "Gender-Treatment Mismatch", "Fine")</f>
        <v>Fine</v>
      </c>
      <c r="R406" s="10">
        <f>MediCare_Data[[#This Row],[Revenue_Generated]]-MediCare_Data[[#This Row],[Average_Treatment_Cost]]</f>
        <v>24285</v>
      </c>
      <c r="S406" s="3">
        <f>(MediCare_Data[[#This Row],[Profit]]/MediCare_Data[[#This Row],[Revenue_Generated]])</f>
        <v>0.89263397779901488</v>
      </c>
    </row>
    <row r="407" spans="1:19" x14ac:dyDescent="0.25">
      <c r="A407" t="s">
        <v>454</v>
      </c>
      <c r="B407" t="s">
        <v>82</v>
      </c>
      <c r="C407" t="s">
        <v>15</v>
      </c>
      <c r="D407" t="s">
        <v>21</v>
      </c>
      <c r="E407">
        <v>28</v>
      </c>
      <c r="F407" t="str">
        <f>IF(MediCare_Data[[#This Row],[Patient_Age]]&lt;=18,"0-18",IF(MediCare_Data[[#This Row],[Patient_Age]]&lt;=35,"19-35",IF(MediCare_Data[[#This Row],[Patient_Age]]&lt;=60,"36-60","60+")))</f>
        <v>19-35</v>
      </c>
      <c r="G407" t="s">
        <v>43</v>
      </c>
      <c r="H407" t="s">
        <v>33</v>
      </c>
      <c r="I407" s="2">
        <v>84</v>
      </c>
      <c r="J407" s="11">
        <v>7619</v>
      </c>
      <c r="K407" s="3">
        <v>20.69793954</v>
      </c>
      <c r="L407" s="3">
        <f t="shared" si="6"/>
        <v>0.20697939539999999</v>
      </c>
      <c r="M407">
        <v>126</v>
      </c>
      <c r="N407" s="6">
        <f>MediCare_Data[[#This Row],[Average_Wait_Time (mins)]]/1440</f>
        <v>8.7499999999999994E-2</v>
      </c>
      <c r="O407" s="2">
        <v>3</v>
      </c>
      <c r="P407" s="10">
        <v>1287</v>
      </c>
      <c r="Q407" s="17" t="str">
        <f>IF(AND(MediCare_Data[[#This Row],[Patient_Gender]]="Male", MediCare_Data[[#This Row],[Treatment_Type]]="Maternity"), "Gender-Treatment Mismatch", "Fine")</f>
        <v>Fine</v>
      </c>
      <c r="R407" s="10">
        <f>MediCare_Data[[#This Row],[Revenue_Generated]]-MediCare_Data[[#This Row],[Average_Treatment_Cost]]</f>
        <v>-6332</v>
      </c>
      <c r="S407" s="3">
        <f>(MediCare_Data[[#This Row],[Profit]]/MediCare_Data[[#This Row],[Revenue_Generated]])</f>
        <v>-4.9199689199689196</v>
      </c>
    </row>
    <row r="408" spans="1:19" x14ac:dyDescent="0.25">
      <c r="A408" t="s">
        <v>455</v>
      </c>
      <c r="B408" t="s">
        <v>74</v>
      </c>
      <c r="C408" t="s">
        <v>20</v>
      </c>
      <c r="D408" t="s">
        <v>21</v>
      </c>
      <c r="E408">
        <v>3</v>
      </c>
      <c r="F408" t="str">
        <f>IF(MediCare_Data[[#This Row],[Patient_Age]]&lt;=18,"0-18",IF(MediCare_Data[[#This Row],[Patient_Age]]&lt;=35,"19-35",IF(MediCare_Data[[#This Row],[Patient_Age]]&lt;=60,"36-60","60+")))</f>
        <v>0-18</v>
      </c>
      <c r="G408" t="s">
        <v>22</v>
      </c>
      <c r="H408" t="s">
        <v>23</v>
      </c>
      <c r="I408" s="2">
        <v>99</v>
      </c>
      <c r="J408" s="11">
        <v>9401</v>
      </c>
      <c r="K408" s="3">
        <v>19.153618689999998</v>
      </c>
      <c r="L408" s="3">
        <f t="shared" si="6"/>
        <v>0.19153618689999999</v>
      </c>
      <c r="M408">
        <v>103</v>
      </c>
      <c r="N408" s="6">
        <f>MediCare_Data[[#This Row],[Average_Wait_Time (mins)]]/1440</f>
        <v>7.1527777777777773E-2</v>
      </c>
      <c r="O408" s="2">
        <v>3</v>
      </c>
      <c r="P408" s="10">
        <v>23337</v>
      </c>
      <c r="Q408" s="17" t="str">
        <f>IF(AND(MediCare_Data[[#This Row],[Patient_Gender]]="Male", MediCare_Data[[#This Row],[Treatment_Type]]="Maternity"), "Gender-Treatment Mismatch", "Fine")</f>
        <v>Fine</v>
      </c>
      <c r="R408" s="10">
        <f>MediCare_Data[[#This Row],[Revenue_Generated]]-MediCare_Data[[#This Row],[Average_Treatment_Cost]]</f>
        <v>13936</v>
      </c>
      <c r="S408" s="3">
        <f>(MediCare_Data[[#This Row],[Profit]]/MediCare_Data[[#This Row],[Revenue_Generated]])</f>
        <v>0.59716330290954278</v>
      </c>
    </row>
    <row r="409" spans="1:19" x14ac:dyDescent="0.25">
      <c r="A409" t="s">
        <v>456</v>
      </c>
      <c r="B409" t="s">
        <v>56</v>
      </c>
      <c r="C409" t="s">
        <v>15</v>
      </c>
      <c r="D409" t="s">
        <v>16</v>
      </c>
      <c r="E409">
        <v>53</v>
      </c>
      <c r="F409" t="str">
        <f>IF(MediCare_Data[[#This Row],[Patient_Age]]&lt;=18,"0-18",IF(MediCare_Data[[#This Row],[Patient_Age]]&lt;=35,"19-35",IF(MediCare_Data[[#This Row],[Patient_Age]]&lt;=60,"36-60","60+")))</f>
        <v>36-60</v>
      </c>
      <c r="G409" t="s">
        <v>26</v>
      </c>
      <c r="H409" t="s">
        <v>47</v>
      </c>
      <c r="I409" s="2">
        <v>74</v>
      </c>
      <c r="J409" s="11">
        <v>5819</v>
      </c>
      <c r="K409" s="3">
        <v>20.772299289999999</v>
      </c>
      <c r="L409" s="3">
        <f t="shared" si="6"/>
        <v>0.20772299289999999</v>
      </c>
      <c r="M409">
        <v>172</v>
      </c>
      <c r="N409" s="6">
        <f>MediCare_Data[[#This Row],[Average_Wait_Time (mins)]]/1440</f>
        <v>0.11944444444444445</v>
      </c>
      <c r="O409" s="2">
        <v>4</v>
      </c>
      <c r="P409" s="10">
        <v>21666</v>
      </c>
      <c r="Q409" s="17" t="str">
        <f>IF(AND(MediCare_Data[[#This Row],[Patient_Gender]]="Male", MediCare_Data[[#This Row],[Treatment_Type]]="Maternity"), "Gender-Treatment Mismatch", "Fine")</f>
        <v>Fine</v>
      </c>
      <c r="R409" s="10">
        <f>MediCare_Data[[#This Row],[Revenue_Generated]]-MediCare_Data[[#This Row],[Average_Treatment_Cost]]</f>
        <v>15847</v>
      </c>
      <c r="S409" s="3">
        <f>(MediCare_Data[[#This Row],[Profit]]/MediCare_Data[[#This Row],[Revenue_Generated]])</f>
        <v>0.73142250530785557</v>
      </c>
    </row>
    <row r="410" spans="1:19" x14ac:dyDescent="0.25">
      <c r="A410" t="s">
        <v>457</v>
      </c>
      <c r="B410" t="s">
        <v>28</v>
      </c>
      <c r="C410" t="s">
        <v>46</v>
      </c>
      <c r="D410" t="s">
        <v>16</v>
      </c>
      <c r="E410">
        <v>59</v>
      </c>
      <c r="F410" t="str">
        <f>IF(MediCare_Data[[#This Row],[Patient_Age]]&lt;=18,"0-18",IF(MediCare_Data[[#This Row],[Patient_Age]]&lt;=35,"19-35",IF(MediCare_Data[[#This Row],[Patient_Age]]&lt;=60,"36-60","60+")))</f>
        <v>36-60</v>
      </c>
      <c r="G410" t="s">
        <v>26</v>
      </c>
      <c r="H410" t="s">
        <v>51</v>
      </c>
      <c r="I410" s="2">
        <v>73</v>
      </c>
      <c r="J410" s="11">
        <v>7109</v>
      </c>
      <c r="K410" s="3">
        <v>15.34538113</v>
      </c>
      <c r="L410" s="3">
        <f t="shared" si="6"/>
        <v>0.15345381129999999</v>
      </c>
      <c r="M410">
        <v>108</v>
      </c>
      <c r="N410" s="6">
        <f>MediCare_Data[[#This Row],[Average_Wait_Time (mins)]]/1440</f>
        <v>7.4999999999999997E-2</v>
      </c>
      <c r="O410" s="2">
        <v>4</v>
      </c>
      <c r="P410" s="10">
        <v>2161</v>
      </c>
      <c r="Q410" s="17" t="str">
        <f>IF(AND(MediCare_Data[[#This Row],[Patient_Gender]]="Male", MediCare_Data[[#This Row],[Treatment_Type]]="Maternity"), "Gender-Treatment Mismatch", "Fine")</f>
        <v>Fine</v>
      </c>
      <c r="R410" s="10">
        <f>MediCare_Data[[#This Row],[Revenue_Generated]]-MediCare_Data[[#This Row],[Average_Treatment_Cost]]</f>
        <v>-4948</v>
      </c>
      <c r="S410" s="3">
        <f>(MediCare_Data[[#This Row],[Profit]]/MediCare_Data[[#This Row],[Revenue_Generated]])</f>
        <v>-2.2896807033780657</v>
      </c>
    </row>
    <row r="411" spans="1:19" x14ac:dyDescent="0.25">
      <c r="A411" t="s">
        <v>458</v>
      </c>
      <c r="B411" t="s">
        <v>82</v>
      </c>
      <c r="C411" t="s">
        <v>42</v>
      </c>
      <c r="D411" t="s">
        <v>32</v>
      </c>
      <c r="E411">
        <v>49</v>
      </c>
      <c r="F411" t="str">
        <f>IF(MediCare_Data[[#This Row],[Patient_Age]]&lt;=18,"0-18",IF(MediCare_Data[[#This Row],[Patient_Age]]&lt;=35,"19-35",IF(MediCare_Data[[#This Row],[Patient_Age]]&lt;=60,"36-60","60+")))</f>
        <v>36-60</v>
      </c>
      <c r="G411" t="s">
        <v>43</v>
      </c>
      <c r="H411" t="s">
        <v>51</v>
      </c>
      <c r="I411" s="2">
        <v>62</v>
      </c>
      <c r="J411" s="11">
        <v>5887</v>
      </c>
      <c r="K411" s="3">
        <v>13.803979959999999</v>
      </c>
      <c r="L411" s="3">
        <f t="shared" si="6"/>
        <v>0.13803979959999998</v>
      </c>
      <c r="M411">
        <v>122</v>
      </c>
      <c r="N411" s="6">
        <f>MediCare_Data[[#This Row],[Average_Wait_Time (mins)]]/1440</f>
        <v>8.4722222222222227E-2</v>
      </c>
      <c r="O411" s="2">
        <v>2</v>
      </c>
      <c r="P411" s="10">
        <v>36131</v>
      </c>
      <c r="Q411" s="17" t="str">
        <f>IF(AND(MediCare_Data[[#This Row],[Patient_Gender]]="Male", MediCare_Data[[#This Row],[Treatment_Type]]="Maternity"), "Gender-Treatment Mismatch", "Fine")</f>
        <v>Fine</v>
      </c>
      <c r="R411" s="10">
        <f>MediCare_Data[[#This Row],[Revenue_Generated]]-MediCare_Data[[#This Row],[Average_Treatment_Cost]]</f>
        <v>30244</v>
      </c>
      <c r="S411" s="3">
        <f>(MediCare_Data[[#This Row],[Profit]]/MediCare_Data[[#This Row],[Revenue_Generated]])</f>
        <v>0.83706512413163214</v>
      </c>
    </row>
    <row r="412" spans="1:19" x14ac:dyDescent="0.25">
      <c r="A412" t="s">
        <v>459</v>
      </c>
      <c r="B412" t="s">
        <v>41</v>
      </c>
      <c r="C412" t="s">
        <v>46</v>
      </c>
      <c r="D412" t="s">
        <v>16</v>
      </c>
      <c r="E412">
        <v>12</v>
      </c>
      <c r="F412" t="str">
        <f>IF(MediCare_Data[[#This Row],[Patient_Age]]&lt;=18,"0-18",IF(MediCare_Data[[#This Row],[Patient_Age]]&lt;=35,"19-35",IF(MediCare_Data[[#This Row],[Patient_Age]]&lt;=60,"36-60","60+")))</f>
        <v>0-18</v>
      </c>
      <c r="G412" t="s">
        <v>17</v>
      </c>
      <c r="H412" t="s">
        <v>33</v>
      </c>
      <c r="I412" s="2">
        <v>56</v>
      </c>
      <c r="J412" s="11">
        <v>4493</v>
      </c>
      <c r="K412" s="3">
        <v>7.9490505340000004</v>
      </c>
      <c r="L412" s="3">
        <f t="shared" si="6"/>
        <v>7.9490505340000003E-2</v>
      </c>
      <c r="M412">
        <v>112</v>
      </c>
      <c r="N412" s="6">
        <f>MediCare_Data[[#This Row],[Average_Wait_Time (mins)]]/1440</f>
        <v>7.7777777777777779E-2</v>
      </c>
      <c r="O412" s="2">
        <v>4</v>
      </c>
      <c r="P412" s="10">
        <v>25535</v>
      </c>
      <c r="Q412" s="17" t="str">
        <f>IF(AND(MediCare_Data[[#This Row],[Patient_Gender]]="Male", MediCare_Data[[#This Row],[Treatment_Type]]="Maternity"), "Gender-Treatment Mismatch", "Fine")</f>
        <v>Fine</v>
      </c>
      <c r="R412" s="10">
        <f>MediCare_Data[[#This Row],[Revenue_Generated]]-MediCare_Data[[#This Row],[Average_Treatment_Cost]]</f>
        <v>21042</v>
      </c>
      <c r="S412" s="3">
        <f>(MediCare_Data[[#This Row],[Profit]]/MediCare_Data[[#This Row],[Revenue_Generated]])</f>
        <v>0.82404542784413548</v>
      </c>
    </row>
    <row r="413" spans="1:19" x14ac:dyDescent="0.25">
      <c r="A413" t="s">
        <v>460</v>
      </c>
      <c r="B413" t="s">
        <v>35</v>
      </c>
      <c r="C413" t="s">
        <v>36</v>
      </c>
      <c r="D413" t="s">
        <v>32</v>
      </c>
      <c r="E413">
        <v>80</v>
      </c>
      <c r="F413" t="str">
        <f>IF(MediCare_Data[[#This Row],[Patient_Age]]&lt;=18,"0-18",IF(MediCare_Data[[#This Row],[Patient_Age]]&lt;=35,"19-35",IF(MediCare_Data[[#This Row],[Patient_Age]]&lt;=60,"36-60","60+")))</f>
        <v>60+</v>
      </c>
      <c r="G413" t="s">
        <v>22</v>
      </c>
      <c r="H413" t="s">
        <v>23</v>
      </c>
      <c r="I413" s="2">
        <v>85</v>
      </c>
      <c r="J413" s="11">
        <v>9180</v>
      </c>
      <c r="K413" s="3">
        <v>11.563855070000001</v>
      </c>
      <c r="L413" s="3">
        <f t="shared" si="6"/>
        <v>0.11563855070000001</v>
      </c>
      <c r="M413">
        <v>100</v>
      </c>
      <c r="N413" s="6">
        <f>MediCare_Data[[#This Row],[Average_Wait_Time (mins)]]/1440</f>
        <v>6.9444444444444448E-2</v>
      </c>
      <c r="O413" s="2">
        <v>2</v>
      </c>
      <c r="P413" s="10">
        <v>33528</v>
      </c>
      <c r="Q413" s="17" t="str">
        <f>IF(AND(MediCare_Data[[#This Row],[Patient_Gender]]="Male", MediCare_Data[[#This Row],[Treatment_Type]]="Maternity"), "Gender-Treatment Mismatch", "Fine")</f>
        <v>Fine</v>
      </c>
      <c r="R413" s="10">
        <f>MediCare_Data[[#This Row],[Revenue_Generated]]-MediCare_Data[[#This Row],[Average_Treatment_Cost]]</f>
        <v>24348</v>
      </c>
      <c r="S413" s="3">
        <f>(MediCare_Data[[#This Row],[Profit]]/MediCare_Data[[#This Row],[Revenue_Generated]])</f>
        <v>0.72619899785254116</v>
      </c>
    </row>
    <row r="414" spans="1:19" x14ac:dyDescent="0.25">
      <c r="A414" t="s">
        <v>461</v>
      </c>
      <c r="B414" t="s">
        <v>74</v>
      </c>
      <c r="C414" t="s">
        <v>46</v>
      </c>
      <c r="D414" t="s">
        <v>21</v>
      </c>
      <c r="E414">
        <v>28</v>
      </c>
      <c r="F414" t="str">
        <f>IF(MediCare_Data[[#This Row],[Patient_Age]]&lt;=18,"0-18",IF(MediCare_Data[[#This Row],[Patient_Age]]&lt;=35,"19-35",IF(MediCare_Data[[#This Row],[Patient_Age]]&lt;=60,"36-60","60+")))</f>
        <v>19-35</v>
      </c>
      <c r="G414" t="s">
        <v>17</v>
      </c>
      <c r="H414" t="s">
        <v>51</v>
      </c>
      <c r="I414" s="2">
        <v>94</v>
      </c>
      <c r="J414" s="11">
        <v>8544</v>
      </c>
      <c r="K414" s="3">
        <v>13.680387319999999</v>
      </c>
      <c r="L414" s="3">
        <f t="shared" si="6"/>
        <v>0.13680387319999998</v>
      </c>
      <c r="M414">
        <v>99</v>
      </c>
      <c r="N414" s="6">
        <f>MediCare_Data[[#This Row],[Average_Wait_Time (mins)]]/1440</f>
        <v>6.8750000000000006E-2</v>
      </c>
      <c r="O414" s="2">
        <v>2</v>
      </c>
      <c r="P414" s="10">
        <v>39751</v>
      </c>
      <c r="Q414" s="17" t="str">
        <f>IF(AND(MediCare_Data[[#This Row],[Patient_Gender]]="Male", MediCare_Data[[#This Row],[Treatment_Type]]="Maternity"), "Gender-Treatment Mismatch", "Fine")</f>
        <v>Fine</v>
      </c>
      <c r="R414" s="10">
        <f>MediCare_Data[[#This Row],[Revenue_Generated]]-MediCare_Data[[#This Row],[Average_Treatment_Cost]]</f>
        <v>31207</v>
      </c>
      <c r="S414" s="3">
        <f>(MediCare_Data[[#This Row],[Profit]]/MediCare_Data[[#This Row],[Revenue_Generated]])</f>
        <v>0.78506201101859074</v>
      </c>
    </row>
    <row r="415" spans="1:19" x14ac:dyDescent="0.25">
      <c r="A415" t="s">
        <v>462</v>
      </c>
      <c r="B415" t="s">
        <v>61</v>
      </c>
      <c r="C415" t="s">
        <v>36</v>
      </c>
      <c r="D415" t="s">
        <v>21</v>
      </c>
      <c r="E415">
        <v>16</v>
      </c>
      <c r="F415" t="str">
        <f>IF(MediCare_Data[[#This Row],[Patient_Age]]&lt;=18,"0-18",IF(MediCare_Data[[#This Row],[Patient_Age]]&lt;=35,"19-35",IF(MediCare_Data[[#This Row],[Patient_Age]]&lt;=60,"36-60","60+")))</f>
        <v>0-18</v>
      </c>
      <c r="G415" t="s">
        <v>43</v>
      </c>
      <c r="H415" t="s">
        <v>33</v>
      </c>
      <c r="I415" s="2">
        <v>69</v>
      </c>
      <c r="J415" s="11">
        <v>8738</v>
      </c>
      <c r="K415" s="3">
        <v>6.7720085939999999</v>
      </c>
      <c r="L415" s="3">
        <f t="shared" si="6"/>
        <v>6.7720085939999994E-2</v>
      </c>
      <c r="M415">
        <v>26</v>
      </c>
      <c r="N415" s="6">
        <f>MediCare_Data[[#This Row],[Average_Wait_Time (mins)]]/1440</f>
        <v>1.8055555555555554E-2</v>
      </c>
      <c r="O415" s="2">
        <v>3</v>
      </c>
      <c r="P415" s="10">
        <v>17527</v>
      </c>
      <c r="Q415" s="17" t="str">
        <f>IF(AND(MediCare_Data[[#This Row],[Patient_Gender]]="Male", MediCare_Data[[#This Row],[Treatment_Type]]="Maternity"), "Gender-Treatment Mismatch", "Fine")</f>
        <v>Fine</v>
      </c>
      <c r="R415" s="10">
        <f>MediCare_Data[[#This Row],[Revenue_Generated]]-MediCare_Data[[#This Row],[Average_Treatment_Cost]]</f>
        <v>8789</v>
      </c>
      <c r="S415" s="3">
        <f>(MediCare_Data[[#This Row],[Profit]]/MediCare_Data[[#This Row],[Revenue_Generated]])</f>
        <v>0.50145489815712896</v>
      </c>
    </row>
    <row r="416" spans="1:19" x14ac:dyDescent="0.25">
      <c r="A416" t="s">
        <v>463</v>
      </c>
      <c r="B416" t="s">
        <v>58</v>
      </c>
      <c r="C416" t="s">
        <v>15</v>
      </c>
      <c r="D416" t="s">
        <v>21</v>
      </c>
      <c r="E416">
        <v>48</v>
      </c>
      <c r="F416" t="str">
        <f>IF(MediCare_Data[[#This Row],[Patient_Age]]&lt;=18,"0-18",IF(MediCare_Data[[#This Row],[Patient_Age]]&lt;=35,"19-35",IF(MediCare_Data[[#This Row],[Patient_Age]]&lt;=60,"36-60","60+")))</f>
        <v>36-60</v>
      </c>
      <c r="G416" t="s">
        <v>26</v>
      </c>
      <c r="H416" t="s">
        <v>37</v>
      </c>
      <c r="I416" s="2">
        <v>50</v>
      </c>
      <c r="J416" s="11">
        <v>5373</v>
      </c>
      <c r="K416" s="3">
        <v>9.4122390540000005</v>
      </c>
      <c r="L416" s="3">
        <f t="shared" si="6"/>
        <v>9.4122390540000003E-2</v>
      </c>
      <c r="M416">
        <v>27</v>
      </c>
      <c r="N416" s="6">
        <f>MediCare_Data[[#This Row],[Average_Wait_Time (mins)]]/1440</f>
        <v>1.8749999999999999E-2</v>
      </c>
      <c r="O416" s="2">
        <v>4</v>
      </c>
      <c r="P416" s="10">
        <v>41975</v>
      </c>
      <c r="Q416" s="17" t="str">
        <f>IF(AND(MediCare_Data[[#This Row],[Patient_Gender]]="Male", MediCare_Data[[#This Row],[Treatment_Type]]="Maternity"), "Gender-Treatment Mismatch", "Fine")</f>
        <v>Fine</v>
      </c>
      <c r="R416" s="10">
        <f>MediCare_Data[[#This Row],[Revenue_Generated]]-MediCare_Data[[#This Row],[Average_Treatment_Cost]]</f>
        <v>36602</v>
      </c>
      <c r="S416" s="3">
        <f>(MediCare_Data[[#This Row],[Profit]]/MediCare_Data[[#This Row],[Revenue_Generated]])</f>
        <v>0.87199523525908273</v>
      </c>
    </row>
    <row r="417" spans="1:19" x14ac:dyDescent="0.25">
      <c r="A417" t="s">
        <v>464</v>
      </c>
      <c r="B417" t="s">
        <v>74</v>
      </c>
      <c r="C417" t="s">
        <v>42</v>
      </c>
      <c r="D417" t="s">
        <v>21</v>
      </c>
      <c r="E417">
        <v>87</v>
      </c>
      <c r="F417" t="str">
        <f>IF(MediCare_Data[[#This Row],[Patient_Age]]&lt;=18,"0-18",IF(MediCare_Data[[#This Row],[Patient_Age]]&lt;=35,"19-35",IF(MediCare_Data[[#This Row],[Patient_Age]]&lt;=60,"36-60","60+")))</f>
        <v>60+</v>
      </c>
      <c r="G417" t="s">
        <v>43</v>
      </c>
      <c r="H417" t="s">
        <v>23</v>
      </c>
      <c r="I417" s="2">
        <v>57</v>
      </c>
      <c r="J417" s="11">
        <v>5306</v>
      </c>
      <c r="K417" s="3">
        <v>16.964505880000001</v>
      </c>
      <c r="L417" s="3">
        <f t="shared" si="6"/>
        <v>0.1696450588</v>
      </c>
      <c r="M417">
        <v>125</v>
      </c>
      <c r="N417" s="6">
        <f>MediCare_Data[[#This Row],[Average_Wait_Time (mins)]]/1440</f>
        <v>8.6805555555555552E-2</v>
      </c>
      <c r="O417" s="2">
        <v>4</v>
      </c>
      <c r="P417" s="10">
        <v>24853</v>
      </c>
      <c r="Q417" s="17" t="str">
        <f>IF(AND(MediCare_Data[[#This Row],[Patient_Gender]]="Male", MediCare_Data[[#This Row],[Treatment_Type]]="Maternity"), "Gender-Treatment Mismatch", "Fine")</f>
        <v>Fine</v>
      </c>
      <c r="R417" s="10">
        <f>MediCare_Data[[#This Row],[Revenue_Generated]]-MediCare_Data[[#This Row],[Average_Treatment_Cost]]</f>
        <v>19547</v>
      </c>
      <c r="S417" s="3">
        <f>(MediCare_Data[[#This Row],[Profit]]/MediCare_Data[[#This Row],[Revenue_Generated]])</f>
        <v>0.78650464732627856</v>
      </c>
    </row>
    <row r="418" spans="1:19" x14ac:dyDescent="0.25">
      <c r="A418" t="s">
        <v>465</v>
      </c>
      <c r="B418" t="s">
        <v>28</v>
      </c>
      <c r="C418" t="s">
        <v>31</v>
      </c>
      <c r="D418" t="s">
        <v>16</v>
      </c>
      <c r="E418">
        <v>20</v>
      </c>
      <c r="F418" t="str">
        <f>IF(MediCare_Data[[#This Row],[Patient_Age]]&lt;=18,"0-18",IF(MediCare_Data[[#This Row],[Patient_Age]]&lt;=35,"19-35",IF(MediCare_Data[[#This Row],[Patient_Age]]&lt;=60,"36-60","60+")))</f>
        <v>19-35</v>
      </c>
      <c r="G418" t="s">
        <v>43</v>
      </c>
      <c r="H418" t="s">
        <v>47</v>
      </c>
      <c r="I418" s="2">
        <v>95</v>
      </c>
      <c r="J418" s="11">
        <v>9092</v>
      </c>
      <c r="K418" s="3">
        <v>19.713262279999999</v>
      </c>
      <c r="L418" s="3">
        <f t="shared" si="6"/>
        <v>0.19713262279999999</v>
      </c>
      <c r="M418">
        <v>102</v>
      </c>
      <c r="N418" s="6">
        <f>MediCare_Data[[#This Row],[Average_Wait_Time (mins)]]/1440</f>
        <v>7.0833333333333331E-2</v>
      </c>
      <c r="O418" s="2">
        <v>2</v>
      </c>
      <c r="P418" s="10">
        <v>15758</v>
      </c>
      <c r="Q418" s="17" t="str">
        <f>IF(AND(MediCare_Data[[#This Row],[Patient_Gender]]="Male", MediCare_Data[[#This Row],[Treatment_Type]]="Maternity"), "Gender-Treatment Mismatch", "Fine")</f>
        <v>Fine</v>
      </c>
      <c r="R418" s="10">
        <f>MediCare_Data[[#This Row],[Revenue_Generated]]-MediCare_Data[[#This Row],[Average_Treatment_Cost]]</f>
        <v>6666</v>
      </c>
      <c r="S418" s="3">
        <f>(MediCare_Data[[#This Row],[Profit]]/MediCare_Data[[#This Row],[Revenue_Generated]])</f>
        <v>0.42302322629775352</v>
      </c>
    </row>
    <row r="419" spans="1:19" x14ac:dyDescent="0.25">
      <c r="A419" t="s">
        <v>466</v>
      </c>
      <c r="B419" t="s">
        <v>45</v>
      </c>
      <c r="C419" t="s">
        <v>15</v>
      </c>
      <c r="D419" t="s">
        <v>16</v>
      </c>
      <c r="E419">
        <v>74</v>
      </c>
      <c r="F419" t="str">
        <f>IF(MediCare_Data[[#This Row],[Patient_Age]]&lt;=18,"0-18",IF(MediCare_Data[[#This Row],[Patient_Age]]&lt;=35,"19-35",IF(MediCare_Data[[#This Row],[Patient_Age]]&lt;=60,"36-60","60+")))</f>
        <v>60+</v>
      </c>
      <c r="G419" t="s">
        <v>43</v>
      </c>
      <c r="H419" t="s">
        <v>23</v>
      </c>
      <c r="I419" s="2">
        <v>65</v>
      </c>
      <c r="J419" s="11">
        <v>6413</v>
      </c>
      <c r="K419" s="3">
        <v>24.966950229999998</v>
      </c>
      <c r="L419" s="3">
        <f t="shared" si="6"/>
        <v>0.24966950229999998</v>
      </c>
      <c r="M419">
        <v>100</v>
      </c>
      <c r="N419" s="6">
        <f>MediCare_Data[[#This Row],[Average_Wait_Time (mins)]]/1440</f>
        <v>6.9444444444444448E-2</v>
      </c>
      <c r="O419" s="2">
        <v>2</v>
      </c>
      <c r="P419" s="10">
        <v>1244</v>
      </c>
      <c r="Q419" s="17" t="str">
        <f>IF(AND(MediCare_Data[[#This Row],[Patient_Gender]]="Male", MediCare_Data[[#This Row],[Treatment_Type]]="Maternity"), "Gender-Treatment Mismatch", "Fine")</f>
        <v>Fine</v>
      </c>
      <c r="R419" s="10">
        <f>MediCare_Data[[#This Row],[Revenue_Generated]]-MediCare_Data[[#This Row],[Average_Treatment_Cost]]</f>
        <v>-5169</v>
      </c>
      <c r="S419" s="3">
        <f>(MediCare_Data[[#This Row],[Profit]]/MediCare_Data[[#This Row],[Revenue_Generated]])</f>
        <v>-4.155144694533762</v>
      </c>
    </row>
    <row r="420" spans="1:19" x14ac:dyDescent="0.25">
      <c r="A420" t="s">
        <v>467</v>
      </c>
      <c r="B420" t="s">
        <v>49</v>
      </c>
      <c r="C420" t="s">
        <v>15</v>
      </c>
      <c r="D420" t="s">
        <v>32</v>
      </c>
      <c r="E420">
        <v>51</v>
      </c>
      <c r="F420" t="str">
        <f>IF(MediCare_Data[[#This Row],[Patient_Age]]&lt;=18,"0-18",IF(MediCare_Data[[#This Row],[Patient_Age]]&lt;=35,"19-35",IF(MediCare_Data[[#This Row],[Patient_Age]]&lt;=60,"36-60","60+")))</f>
        <v>36-60</v>
      </c>
      <c r="G420" t="s">
        <v>43</v>
      </c>
      <c r="H420" t="s">
        <v>18</v>
      </c>
      <c r="I420" s="2">
        <v>63</v>
      </c>
      <c r="J420" s="11">
        <v>7624</v>
      </c>
      <c r="K420" s="3">
        <v>23.662266630000001</v>
      </c>
      <c r="L420" s="3">
        <f t="shared" si="6"/>
        <v>0.23662266630000001</v>
      </c>
      <c r="M420">
        <v>91</v>
      </c>
      <c r="N420" s="6">
        <f>MediCare_Data[[#This Row],[Average_Wait_Time (mins)]]/1440</f>
        <v>6.3194444444444442E-2</v>
      </c>
      <c r="O420" s="2">
        <v>1</v>
      </c>
      <c r="P420" s="10">
        <v>4178</v>
      </c>
      <c r="Q420" s="17" t="str">
        <f>IF(AND(MediCare_Data[[#This Row],[Patient_Gender]]="Male", MediCare_Data[[#This Row],[Treatment_Type]]="Maternity"), "Gender-Treatment Mismatch", "Fine")</f>
        <v>Fine</v>
      </c>
      <c r="R420" s="10">
        <f>MediCare_Data[[#This Row],[Revenue_Generated]]-MediCare_Data[[#This Row],[Average_Treatment_Cost]]</f>
        <v>-3446</v>
      </c>
      <c r="S420" s="3">
        <f>(MediCare_Data[[#This Row],[Profit]]/MediCare_Data[[#This Row],[Revenue_Generated]])</f>
        <v>-0.8247965533748205</v>
      </c>
    </row>
    <row r="421" spans="1:19" x14ac:dyDescent="0.25">
      <c r="A421" t="s">
        <v>468</v>
      </c>
      <c r="B421" t="s">
        <v>39</v>
      </c>
      <c r="C421" t="s">
        <v>46</v>
      </c>
      <c r="D421" t="s">
        <v>21</v>
      </c>
      <c r="E421">
        <v>50</v>
      </c>
      <c r="F421" t="str">
        <f>IF(MediCare_Data[[#This Row],[Patient_Age]]&lt;=18,"0-18",IF(MediCare_Data[[#This Row],[Patient_Age]]&lt;=35,"19-35",IF(MediCare_Data[[#This Row],[Patient_Age]]&lt;=60,"36-60","60+")))</f>
        <v>36-60</v>
      </c>
      <c r="G421" t="s">
        <v>26</v>
      </c>
      <c r="H421" t="s">
        <v>23</v>
      </c>
      <c r="I421" s="2">
        <v>61</v>
      </c>
      <c r="J421" s="11">
        <v>3657</v>
      </c>
      <c r="K421" s="3">
        <v>17.851303990000002</v>
      </c>
      <c r="L421" s="3">
        <f t="shared" si="6"/>
        <v>0.1785130399</v>
      </c>
      <c r="M421">
        <v>77</v>
      </c>
      <c r="N421" s="6">
        <f>MediCare_Data[[#This Row],[Average_Wait_Time (mins)]]/1440</f>
        <v>5.347222222222222E-2</v>
      </c>
      <c r="O421" s="2">
        <v>1</v>
      </c>
      <c r="P421" s="10">
        <v>32831</v>
      </c>
      <c r="Q421" s="17" t="str">
        <f>IF(AND(MediCare_Data[[#This Row],[Patient_Gender]]="Male", MediCare_Data[[#This Row],[Treatment_Type]]="Maternity"), "Gender-Treatment Mismatch", "Fine")</f>
        <v>Fine</v>
      </c>
      <c r="R421" s="10">
        <f>MediCare_Data[[#This Row],[Revenue_Generated]]-MediCare_Data[[#This Row],[Average_Treatment_Cost]]</f>
        <v>29174</v>
      </c>
      <c r="S421" s="3">
        <f>(MediCare_Data[[#This Row],[Profit]]/MediCare_Data[[#This Row],[Revenue_Generated]])</f>
        <v>0.88861137339709417</v>
      </c>
    </row>
    <row r="422" spans="1:19" x14ac:dyDescent="0.25">
      <c r="A422" t="s">
        <v>469</v>
      </c>
      <c r="B422" t="s">
        <v>58</v>
      </c>
      <c r="C422" t="s">
        <v>29</v>
      </c>
      <c r="D422" t="s">
        <v>16</v>
      </c>
      <c r="E422">
        <v>13</v>
      </c>
      <c r="F422" t="str">
        <f>IF(MediCare_Data[[#This Row],[Patient_Age]]&lt;=18,"0-18",IF(MediCare_Data[[#This Row],[Patient_Age]]&lt;=35,"19-35",IF(MediCare_Data[[#This Row],[Patient_Age]]&lt;=60,"36-60","60+")))</f>
        <v>0-18</v>
      </c>
      <c r="G422" t="s">
        <v>22</v>
      </c>
      <c r="H422" t="s">
        <v>23</v>
      </c>
      <c r="I422" s="2">
        <v>72</v>
      </c>
      <c r="J422" s="11">
        <v>890</v>
      </c>
      <c r="K422" s="3">
        <v>13.42496107</v>
      </c>
      <c r="L422" s="3">
        <f t="shared" si="6"/>
        <v>0.13424961069999999</v>
      </c>
      <c r="M422">
        <v>123</v>
      </c>
      <c r="N422" s="6">
        <f>MediCare_Data[[#This Row],[Average_Wait_Time (mins)]]/1440</f>
        <v>8.5416666666666669E-2</v>
      </c>
      <c r="O422" s="2">
        <v>2</v>
      </c>
      <c r="P422" s="10">
        <v>3176</v>
      </c>
      <c r="Q422" s="17" t="str">
        <f>IF(AND(MediCare_Data[[#This Row],[Patient_Gender]]="Male", MediCare_Data[[#This Row],[Treatment_Type]]="Maternity"), "Gender-Treatment Mismatch", "Fine")</f>
        <v>Fine</v>
      </c>
      <c r="R422" s="10">
        <f>MediCare_Data[[#This Row],[Revenue_Generated]]-MediCare_Data[[#This Row],[Average_Treatment_Cost]]</f>
        <v>2286</v>
      </c>
      <c r="S422" s="3">
        <f>(MediCare_Data[[#This Row],[Profit]]/MediCare_Data[[#This Row],[Revenue_Generated]])</f>
        <v>0.71977329974811088</v>
      </c>
    </row>
    <row r="423" spans="1:19" x14ac:dyDescent="0.25">
      <c r="A423" t="s">
        <v>470</v>
      </c>
      <c r="B423" t="s">
        <v>25</v>
      </c>
      <c r="C423" t="s">
        <v>54</v>
      </c>
      <c r="D423" t="s">
        <v>32</v>
      </c>
      <c r="E423">
        <v>21</v>
      </c>
      <c r="F423" t="str">
        <f>IF(MediCare_Data[[#This Row],[Patient_Age]]&lt;=18,"0-18",IF(MediCare_Data[[#This Row],[Patient_Age]]&lt;=35,"19-35",IF(MediCare_Data[[#This Row],[Patient_Age]]&lt;=60,"36-60","60+")))</f>
        <v>19-35</v>
      </c>
      <c r="G423" t="s">
        <v>26</v>
      </c>
      <c r="H423" t="s">
        <v>18</v>
      </c>
      <c r="I423" s="2">
        <v>64</v>
      </c>
      <c r="J423" s="11">
        <v>4930</v>
      </c>
      <c r="K423" s="3">
        <v>17.723547289999999</v>
      </c>
      <c r="L423" s="3">
        <f t="shared" si="6"/>
        <v>0.1772354729</v>
      </c>
      <c r="M423">
        <v>10</v>
      </c>
      <c r="N423" s="6">
        <f>MediCare_Data[[#This Row],[Average_Wait_Time (mins)]]/1440</f>
        <v>6.9444444444444441E-3</v>
      </c>
      <c r="O423" s="2">
        <v>1</v>
      </c>
      <c r="P423" s="10">
        <v>38770</v>
      </c>
      <c r="Q423" s="17" t="str">
        <f>IF(AND(MediCare_Data[[#This Row],[Patient_Gender]]="Male", MediCare_Data[[#This Row],[Treatment_Type]]="Maternity"), "Gender-Treatment Mismatch", "Fine")</f>
        <v>Fine</v>
      </c>
      <c r="R423" s="10">
        <f>MediCare_Data[[#This Row],[Revenue_Generated]]-MediCare_Data[[#This Row],[Average_Treatment_Cost]]</f>
        <v>33840</v>
      </c>
      <c r="S423" s="3">
        <f>(MediCare_Data[[#This Row],[Profit]]/MediCare_Data[[#This Row],[Revenue_Generated]])</f>
        <v>0.87283982460665466</v>
      </c>
    </row>
    <row r="424" spans="1:19" x14ac:dyDescent="0.25">
      <c r="A424" t="s">
        <v>471</v>
      </c>
      <c r="B424" t="s">
        <v>58</v>
      </c>
      <c r="C424" t="s">
        <v>15</v>
      </c>
      <c r="D424" t="s">
        <v>32</v>
      </c>
      <c r="E424">
        <v>81</v>
      </c>
      <c r="F424" t="str">
        <f>IF(MediCare_Data[[#This Row],[Patient_Age]]&lt;=18,"0-18",IF(MediCare_Data[[#This Row],[Patient_Age]]&lt;=35,"19-35",IF(MediCare_Data[[#This Row],[Patient_Age]]&lt;=60,"36-60","60+")))</f>
        <v>60+</v>
      </c>
      <c r="G424" t="s">
        <v>43</v>
      </c>
      <c r="H424" t="s">
        <v>23</v>
      </c>
      <c r="I424" s="2">
        <v>77</v>
      </c>
      <c r="J424" s="11">
        <v>9320</v>
      </c>
      <c r="K424" s="3">
        <v>20.71303236</v>
      </c>
      <c r="L424" s="3">
        <f t="shared" si="6"/>
        <v>0.2071303236</v>
      </c>
      <c r="M424">
        <v>67</v>
      </c>
      <c r="N424" s="6">
        <f>MediCare_Data[[#This Row],[Average_Wait_Time (mins)]]/1440</f>
        <v>4.6527777777777779E-2</v>
      </c>
      <c r="O424" s="2">
        <v>1</v>
      </c>
      <c r="P424" s="10">
        <v>34654</v>
      </c>
      <c r="Q424" s="17" t="str">
        <f>IF(AND(MediCare_Data[[#This Row],[Patient_Gender]]="Male", MediCare_Data[[#This Row],[Treatment_Type]]="Maternity"), "Gender-Treatment Mismatch", "Fine")</f>
        <v>Fine</v>
      </c>
      <c r="R424" s="10">
        <f>MediCare_Data[[#This Row],[Revenue_Generated]]-MediCare_Data[[#This Row],[Average_Treatment_Cost]]</f>
        <v>25334</v>
      </c>
      <c r="S424" s="3">
        <f>(MediCare_Data[[#This Row],[Profit]]/MediCare_Data[[#This Row],[Revenue_Generated]])</f>
        <v>0.73105557799965371</v>
      </c>
    </row>
    <row r="425" spans="1:19" x14ac:dyDescent="0.25">
      <c r="A425" t="s">
        <v>472</v>
      </c>
      <c r="B425" t="s">
        <v>82</v>
      </c>
      <c r="C425" t="s">
        <v>54</v>
      </c>
      <c r="D425" t="s">
        <v>32</v>
      </c>
      <c r="E425">
        <v>4</v>
      </c>
      <c r="F425" t="str">
        <f>IF(MediCare_Data[[#This Row],[Patient_Age]]&lt;=18,"0-18",IF(MediCare_Data[[#This Row],[Patient_Age]]&lt;=35,"19-35",IF(MediCare_Data[[#This Row],[Patient_Age]]&lt;=60,"36-60","60+")))</f>
        <v>0-18</v>
      </c>
      <c r="G425" t="s">
        <v>43</v>
      </c>
      <c r="H425" t="s">
        <v>51</v>
      </c>
      <c r="I425" s="2">
        <v>83</v>
      </c>
      <c r="J425" s="11">
        <v>8186</v>
      </c>
      <c r="K425" s="3">
        <v>7.3667238179999996</v>
      </c>
      <c r="L425" s="3">
        <f t="shared" si="6"/>
        <v>7.3667238179999997E-2</v>
      </c>
      <c r="M425">
        <v>163</v>
      </c>
      <c r="N425" s="6">
        <f>MediCare_Data[[#This Row],[Average_Wait_Time (mins)]]/1440</f>
        <v>0.11319444444444444</v>
      </c>
      <c r="O425" s="2">
        <v>2</v>
      </c>
      <c r="P425" s="10">
        <v>27627</v>
      </c>
      <c r="Q425" s="17" t="str">
        <f>IF(AND(MediCare_Data[[#This Row],[Patient_Gender]]="Male", MediCare_Data[[#This Row],[Treatment_Type]]="Maternity"), "Gender-Treatment Mismatch", "Fine")</f>
        <v>Fine</v>
      </c>
      <c r="R425" s="10">
        <f>MediCare_Data[[#This Row],[Revenue_Generated]]-MediCare_Data[[#This Row],[Average_Treatment_Cost]]</f>
        <v>19441</v>
      </c>
      <c r="S425" s="3">
        <f>(MediCare_Data[[#This Row],[Profit]]/MediCare_Data[[#This Row],[Revenue_Generated]])</f>
        <v>0.70369566004271189</v>
      </c>
    </row>
    <row r="426" spans="1:19" x14ac:dyDescent="0.25">
      <c r="A426" t="s">
        <v>473</v>
      </c>
      <c r="B426" t="s">
        <v>64</v>
      </c>
      <c r="C426" t="s">
        <v>54</v>
      </c>
      <c r="D426" t="s">
        <v>21</v>
      </c>
      <c r="E426">
        <v>84</v>
      </c>
      <c r="F426" t="str">
        <f>IF(MediCare_Data[[#This Row],[Patient_Age]]&lt;=18,"0-18",IF(MediCare_Data[[#This Row],[Patient_Age]]&lt;=35,"19-35",IF(MediCare_Data[[#This Row],[Patient_Age]]&lt;=60,"36-60","60+")))</f>
        <v>60+</v>
      </c>
      <c r="G426" t="s">
        <v>26</v>
      </c>
      <c r="H426" t="s">
        <v>47</v>
      </c>
      <c r="I426" s="2">
        <v>51</v>
      </c>
      <c r="J426" s="11">
        <v>4732</v>
      </c>
      <c r="K426" s="3">
        <v>13.19809779</v>
      </c>
      <c r="L426" s="3">
        <f t="shared" si="6"/>
        <v>0.13198097789999999</v>
      </c>
      <c r="M426">
        <v>118</v>
      </c>
      <c r="N426" s="6">
        <f>MediCare_Data[[#This Row],[Average_Wait_Time (mins)]]/1440</f>
        <v>8.1944444444444445E-2</v>
      </c>
      <c r="O426" s="2">
        <v>2</v>
      </c>
      <c r="P426" s="10">
        <v>47489</v>
      </c>
      <c r="Q426" s="17" t="str">
        <f>IF(AND(MediCare_Data[[#This Row],[Patient_Gender]]="Male", MediCare_Data[[#This Row],[Treatment_Type]]="Maternity"), "Gender-Treatment Mismatch", "Fine")</f>
        <v>Fine</v>
      </c>
      <c r="R426" s="10">
        <f>MediCare_Data[[#This Row],[Revenue_Generated]]-MediCare_Data[[#This Row],[Average_Treatment_Cost]]</f>
        <v>42757</v>
      </c>
      <c r="S426" s="3">
        <f>(MediCare_Data[[#This Row],[Profit]]/MediCare_Data[[#This Row],[Revenue_Generated]])</f>
        <v>0.90035587188612098</v>
      </c>
    </row>
    <row r="427" spans="1:19" x14ac:dyDescent="0.25">
      <c r="A427" t="s">
        <v>474</v>
      </c>
      <c r="B427" t="s">
        <v>56</v>
      </c>
      <c r="C427" t="s">
        <v>31</v>
      </c>
      <c r="D427" t="s">
        <v>32</v>
      </c>
      <c r="E427">
        <v>85</v>
      </c>
      <c r="F427" t="str">
        <f>IF(MediCare_Data[[#This Row],[Patient_Age]]&lt;=18,"0-18",IF(MediCare_Data[[#This Row],[Patient_Age]]&lt;=35,"19-35",IF(MediCare_Data[[#This Row],[Patient_Age]]&lt;=60,"36-60","60+")))</f>
        <v>60+</v>
      </c>
      <c r="G427" t="s">
        <v>17</v>
      </c>
      <c r="H427" t="s">
        <v>47</v>
      </c>
      <c r="I427" s="2">
        <v>81</v>
      </c>
      <c r="J427" s="11">
        <v>8507</v>
      </c>
      <c r="K427" s="3">
        <v>21.796045710000001</v>
      </c>
      <c r="L427" s="3">
        <f t="shared" si="6"/>
        <v>0.2179604571</v>
      </c>
      <c r="M427">
        <v>157</v>
      </c>
      <c r="N427" s="6">
        <f>MediCare_Data[[#This Row],[Average_Wait_Time (mins)]]/1440</f>
        <v>0.10902777777777778</v>
      </c>
      <c r="O427" s="2">
        <v>4</v>
      </c>
      <c r="P427" s="10">
        <v>45910</v>
      </c>
      <c r="Q427" s="17" t="str">
        <f>IF(AND(MediCare_Data[[#This Row],[Patient_Gender]]="Male", MediCare_Data[[#This Row],[Treatment_Type]]="Maternity"), "Gender-Treatment Mismatch", "Fine")</f>
        <v>Fine</v>
      </c>
      <c r="R427" s="10">
        <f>MediCare_Data[[#This Row],[Revenue_Generated]]-MediCare_Data[[#This Row],[Average_Treatment_Cost]]</f>
        <v>37403</v>
      </c>
      <c r="S427" s="3">
        <f>(MediCare_Data[[#This Row],[Profit]]/MediCare_Data[[#This Row],[Revenue_Generated]])</f>
        <v>0.81470267915486827</v>
      </c>
    </row>
    <row r="428" spans="1:19" x14ac:dyDescent="0.25">
      <c r="A428" t="s">
        <v>475</v>
      </c>
      <c r="B428" t="s">
        <v>41</v>
      </c>
      <c r="C428" t="s">
        <v>31</v>
      </c>
      <c r="D428" t="s">
        <v>21</v>
      </c>
      <c r="E428">
        <v>15</v>
      </c>
      <c r="F428" t="str">
        <f>IF(MediCare_Data[[#This Row],[Patient_Age]]&lt;=18,"0-18",IF(MediCare_Data[[#This Row],[Patient_Age]]&lt;=35,"19-35",IF(MediCare_Data[[#This Row],[Patient_Age]]&lt;=60,"36-60","60+")))</f>
        <v>0-18</v>
      </c>
      <c r="G428" t="s">
        <v>17</v>
      </c>
      <c r="H428" t="s">
        <v>37</v>
      </c>
      <c r="I428" s="2">
        <v>72</v>
      </c>
      <c r="J428" s="11">
        <v>2021</v>
      </c>
      <c r="K428" s="3">
        <v>12.676659040000001</v>
      </c>
      <c r="L428" s="3">
        <f t="shared" si="6"/>
        <v>0.12676659040000002</v>
      </c>
      <c r="M428">
        <v>125</v>
      </c>
      <c r="N428" s="6">
        <f>MediCare_Data[[#This Row],[Average_Wait_Time (mins)]]/1440</f>
        <v>8.6805555555555552E-2</v>
      </c>
      <c r="O428" s="2">
        <v>2</v>
      </c>
      <c r="P428" s="10">
        <v>25881</v>
      </c>
      <c r="Q428" s="17" t="str">
        <f>IF(AND(MediCare_Data[[#This Row],[Patient_Gender]]="Male", MediCare_Data[[#This Row],[Treatment_Type]]="Maternity"), "Gender-Treatment Mismatch", "Fine")</f>
        <v>Fine</v>
      </c>
      <c r="R428" s="10">
        <f>MediCare_Data[[#This Row],[Revenue_Generated]]-MediCare_Data[[#This Row],[Average_Treatment_Cost]]</f>
        <v>23860</v>
      </c>
      <c r="S428" s="3">
        <f>(MediCare_Data[[#This Row],[Profit]]/MediCare_Data[[#This Row],[Revenue_Generated]])</f>
        <v>0.92191182720914955</v>
      </c>
    </row>
    <row r="429" spans="1:19" x14ac:dyDescent="0.25">
      <c r="A429" t="s">
        <v>476</v>
      </c>
      <c r="B429" t="s">
        <v>74</v>
      </c>
      <c r="C429" t="s">
        <v>31</v>
      </c>
      <c r="D429" t="s">
        <v>32</v>
      </c>
      <c r="E429">
        <v>24</v>
      </c>
      <c r="F429" t="str">
        <f>IF(MediCare_Data[[#This Row],[Patient_Age]]&lt;=18,"0-18",IF(MediCare_Data[[#This Row],[Patient_Age]]&lt;=35,"19-35",IF(MediCare_Data[[#This Row],[Patient_Age]]&lt;=60,"36-60","60+")))</f>
        <v>19-35</v>
      </c>
      <c r="G429" t="s">
        <v>17</v>
      </c>
      <c r="H429" t="s">
        <v>47</v>
      </c>
      <c r="I429" s="2">
        <v>71</v>
      </c>
      <c r="J429" s="11">
        <v>9518</v>
      </c>
      <c r="K429" s="3">
        <v>16.43744542</v>
      </c>
      <c r="L429" s="3">
        <f t="shared" si="6"/>
        <v>0.16437445419999999</v>
      </c>
      <c r="M429">
        <v>96</v>
      </c>
      <c r="N429" s="6">
        <f>MediCare_Data[[#This Row],[Average_Wait_Time (mins)]]/1440</f>
        <v>6.6666666666666666E-2</v>
      </c>
      <c r="O429" s="2">
        <v>2</v>
      </c>
      <c r="P429" s="10">
        <v>36422</v>
      </c>
      <c r="Q429" s="17" t="str">
        <f>IF(AND(MediCare_Data[[#This Row],[Patient_Gender]]="Male", MediCare_Data[[#This Row],[Treatment_Type]]="Maternity"), "Gender-Treatment Mismatch", "Fine")</f>
        <v>Fine</v>
      </c>
      <c r="R429" s="10">
        <f>MediCare_Data[[#This Row],[Revenue_Generated]]-MediCare_Data[[#This Row],[Average_Treatment_Cost]]</f>
        <v>26904</v>
      </c>
      <c r="S429" s="3">
        <f>(MediCare_Data[[#This Row],[Profit]]/MediCare_Data[[#This Row],[Revenue_Generated]])</f>
        <v>0.7386744275437922</v>
      </c>
    </row>
    <row r="430" spans="1:19" x14ac:dyDescent="0.25">
      <c r="A430" t="s">
        <v>477</v>
      </c>
      <c r="B430" t="s">
        <v>58</v>
      </c>
      <c r="C430" t="s">
        <v>20</v>
      </c>
      <c r="D430" t="s">
        <v>32</v>
      </c>
      <c r="E430">
        <v>63</v>
      </c>
      <c r="F430" t="str">
        <f>IF(MediCare_Data[[#This Row],[Patient_Age]]&lt;=18,"0-18",IF(MediCare_Data[[#This Row],[Patient_Age]]&lt;=35,"19-35",IF(MediCare_Data[[#This Row],[Patient_Age]]&lt;=60,"36-60","60+")))</f>
        <v>60+</v>
      </c>
      <c r="G430" t="s">
        <v>43</v>
      </c>
      <c r="H430" t="s">
        <v>47</v>
      </c>
      <c r="I430" s="2">
        <v>74</v>
      </c>
      <c r="J430" s="11">
        <v>2000</v>
      </c>
      <c r="K430" s="3">
        <v>16.755387219999999</v>
      </c>
      <c r="L430" s="3">
        <f t="shared" si="6"/>
        <v>0.16755387219999998</v>
      </c>
      <c r="M430">
        <v>19</v>
      </c>
      <c r="N430" s="6">
        <f>MediCare_Data[[#This Row],[Average_Wait_Time (mins)]]/1440</f>
        <v>1.3194444444444444E-2</v>
      </c>
      <c r="O430" s="2">
        <v>3</v>
      </c>
      <c r="P430" s="10">
        <v>12984</v>
      </c>
      <c r="Q430" s="17" t="str">
        <f>IF(AND(MediCare_Data[[#This Row],[Patient_Gender]]="Male", MediCare_Data[[#This Row],[Treatment_Type]]="Maternity"), "Gender-Treatment Mismatch", "Fine")</f>
        <v>Fine</v>
      </c>
      <c r="R430" s="10">
        <f>MediCare_Data[[#This Row],[Revenue_Generated]]-MediCare_Data[[#This Row],[Average_Treatment_Cost]]</f>
        <v>10984</v>
      </c>
      <c r="S430" s="3">
        <f>(MediCare_Data[[#This Row],[Profit]]/MediCare_Data[[#This Row],[Revenue_Generated]])</f>
        <v>0.84596426370918054</v>
      </c>
    </row>
    <row r="431" spans="1:19" x14ac:dyDescent="0.25">
      <c r="A431" t="s">
        <v>478</v>
      </c>
      <c r="B431" t="s">
        <v>39</v>
      </c>
      <c r="C431" t="s">
        <v>54</v>
      </c>
      <c r="D431" t="s">
        <v>32</v>
      </c>
      <c r="E431">
        <v>54</v>
      </c>
      <c r="F431" t="str">
        <f>IF(MediCare_Data[[#This Row],[Patient_Age]]&lt;=18,"0-18",IF(MediCare_Data[[#This Row],[Patient_Age]]&lt;=35,"19-35",IF(MediCare_Data[[#This Row],[Patient_Age]]&lt;=60,"36-60","60+")))</f>
        <v>36-60</v>
      </c>
      <c r="G431" t="s">
        <v>26</v>
      </c>
      <c r="H431" t="s">
        <v>33</v>
      </c>
      <c r="I431" s="2">
        <v>71</v>
      </c>
      <c r="J431" s="11">
        <v>7237</v>
      </c>
      <c r="K431" s="3">
        <v>8.6895250629999996</v>
      </c>
      <c r="L431" s="3">
        <f t="shared" si="6"/>
        <v>8.689525062999999E-2</v>
      </c>
      <c r="M431">
        <v>68</v>
      </c>
      <c r="N431" s="6">
        <f>MediCare_Data[[#This Row],[Average_Wait_Time (mins)]]/1440</f>
        <v>4.7222222222222221E-2</v>
      </c>
      <c r="O431" s="2">
        <v>4</v>
      </c>
      <c r="P431" s="10">
        <v>24776</v>
      </c>
      <c r="Q431" s="17" t="str">
        <f>IF(AND(MediCare_Data[[#This Row],[Patient_Gender]]="Male", MediCare_Data[[#This Row],[Treatment_Type]]="Maternity"), "Gender-Treatment Mismatch", "Fine")</f>
        <v>Fine</v>
      </c>
      <c r="R431" s="10">
        <f>MediCare_Data[[#This Row],[Revenue_Generated]]-MediCare_Data[[#This Row],[Average_Treatment_Cost]]</f>
        <v>17539</v>
      </c>
      <c r="S431" s="3">
        <f>(MediCare_Data[[#This Row],[Profit]]/MediCare_Data[[#This Row],[Revenue_Generated]])</f>
        <v>0.70790280917016468</v>
      </c>
    </row>
    <row r="432" spans="1:19" x14ac:dyDescent="0.25">
      <c r="A432" t="s">
        <v>479</v>
      </c>
      <c r="B432" t="s">
        <v>61</v>
      </c>
      <c r="C432" t="s">
        <v>46</v>
      </c>
      <c r="D432" t="s">
        <v>16</v>
      </c>
      <c r="E432">
        <v>2</v>
      </c>
      <c r="F432" t="str">
        <f>IF(MediCare_Data[[#This Row],[Patient_Age]]&lt;=18,"0-18",IF(MediCare_Data[[#This Row],[Patient_Age]]&lt;=35,"19-35",IF(MediCare_Data[[#This Row],[Patient_Age]]&lt;=60,"36-60","60+")))</f>
        <v>0-18</v>
      </c>
      <c r="G432" t="s">
        <v>26</v>
      </c>
      <c r="H432" t="s">
        <v>18</v>
      </c>
      <c r="I432" s="2">
        <v>71</v>
      </c>
      <c r="J432" s="11">
        <v>3794</v>
      </c>
      <c r="K432" s="3">
        <v>12.24470883</v>
      </c>
      <c r="L432" s="3">
        <f t="shared" si="6"/>
        <v>0.12244708830000001</v>
      </c>
      <c r="M432">
        <v>50</v>
      </c>
      <c r="N432" s="6">
        <f>MediCare_Data[[#This Row],[Average_Wait_Time (mins)]]/1440</f>
        <v>3.4722222222222224E-2</v>
      </c>
      <c r="O432" s="2">
        <v>4</v>
      </c>
      <c r="P432" s="10">
        <v>18755</v>
      </c>
      <c r="Q432" s="17" t="str">
        <f>IF(AND(MediCare_Data[[#This Row],[Patient_Gender]]="Male", MediCare_Data[[#This Row],[Treatment_Type]]="Maternity"), "Gender-Treatment Mismatch", "Fine")</f>
        <v>Fine</v>
      </c>
      <c r="R432" s="10">
        <f>MediCare_Data[[#This Row],[Revenue_Generated]]-MediCare_Data[[#This Row],[Average_Treatment_Cost]]</f>
        <v>14961</v>
      </c>
      <c r="S432" s="3">
        <f>(MediCare_Data[[#This Row],[Profit]]/MediCare_Data[[#This Row],[Revenue_Generated]])</f>
        <v>0.79770727805918418</v>
      </c>
    </row>
    <row r="433" spans="1:19" x14ac:dyDescent="0.25">
      <c r="A433" t="s">
        <v>480</v>
      </c>
      <c r="B433" t="s">
        <v>35</v>
      </c>
      <c r="C433" t="s">
        <v>54</v>
      </c>
      <c r="D433" t="s">
        <v>21</v>
      </c>
      <c r="E433">
        <v>45</v>
      </c>
      <c r="F433" t="str">
        <f>IF(MediCare_Data[[#This Row],[Patient_Age]]&lt;=18,"0-18",IF(MediCare_Data[[#This Row],[Patient_Age]]&lt;=35,"19-35",IF(MediCare_Data[[#This Row],[Patient_Age]]&lt;=60,"36-60","60+")))</f>
        <v>36-60</v>
      </c>
      <c r="G433" t="s">
        <v>17</v>
      </c>
      <c r="H433" t="s">
        <v>23</v>
      </c>
      <c r="I433" s="2">
        <v>98</v>
      </c>
      <c r="J433" s="11">
        <v>5585</v>
      </c>
      <c r="K433" s="3">
        <v>11.69022577</v>
      </c>
      <c r="L433" s="3">
        <f t="shared" si="6"/>
        <v>0.1169022577</v>
      </c>
      <c r="M433">
        <v>114</v>
      </c>
      <c r="N433" s="6">
        <f>MediCare_Data[[#This Row],[Average_Wait_Time (mins)]]/1440</f>
        <v>7.9166666666666663E-2</v>
      </c>
      <c r="O433" s="2">
        <v>4</v>
      </c>
      <c r="P433" s="10">
        <v>8135</v>
      </c>
      <c r="Q433" s="17" t="str">
        <f>IF(AND(MediCare_Data[[#This Row],[Patient_Gender]]="Male", MediCare_Data[[#This Row],[Treatment_Type]]="Maternity"), "Gender-Treatment Mismatch", "Fine")</f>
        <v>Fine</v>
      </c>
      <c r="R433" s="10">
        <f>MediCare_Data[[#This Row],[Revenue_Generated]]-MediCare_Data[[#This Row],[Average_Treatment_Cost]]</f>
        <v>2550</v>
      </c>
      <c r="S433" s="3">
        <f>(MediCare_Data[[#This Row],[Profit]]/MediCare_Data[[#This Row],[Revenue_Generated]])</f>
        <v>0.31346035648432696</v>
      </c>
    </row>
    <row r="434" spans="1:19" x14ac:dyDescent="0.25">
      <c r="A434" t="s">
        <v>481</v>
      </c>
      <c r="B434" t="s">
        <v>39</v>
      </c>
      <c r="C434" t="s">
        <v>15</v>
      </c>
      <c r="D434" t="s">
        <v>32</v>
      </c>
      <c r="E434">
        <v>33</v>
      </c>
      <c r="F434" t="str">
        <f>IF(MediCare_Data[[#This Row],[Patient_Age]]&lt;=18,"0-18",IF(MediCare_Data[[#This Row],[Patient_Age]]&lt;=35,"19-35",IF(MediCare_Data[[#This Row],[Patient_Age]]&lt;=60,"36-60","60+")))</f>
        <v>19-35</v>
      </c>
      <c r="G434" t="s">
        <v>17</v>
      </c>
      <c r="H434" t="s">
        <v>23</v>
      </c>
      <c r="I434" s="2">
        <v>91</v>
      </c>
      <c r="J434" s="11">
        <v>2919</v>
      </c>
      <c r="K434" s="3">
        <v>5.5239341709999996</v>
      </c>
      <c r="L434" s="3">
        <f t="shared" si="6"/>
        <v>5.5239341709999994E-2</v>
      </c>
      <c r="M434">
        <v>142</v>
      </c>
      <c r="N434" s="6">
        <f>MediCare_Data[[#This Row],[Average_Wait_Time (mins)]]/1440</f>
        <v>9.8611111111111108E-2</v>
      </c>
      <c r="O434" s="2">
        <v>3</v>
      </c>
      <c r="P434" s="10">
        <v>1320</v>
      </c>
      <c r="Q434" s="17" t="str">
        <f>IF(AND(MediCare_Data[[#This Row],[Patient_Gender]]="Male", MediCare_Data[[#This Row],[Treatment_Type]]="Maternity"), "Gender-Treatment Mismatch", "Fine")</f>
        <v>Fine</v>
      </c>
      <c r="R434" s="10">
        <f>MediCare_Data[[#This Row],[Revenue_Generated]]-MediCare_Data[[#This Row],[Average_Treatment_Cost]]</f>
        <v>-1599</v>
      </c>
      <c r="S434" s="3">
        <f>(MediCare_Data[[#This Row],[Profit]]/MediCare_Data[[#This Row],[Revenue_Generated]])</f>
        <v>-1.2113636363636364</v>
      </c>
    </row>
    <row r="435" spans="1:19" x14ac:dyDescent="0.25">
      <c r="A435" t="s">
        <v>482</v>
      </c>
      <c r="B435" t="s">
        <v>49</v>
      </c>
      <c r="C435" t="s">
        <v>31</v>
      </c>
      <c r="D435" t="s">
        <v>21</v>
      </c>
      <c r="E435">
        <v>20</v>
      </c>
      <c r="F435" t="str">
        <f>IF(MediCare_Data[[#This Row],[Patient_Age]]&lt;=18,"0-18",IF(MediCare_Data[[#This Row],[Patient_Age]]&lt;=35,"19-35",IF(MediCare_Data[[#This Row],[Patient_Age]]&lt;=60,"36-60","60+")))</f>
        <v>19-35</v>
      </c>
      <c r="G435" t="s">
        <v>26</v>
      </c>
      <c r="H435" t="s">
        <v>51</v>
      </c>
      <c r="I435" s="2">
        <v>55</v>
      </c>
      <c r="J435" s="11">
        <v>9626</v>
      </c>
      <c r="K435" s="3">
        <v>5.4838352779999999</v>
      </c>
      <c r="L435" s="3">
        <f t="shared" si="6"/>
        <v>5.4838352780000002E-2</v>
      </c>
      <c r="M435">
        <v>131</v>
      </c>
      <c r="N435" s="6">
        <f>MediCare_Data[[#This Row],[Average_Wait_Time (mins)]]/1440</f>
        <v>9.0972222222222218E-2</v>
      </c>
      <c r="O435" s="2">
        <v>2</v>
      </c>
      <c r="P435" s="10">
        <v>38422</v>
      </c>
      <c r="Q435" s="17" t="str">
        <f>IF(AND(MediCare_Data[[#This Row],[Patient_Gender]]="Male", MediCare_Data[[#This Row],[Treatment_Type]]="Maternity"), "Gender-Treatment Mismatch", "Fine")</f>
        <v>Fine</v>
      </c>
      <c r="R435" s="10">
        <f>MediCare_Data[[#This Row],[Revenue_Generated]]-MediCare_Data[[#This Row],[Average_Treatment_Cost]]</f>
        <v>28796</v>
      </c>
      <c r="S435" s="3">
        <f>(MediCare_Data[[#This Row],[Profit]]/MediCare_Data[[#This Row],[Revenue_Generated]])</f>
        <v>0.74946645151215452</v>
      </c>
    </row>
    <row r="436" spans="1:19" x14ac:dyDescent="0.25">
      <c r="A436" t="s">
        <v>483</v>
      </c>
      <c r="B436" t="s">
        <v>45</v>
      </c>
      <c r="C436" t="s">
        <v>15</v>
      </c>
      <c r="D436" t="s">
        <v>21</v>
      </c>
      <c r="E436">
        <v>29</v>
      </c>
      <c r="F436" t="str">
        <f>IF(MediCare_Data[[#This Row],[Patient_Age]]&lt;=18,"0-18",IF(MediCare_Data[[#This Row],[Patient_Age]]&lt;=35,"19-35",IF(MediCare_Data[[#This Row],[Patient_Age]]&lt;=60,"36-60","60+")))</f>
        <v>19-35</v>
      </c>
      <c r="G436" t="s">
        <v>43</v>
      </c>
      <c r="H436" t="s">
        <v>23</v>
      </c>
      <c r="I436" s="2">
        <v>64</v>
      </c>
      <c r="J436" s="11">
        <v>3542</v>
      </c>
      <c r="K436" s="3">
        <v>21.63394087</v>
      </c>
      <c r="L436" s="3">
        <f t="shared" si="6"/>
        <v>0.21633940870000001</v>
      </c>
      <c r="M436">
        <v>154</v>
      </c>
      <c r="N436" s="6">
        <f>MediCare_Data[[#This Row],[Average_Wait_Time (mins)]]/1440</f>
        <v>0.10694444444444444</v>
      </c>
      <c r="O436" s="2">
        <v>4</v>
      </c>
      <c r="P436" s="10">
        <v>29635</v>
      </c>
      <c r="Q436" s="17" t="str">
        <f>IF(AND(MediCare_Data[[#This Row],[Patient_Gender]]="Male", MediCare_Data[[#This Row],[Treatment_Type]]="Maternity"), "Gender-Treatment Mismatch", "Fine")</f>
        <v>Fine</v>
      </c>
      <c r="R436" s="10">
        <f>MediCare_Data[[#This Row],[Revenue_Generated]]-MediCare_Data[[#This Row],[Average_Treatment_Cost]]</f>
        <v>26093</v>
      </c>
      <c r="S436" s="3">
        <f>(MediCare_Data[[#This Row],[Profit]]/MediCare_Data[[#This Row],[Revenue_Generated]])</f>
        <v>0.88047916315167873</v>
      </c>
    </row>
    <row r="437" spans="1:19" x14ac:dyDescent="0.25">
      <c r="A437" t="s">
        <v>484</v>
      </c>
      <c r="B437" t="s">
        <v>74</v>
      </c>
      <c r="C437" t="s">
        <v>31</v>
      </c>
      <c r="D437" t="s">
        <v>32</v>
      </c>
      <c r="E437">
        <v>26</v>
      </c>
      <c r="F437" t="str">
        <f>IF(MediCare_Data[[#This Row],[Patient_Age]]&lt;=18,"0-18",IF(MediCare_Data[[#This Row],[Patient_Age]]&lt;=35,"19-35",IF(MediCare_Data[[#This Row],[Patient_Age]]&lt;=60,"36-60","60+")))</f>
        <v>19-35</v>
      </c>
      <c r="G437" t="s">
        <v>17</v>
      </c>
      <c r="H437" t="s">
        <v>18</v>
      </c>
      <c r="I437" s="2">
        <v>92</v>
      </c>
      <c r="J437" s="11">
        <v>4997</v>
      </c>
      <c r="K437" s="3">
        <v>10.4614162</v>
      </c>
      <c r="L437" s="3">
        <f t="shared" si="6"/>
        <v>0.10461416200000001</v>
      </c>
      <c r="M437">
        <v>31</v>
      </c>
      <c r="N437" s="6">
        <f>MediCare_Data[[#This Row],[Average_Wait_Time (mins)]]/1440</f>
        <v>2.1527777777777778E-2</v>
      </c>
      <c r="O437" s="2">
        <v>4</v>
      </c>
      <c r="P437" s="10">
        <v>22684</v>
      </c>
      <c r="Q437" s="17" t="str">
        <f>IF(AND(MediCare_Data[[#This Row],[Patient_Gender]]="Male", MediCare_Data[[#This Row],[Treatment_Type]]="Maternity"), "Gender-Treatment Mismatch", "Fine")</f>
        <v>Fine</v>
      </c>
      <c r="R437" s="10">
        <f>MediCare_Data[[#This Row],[Revenue_Generated]]-MediCare_Data[[#This Row],[Average_Treatment_Cost]]</f>
        <v>17687</v>
      </c>
      <c r="S437" s="3">
        <f>(MediCare_Data[[#This Row],[Profit]]/MediCare_Data[[#This Row],[Revenue_Generated]])</f>
        <v>0.77971257273849415</v>
      </c>
    </row>
    <row r="438" spans="1:19" x14ac:dyDescent="0.25">
      <c r="A438" t="s">
        <v>485</v>
      </c>
      <c r="B438" t="s">
        <v>14</v>
      </c>
      <c r="C438" t="s">
        <v>20</v>
      </c>
      <c r="D438" t="s">
        <v>32</v>
      </c>
      <c r="E438">
        <v>64</v>
      </c>
      <c r="F438" t="str">
        <f>IF(MediCare_Data[[#This Row],[Patient_Age]]&lt;=18,"0-18",IF(MediCare_Data[[#This Row],[Patient_Age]]&lt;=35,"19-35",IF(MediCare_Data[[#This Row],[Patient_Age]]&lt;=60,"36-60","60+")))</f>
        <v>60+</v>
      </c>
      <c r="G438" t="s">
        <v>22</v>
      </c>
      <c r="H438" t="s">
        <v>51</v>
      </c>
      <c r="I438" s="2">
        <v>86</v>
      </c>
      <c r="J438" s="11">
        <v>1966</v>
      </c>
      <c r="K438" s="3">
        <v>15.36157532</v>
      </c>
      <c r="L438" s="3">
        <f t="shared" si="6"/>
        <v>0.15361575320000001</v>
      </c>
      <c r="M438">
        <v>107</v>
      </c>
      <c r="N438" s="6">
        <f>MediCare_Data[[#This Row],[Average_Wait_Time (mins)]]/1440</f>
        <v>7.4305555555555555E-2</v>
      </c>
      <c r="O438" s="2">
        <v>1</v>
      </c>
      <c r="P438" s="10">
        <v>24238</v>
      </c>
      <c r="Q438" s="17" t="str">
        <f>IF(AND(MediCare_Data[[#This Row],[Patient_Gender]]="Male", MediCare_Data[[#This Row],[Treatment_Type]]="Maternity"), "Gender-Treatment Mismatch", "Fine")</f>
        <v>Fine</v>
      </c>
      <c r="R438" s="10">
        <f>MediCare_Data[[#This Row],[Revenue_Generated]]-MediCare_Data[[#This Row],[Average_Treatment_Cost]]</f>
        <v>22272</v>
      </c>
      <c r="S438" s="3">
        <f>(MediCare_Data[[#This Row],[Profit]]/MediCare_Data[[#This Row],[Revenue_Generated]])</f>
        <v>0.91888769700470341</v>
      </c>
    </row>
    <row r="439" spans="1:19" x14ac:dyDescent="0.25">
      <c r="A439" t="s">
        <v>486</v>
      </c>
      <c r="B439" t="s">
        <v>64</v>
      </c>
      <c r="C439" t="s">
        <v>46</v>
      </c>
      <c r="D439" t="s">
        <v>16</v>
      </c>
      <c r="E439">
        <v>88</v>
      </c>
      <c r="F439" t="str">
        <f>IF(MediCare_Data[[#This Row],[Patient_Age]]&lt;=18,"0-18",IF(MediCare_Data[[#This Row],[Patient_Age]]&lt;=35,"19-35",IF(MediCare_Data[[#This Row],[Patient_Age]]&lt;=60,"36-60","60+")))</f>
        <v>60+</v>
      </c>
      <c r="G439" t="s">
        <v>22</v>
      </c>
      <c r="H439" t="s">
        <v>51</v>
      </c>
      <c r="I439" s="2">
        <v>82</v>
      </c>
      <c r="J439" s="11">
        <v>4061</v>
      </c>
      <c r="K439" s="3">
        <v>10.974511469999999</v>
      </c>
      <c r="L439" s="3">
        <f t="shared" si="6"/>
        <v>0.10974511469999999</v>
      </c>
      <c r="M439">
        <v>178</v>
      </c>
      <c r="N439" s="6">
        <f>MediCare_Data[[#This Row],[Average_Wait_Time (mins)]]/1440</f>
        <v>0.12361111111111112</v>
      </c>
      <c r="O439" s="2">
        <v>4</v>
      </c>
      <c r="P439" s="10">
        <v>22889</v>
      </c>
      <c r="Q439" s="17" t="str">
        <f>IF(AND(MediCare_Data[[#This Row],[Patient_Gender]]="Male", MediCare_Data[[#This Row],[Treatment_Type]]="Maternity"), "Gender-Treatment Mismatch", "Fine")</f>
        <v>Fine</v>
      </c>
      <c r="R439" s="10">
        <f>MediCare_Data[[#This Row],[Revenue_Generated]]-MediCare_Data[[#This Row],[Average_Treatment_Cost]]</f>
        <v>18828</v>
      </c>
      <c r="S439" s="3">
        <f>(MediCare_Data[[#This Row],[Profit]]/MediCare_Data[[#This Row],[Revenue_Generated]])</f>
        <v>0.82257853117217883</v>
      </c>
    </row>
    <row r="440" spans="1:19" x14ac:dyDescent="0.25">
      <c r="A440" t="s">
        <v>487</v>
      </c>
      <c r="B440" t="s">
        <v>49</v>
      </c>
      <c r="C440" t="s">
        <v>36</v>
      </c>
      <c r="D440" t="s">
        <v>32</v>
      </c>
      <c r="E440">
        <v>40</v>
      </c>
      <c r="F440" t="str">
        <f>IF(MediCare_Data[[#This Row],[Patient_Age]]&lt;=18,"0-18",IF(MediCare_Data[[#This Row],[Patient_Age]]&lt;=35,"19-35",IF(MediCare_Data[[#This Row],[Patient_Age]]&lt;=60,"36-60","60+")))</f>
        <v>36-60</v>
      </c>
      <c r="G440" t="s">
        <v>26</v>
      </c>
      <c r="H440" t="s">
        <v>33</v>
      </c>
      <c r="I440" s="2">
        <v>57</v>
      </c>
      <c r="J440" s="11">
        <v>1114</v>
      </c>
      <c r="K440" s="3">
        <v>23.813584899999999</v>
      </c>
      <c r="L440" s="3">
        <f t="shared" si="6"/>
        <v>0.23813584899999998</v>
      </c>
      <c r="M440">
        <v>77</v>
      </c>
      <c r="N440" s="6">
        <f>MediCare_Data[[#This Row],[Average_Wait_Time (mins)]]/1440</f>
        <v>5.347222222222222E-2</v>
      </c>
      <c r="O440" s="2">
        <v>2</v>
      </c>
      <c r="P440" s="10">
        <v>31313</v>
      </c>
      <c r="Q440" s="17" t="str">
        <f>IF(AND(MediCare_Data[[#This Row],[Patient_Gender]]="Male", MediCare_Data[[#This Row],[Treatment_Type]]="Maternity"), "Gender-Treatment Mismatch", "Fine")</f>
        <v>Fine</v>
      </c>
      <c r="R440" s="10">
        <f>MediCare_Data[[#This Row],[Revenue_Generated]]-MediCare_Data[[#This Row],[Average_Treatment_Cost]]</f>
        <v>30199</v>
      </c>
      <c r="S440" s="3">
        <f>(MediCare_Data[[#This Row],[Profit]]/MediCare_Data[[#This Row],[Revenue_Generated]])</f>
        <v>0.96442372177689772</v>
      </c>
    </row>
    <row r="441" spans="1:19" x14ac:dyDescent="0.25">
      <c r="A441" t="s">
        <v>488</v>
      </c>
      <c r="B441" t="s">
        <v>56</v>
      </c>
      <c r="C441" t="s">
        <v>31</v>
      </c>
      <c r="D441" t="s">
        <v>21</v>
      </c>
      <c r="E441">
        <v>77</v>
      </c>
      <c r="F441" t="str">
        <f>IF(MediCare_Data[[#This Row],[Patient_Age]]&lt;=18,"0-18",IF(MediCare_Data[[#This Row],[Patient_Age]]&lt;=35,"19-35",IF(MediCare_Data[[#This Row],[Patient_Age]]&lt;=60,"36-60","60+")))</f>
        <v>60+</v>
      </c>
      <c r="G441" t="s">
        <v>43</v>
      </c>
      <c r="H441" t="s">
        <v>37</v>
      </c>
      <c r="I441" s="2">
        <v>93</v>
      </c>
      <c r="J441" s="11">
        <v>5892</v>
      </c>
      <c r="K441" s="3">
        <v>10.18593518</v>
      </c>
      <c r="L441" s="3">
        <f t="shared" si="6"/>
        <v>0.1018593518</v>
      </c>
      <c r="M441">
        <v>148</v>
      </c>
      <c r="N441" s="6">
        <f>MediCare_Data[[#This Row],[Average_Wait_Time (mins)]]/1440</f>
        <v>0.10277777777777777</v>
      </c>
      <c r="O441" s="2">
        <v>2</v>
      </c>
      <c r="P441" s="10">
        <v>33535</v>
      </c>
      <c r="Q441" s="17" t="str">
        <f>IF(AND(MediCare_Data[[#This Row],[Patient_Gender]]="Male", MediCare_Data[[#This Row],[Treatment_Type]]="Maternity"), "Gender-Treatment Mismatch", "Fine")</f>
        <v>Fine</v>
      </c>
      <c r="R441" s="10">
        <f>MediCare_Data[[#This Row],[Revenue_Generated]]-MediCare_Data[[#This Row],[Average_Treatment_Cost]]</f>
        <v>27643</v>
      </c>
      <c r="S441" s="3">
        <f>(MediCare_Data[[#This Row],[Profit]]/MediCare_Data[[#This Row],[Revenue_Generated]])</f>
        <v>0.82430296704935146</v>
      </c>
    </row>
    <row r="442" spans="1:19" x14ac:dyDescent="0.25">
      <c r="A442" t="s">
        <v>489</v>
      </c>
      <c r="B442" t="s">
        <v>82</v>
      </c>
      <c r="C442" t="s">
        <v>29</v>
      </c>
      <c r="D442" t="s">
        <v>21</v>
      </c>
      <c r="E442">
        <v>55</v>
      </c>
      <c r="F442" t="str">
        <f>IF(MediCare_Data[[#This Row],[Patient_Age]]&lt;=18,"0-18",IF(MediCare_Data[[#This Row],[Patient_Age]]&lt;=35,"19-35",IF(MediCare_Data[[#This Row],[Patient_Age]]&lt;=60,"36-60","60+")))</f>
        <v>36-60</v>
      </c>
      <c r="G442" t="s">
        <v>22</v>
      </c>
      <c r="H442" t="s">
        <v>23</v>
      </c>
      <c r="I442" s="2">
        <v>93</v>
      </c>
      <c r="J442" s="11">
        <v>8193</v>
      </c>
      <c r="K442" s="3">
        <v>13.593136250000001</v>
      </c>
      <c r="L442" s="3">
        <f t="shared" si="6"/>
        <v>0.13593136250000001</v>
      </c>
      <c r="M442">
        <v>65</v>
      </c>
      <c r="N442" s="6">
        <f>MediCare_Data[[#This Row],[Average_Wait_Time (mins)]]/1440</f>
        <v>4.5138888888888888E-2</v>
      </c>
      <c r="O442" s="2">
        <v>1</v>
      </c>
      <c r="P442" s="10">
        <v>49899</v>
      </c>
      <c r="Q442" s="17" t="str">
        <f>IF(AND(MediCare_Data[[#This Row],[Patient_Gender]]="Male", MediCare_Data[[#This Row],[Treatment_Type]]="Maternity"), "Gender-Treatment Mismatch", "Fine")</f>
        <v>Fine</v>
      </c>
      <c r="R442" s="10">
        <f>MediCare_Data[[#This Row],[Revenue_Generated]]-MediCare_Data[[#This Row],[Average_Treatment_Cost]]</f>
        <v>41706</v>
      </c>
      <c r="S442" s="3">
        <f>(MediCare_Data[[#This Row],[Profit]]/MediCare_Data[[#This Row],[Revenue_Generated]])</f>
        <v>0.83580833283232125</v>
      </c>
    </row>
    <row r="443" spans="1:19" x14ac:dyDescent="0.25">
      <c r="A443" t="s">
        <v>490</v>
      </c>
      <c r="B443" t="s">
        <v>64</v>
      </c>
      <c r="C443" t="s">
        <v>20</v>
      </c>
      <c r="D443" t="s">
        <v>16</v>
      </c>
      <c r="E443">
        <v>66</v>
      </c>
      <c r="F443" t="str">
        <f>IF(MediCare_Data[[#This Row],[Patient_Age]]&lt;=18,"0-18",IF(MediCare_Data[[#This Row],[Patient_Age]]&lt;=35,"19-35",IF(MediCare_Data[[#This Row],[Patient_Age]]&lt;=60,"36-60","60+")))</f>
        <v>60+</v>
      </c>
      <c r="G443" t="s">
        <v>17</v>
      </c>
      <c r="H443" t="s">
        <v>33</v>
      </c>
      <c r="I443" s="2">
        <v>54</v>
      </c>
      <c r="J443" s="11">
        <v>9874</v>
      </c>
      <c r="K443" s="3">
        <v>22.454605010000002</v>
      </c>
      <c r="L443" s="3">
        <f t="shared" si="6"/>
        <v>0.22454605010000001</v>
      </c>
      <c r="M443">
        <v>158</v>
      </c>
      <c r="N443" s="6">
        <f>MediCare_Data[[#This Row],[Average_Wait_Time (mins)]]/1440</f>
        <v>0.10972222222222222</v>
      </c>
      <c r="O443" s="2">
        <v>4</v>
      </c>
      <c r="P443" s="10">
        <v>11770</v>
      </c>
      <c r="Q443" s="17" t="str">
        <f>IF(AND(MediCare_Data[[#This Row],[Patient_Gender]]="Male", MediCare_Data[[#This Row],[Treatment_Type]]="Maternity"), "Gender-Treatment Mismatch", "Fine")</f>
        <v>Fine</v>
      </c>
      <c r="R443" s="10">
        <f>MediCare_Data[[#This Row],[Revenue_Generated]]-MediCare_Data[[#This Row],[Average_Treatment_Cost]]</f>
        <v>1896</v>
      </c>
      <c r="S443" s="3">
        <f>(MediCare_Data[[#This Row],[Profit]]/MediCare_Data[[#This Row],[Revenue_Generated]])</f>
        <v>0.16108751062022089</v>
      </c>
    </row>
    <row r="444" spans="1:19" x14ac:dyDescent="0.25">
      <c r="A444" t="s">
        <v>491</v>
      </c>
      <c r="B444" t="s">
        <v>58</v>
      </c>
      <c r="C444" t="s">
        <v>29</v>
      </c>
      <c r="D444" t="s">
        <v>32</v>
      </c>
      <c r="E444">
        <v>15</v>
      </c>
      <c r="F444" t="str">
        <f>IF(MediCare_Data[[#This Row],[Patient_Age]]&lt;=18,"0-18",IF(MediCare_Data[[#This Row],[Patient_Age]]&lt;=35,"19-35",IF(MediCare_Data[[#This Row],[Patient_Age]]&lt;=60,"36-60","60+")))</f>
        <v>0-18</v>
      </c>
      <c r="G444" t="s">
        <v>43</v>
      </c>
      <c r="H444" t="s">
        <v>18</v>
      </c>
      <c r="I444" s="2">
        <v>88</v>
      </c>
      <c r="J444" s="11">
        <v>3723</v>
      </c>
      <c r="K444" s="3">
        <v>21.838671340000001</v>
      </c>
      <c r="L444" s="3">
        <f t="shared" si="6"/>
        <v>0.21838671340000002</v>
      </c>
      <c r="M444">
        <v>108</v>
      </c>
      <c r="N444" s="6">
        <f>MediCare_Data[[#This Row],[Average_Wait_Time (mins)]]/1440</f>
        <v>7.4999999999999997E-2</v>
      </c>
      <c r="O444" s="2">
        <v>4</v>
      </c>
      <c r="P444" s="10">
        <v>40321</v>
      </c>
      <c r="Q444" s="17" t="str">
        <f>IF(AND(MediCare_Data[[#This Row],[Patient_Gender]]="Male", MediCare_Data[[#This Row],[Treatment_Type]]="Maternity"), "Gender-Treatment Mismatch", "Fine")</f>
        <v>Fine</v>
      </c>
      <c r="R444" s="10">
        <f>MediCare_Data[[#This Row],[Revenue_Generated]]-MediCare_Data[[#This Row],[Average_Treatment_Cost]]</f>
        <v>36598</v>
      </c>
      <c r="S444" s="3">
        <f>(MediCare_Data[[#This Row],[Profit]]/MediCare_Data[[#This Row],[Revenue_Generated]])</f>
        <v>0.90766598050643588</v>
      </c>
    </row>
    <row r="445" spans="1:19" x14ac:dyDescent="0.25">
      <c r="A445" t="s">
        <v>492</v>
      </c>
      <c r="B445" t="s">
        <v>64</v>
      </c>
      <c r="C445" t="s">
        <v>20</v>
      </c>
      <c r="D445" t="s">
        <v>21</v>
      </c>
      <c r="E445">
        <v>28</v>
      </c>
      <c r="F445" t="str">
        <f>IF(MediCare_Data[[#This Row],[Patient_Age]]&lt;=18,"0-18",IF(MediCare_Data[[#This Row],[Patient_Age]]&lt;=35,"19-35",IF(MediCare_Data[[#This Row],[Patient_Age]]&lt;=60,"36-60","60+")))</f>
        <v>19-35</v>
      </c>
      <c r="G445" t="s">
        <v>26</v>
      </c>
      <c r="H445" t="s">
        <v>33</v>
      </c>
      <c r="I445" s="2">
        <v>53</v>
      </c>
      <c r="J445" s="11">
        <v>7638</v>
      </c>
      <c r="K445" s="3">
        <v>8.7220283569999992</v>
      </c>
      <c r="L445" s="3">
        <f t="shared" si="6"/>
        <v>8.7220283569999987E-2</v>
      </c>
      <c r="M445">
        <v>85</v>
      </c>
      <c r="N445" s="6">
        <f>MediCare_Data[[#This Row],[Average_Wait_Time (mins)]]/1440</f>
        <v>5.9027777777777776E-2</v>
      </c>
      <c r="O445" s="2">
        <v>4</v>
      </c>
      <c r="P445" s="10">
        <v>21426</v>
      </c>
      <c r="Q445" s="17" t="str">
        <f>IF(AND(MediCare_Data[[#This Row],[Patient_Gender]]="Male", MediCare_Data[[#This Row],[Treatment_Type]]="Maternity"), "Gender-Treatment Mismatch", "Fine")</f>
        <v>Fine</v>
      </c>
      <c r="R445" s="10">
        <f>MediCare_Data[[#This Row],[Revenue_Generated]]-MediCare_Data[[#This Row],[Average_Treatment_Cost]]</f>
        <v>13788</v>
      </c>
      <c r="S445" s="3">
        <f>(MediCare_Data[[#This Row],[Profit]]/MediCare_Data[[#This Row],[Revenue_Generated]])</f>
        <v>0.64351722206664796</v>
      </c>
    </row>
    <row r="446" spans="1:19" x14ac:dyDescent="0.25">
      <c r="A446" t="s">
        <v>493</v>
      </c>
      <c r="B446" t="s">
        <v>35</v>
      </c>
      <c r="C446" t="s">
        <v>46</v>
      </c>
      <c r="D446" t="s">
        <v>21</v>
      </c>
      <c r="E446">
        <v>89</v>
      </c>
      <c r="F446" t="str">
        <f>IF(MediCare_Data[[#This Row],[Patient_Age]]&lt;=18,"0-18",IF(MediCare_Data[[#This Row],[Patient_Age]]&lt;=35,"19-35",IF(MediCare_Data[[#This Row],[Patient_Age]]&lt;=60,"36-60","60+")))</f>
        <v>60+</v>
      </c>
      <c r="G446" t="s">
        <v>17</v>
      </c>
      <c r="H446" t="s">
        <v>47</v>
      </c>
      <c r="I446" s="2">
        <v>55</v>
      </c>
      <c r="J446" s="11">
        <v>3167</v>
      </c>
      <c r="K446" s="3">
        <v>21.0528662</v>
      </c>
      <c r="L446" s="3">
        <f t="shared" si="6"/>
        <v>0.21052866200000001</v>
      </c>
      <c r="M446">
        <v>35</v>
      </c>
      <c r="N446" s="6">
        <f>MediCare_Data[[#This Row],[Average_Wait_Time (mins)]]/1440</f>
        <v>2.4305555555555556E-2</v>
      </c>
      <c r="O446" s="2">
        <v>3</v>
      </c>
      <c r="P446" s="10">
        <v>45327</v>
      </c>
      <c r="Q446" s="17" t="str">
        <f>IF(AND(MediCare_Data[[#This Row],[Patient_Gender]]="Male", MediCare_Data[[#This Row],[Treatment_Type]]="Maternity"), "Gender-Treatment Mismatch", "Fine")</f>
        <v>Fine</v>
      </c>
      <c r="R446" s="10">
        <f>MediCare_Data[[#This Row],[Revenue_Generated]]-MediCare_Data[[#This Row],[Average_Treatment_Cost]]</f>
        <v>42160</v>
      </c>
      <c r="S446" s="3">
        <f>(MediCare_Data[[#This Row],[Profit]]/MediCare_Data[[#This Row],[Revenue_Generated]])</f>
        <v>0.93012994462461662</v>
      </c>
    </row>
    <row r="447" spans="1:19" x14ac:dyDescent="0.25">
      <c r="A447" t="s">
        <v>494</v>
      </c>
      <c r="B447" t="s">
        <v>39</v>
      </c>
      <c r="C447" t="s">
        <v>54</v>
      </c>
      <c r="D447" t="s">
        <v>21</v>
      </c>
      <c r="E447">
        <v>9</v>
      </c>
      <c r="F447" t="str">
        <f>IF(MediCare_Data[[#This Row],[Patient_Age]]&lt;=18,"0-18",IF(MediCare_Data[[#This Row],[Patient_Age]]&lt;=35,"19-35",IF(MediCare_Data[[#This Row],[Patient_Age]]&lt;=60,"36-60","60+")))</f>
        <v>0-18</v>
      </c>
      <c r="G447" t="s">
        <v>43</v>
      </c>
      <c r="H447" t="s">
        <v>18</v>
      </c>
      <c r="I447" s="2">
        <v>94</v>
      </c>
      <c r="J447" s="11">
        <v>8480</v>
      </c>
      <c r="K447" s="3">
        <v>14.163737729999999</v>
      </c>
      <c r="L447" s="3">
        <f t="shared" si="6"/>
        <v>0.14163737730000001</v>
      </c>
      <c r="M447">
        <v>124</v>
      </c>
      <c r="N447" s="6">
        <f>MediCare_Data[[#This Row],[Average_Wait_Time (mins)]]/1440</f>
        <v>8.611111111111111E-2</v>
      </c>
      <c r="O447" s="2">
        <v>4</v>
      </c>
      <c r="P447" s="10">
        <v>42777</v>
      </c>
      <c r="Q447" s="17" t="str">
        <f>IF(AND(MediCare_Data[[#This Row],[Patient_Gender]]="Male", MediCare_Data[[#This Row],[Treatment_Type]]="Maternity"), "Gender-Treatment Mismatch", "Fine")</f>
        <v>Fine</v>
      </c>
      <c r="R447" s="10">
        <f>MediCare_Data[[#This Row],[Revenue_Generated]]-MediCare_Data[[#This Row],[Average_Treatment_Cost]]</f>
        <v>34297</v>
      </c>
      <c r="S447" s="3">
        <f>(MediCare_Data[[#This Row],[Profit]]/MediCare_Data[[#This Row],[Revenue_Generated]])</f>
        <v>0.80176262945040555</v>
      </c>
    </row>
    <row r="448" spans="1:19" x14ac:dyDescent="0.25">
      <c r="A448" t="s">
        <v>495</v>
      </c>
      <c r="B448" t="s">
        <v>53</v>
      </c>
      <c r="C448" t="s">
        <v>31</v>
      </c>
      <c r="D448" t="s">
        <v>21</v>
      </c>
      <c r="E448">
        <v>36</v>
      </c>
      <c r="F448" t="str">
        <f>IF(MediCare_Data[[#This Row],[Patient_Age]]&lt;=18,"0-18",IF(MediCare_Data[[#This Row],[Patient_Age]]&lt;=35,"19-35",IF(MediCare_Data[[#This Row],[Patient_Age]]&lt;=60,"36-60","60+")))</f>
        <v>36-60</v>
      </c>
      <c r="G448" t="s">
        <v>26</v>
      </c>
      <c r="H448" t="s">
        <v>18</v>
      </c>
      <c r="I448" s="2">
        <v>81</v>
      </c>
      <c r="J448" s="11">
        <v>630</v>
      </c>
      <c r="K448" s="3">
        <v>14.65937744</v>
      </c>
      <c r="L448" s="3">
        <f t="shared" si="6"/>
        <v>0.14659377439999999</v>
      </c>
      <c r="M448">
        <v>156</v>
      </c>
      <c r="N448" s="6">
        <f>MediCare_Data[[#This Row],[Average_Wait_Time (mins)]]/1440</f>
        <v>0.10833333333333334</v>
      </c>
      <c r="O448" s="2">
        <v>2</v>
      </c>
      <c r="P448" s="10">
        <v>47250</v>
      </c>
      <c r="Q448" s="17" t="str">
        <f>IF(AND(MediCare_Data[[#This Row],[Patient_Gender]]="Male", MediCare_Data[[#This Row],[Treatment_Type]]="Maternity"), "Gender-Treatment Mismatch", "Fine")</f>
        <v>Fine</v>
      </c>
      <c r="R448" s="10">
        <f>MediCare_Data[[#This Row],[Revenue_Generated]]-MediCare_Data[[#This Row],[Average_Treatment_Cost]]</f>
        <v>46620</v>
      </c>
      <c r="S448" s="3">
        <f>(MediCare_Data[[#This Row],[Profit]]/MediCare_Data[[#This Row],[Revenue_Generated]])</f>
        <v>0.98666666666666669</v>
      </c>
    </row>
    <row r="449" spans="1:19" x14ac:dyDescent="0.25">
      <c r="A449" t="s">
        <v>496</v>
      </c>
      <c r="B449" t="s">
        <v>56</v>
      </c>
      <c r="C449" t="s">
        <v>42</v>
      </c>
      <c r="D449" t="s">
        <v>21</v>
      </c>
      <c r="E449">
        <v>41</v>
      </c>
      <c r="F449" t="str">
        <f>IF(MediCare_Data[[#This Row],[Patient_Age]]&lt;=18,"0-18",IF(MediCare_Data[[#This Row],[Patient_Age]]&lt;=35,"19-35",IF(MediCare_Data[[#This Row],[Patient_Age]]&lt;=60,"36-60","60+")))</f>
        <v>36-60</v>
      </c>
      <c r="G449" t="s">
        <v>43</v>
      </c>
      <c r="H449" t="s">
        <v>18</v>
      </c>
      <c r="I449" s="2">
        <v>79</v>
      </c>
      <c r="J449" s="11">
        <v>3483</v>
      </c>
      <c r="K449" s="3">
        <v>7.6695994479999996</v>
      </c>
      <c r="L449" s="3">
        <f t="shared" si="6"/>
        <v>7.6695994480000002E-2</v>
      </c>
      <c r="M449">
        <v>118</v>
      </c>
      <c r="N449" s="6">
        <f>MediCare_Data[[#This Row],[Average_Wait_Time (mins)]]/1440</f>
        <v>8.1944444444444445E-2</v>
      </c>
      <c r="O449" s="2">
        <v>2</v>
      </c>
      <c r="P449" s="10">
        <v>8498</v>
      </c>
      <c r="Q449" s="17" t="str">
        <f>IF(AND(MediCare_Data[[#This Row],[Patient_Gender]]="Male", MediCare_Data[[#This Row],[Treatment_Type]]="Maternity"), "Gender-Treatment Mismatch", "Fine")</f>
        <v>Fine</v>
      </c>
      <c r="R449" s="10">
        <f>MediCare_Data[[#This Row],[Revenue_Generated]]-MediCare_Data[[#This Row],[Average_Treatment_Cost]]</f>
        <v>5015</v>
      </c>
      <c r="S449" s="3">
        <f>(MediCare_Data[[#This Row],[Profit]]/MediCare_Data[[#This Row],[Revenue_Generated]])</f>
        <v>0.59013885620145912</v>
      </c>
    </row>
    <row r="450" spans="1:19" x14ac:dyDescent="0.25">
      <c r="A450" t="s">
        <v>497</v>
      </c>
      <c r="B450" t="s">
        <v>35</v>
      </c>
      <c r="C450" t="s">
        <v>15</v>
      </c>
      <c r="D450" t="s">
        <v>32</v>
      </c>
      <c r="E450">
        <v>54</v>
      </c>
      <c r="F450" t="str">
        <f>IF(MediCare_Data[[#This Row],[Patient_Age]]&lt;=18,"0-18",IF(MediCare_Data[[#This Row],[Patient_Age]]&lt;=35,"19-35",IF(MediCare_Data[[#This Row],[Patient_Age]]&lt;=60,"36-60","60+")))</f>
        <v>36-60</v>
      </c>
      <c r="G450" t="s">
        <v>22</v>
      </c>
      <c r="H450" t="s">
        <v>51</v>
      </c>
      <c r="I450" s="2">
        <v>96</v>
      </c>
      <c r="J450" s="11">
        <v>4778</v>
      </c>
      <c r="K450" s="3">
        <v>6.6120302750000004</v>
      </c>
      <c r="L450" s="3">
        <f t="shared" ref="L450:L513" si="7">K450/100</f>
        <v>6.6120302749999998E-2</v>
      </c>
      <c r="M450">
        <v>56</v>
      </c>
      <c r="N450" s="6">
        <f>MediCare_Data[[#This Row],[Average_Wait_Time (mins)]]/1440</f>
        <v>3.888888888888889E-2</v>
      </c>
      <c r="O450" s="2">
        <v>3</v>
      </c>
      <c r="P450" s="10">
        <v>40404</v>
      </c>
      <c r="Q450" s="17" t="str">
        <f>IF(AND(MediCare_Data[[#This Row],[Patient_Gender]]="Male", MediCare_Data[[#This Row],[Treatment_Type]]="Maternity"), "Gender-Treatment Mismatch", "Fine")</f>
        <v>Fine</v>
      </c>
      <c r="R450" s="10">
        <f>MediCare_Data[[#This Row],[Revenue_Generated]]-MediCare_Data[[#This Row],[Average_Treatment_Cost]]</f>
        <v>35626</v>
      </c>
      <c r="S450" s="3">
        <f>(MediCare_Data[[#This Row],[Profit]]/MediCare_Data[[#This Row],[Revenue_Generated]])</f>
        <v>0.88174438174438174</v>
      </c>
    </row>
    <row r="451" spans="1:19" x14ac:dyDescent="0.25">
      <c r="A451" t="s">
        <v>498</v>
      </c>
      <c r="B451" t="s">
        <v>82</v>
      </c>
      <c r="C451" t="s">
        <v>36</v>
      </c>
      <c r="D451" t="s">
        <v>16</v>
      </c>
      <c r="E451">
        <v>31</v>
      </c>
      <c r="F451" t="str">
        <f>IF(MediCare_Data[[#This Row],[Patient_Age]]&lt;=18,"0-18",IF(MediCare_Data[[#This Row],[Patient_Age]]&lt;=35,"19-35",IF(MediCare_Data[[#This Row],[Patient_Age]]&lt;=60,"36-60","60+")))</f>
        <v>19-35</v>
      </c>
      <c r="G451" t="s">
        <v>22</v>
      </c>
      <c r="H451" t="s">
        <v>37</v>
      </c>
      <c r="I451" s="2">
        <v>84</v>
      </c>
      <c r="J451" s="11">
        <v>7626</v>
      </c>
      <c r="K451" s="3">
        <v>19.558786139999999</v>
      </c>
      <c r="L451" s="3">
        <f t="shared" si="7"/>
        <v>0.19558786139999998</v>
      </c>
      <c r="M451">
        <v>80</v>
      </c>
      <c r="N451" s="6">
        <f>MediCare_Data[[#This Row],[Average_Wait_Time (mins)]]/1440</f>
        <v>5.5555555555555552E-2</v>
      </c>
      <c r="O451" s="2">
        <v>3</v>
      </c>
      <c r="P451" s="10">
        <v>41130</v>
      </c>
      <c r="Q451" s="17" t="str">
        <f>IF(AND(MediCare_Data[[#This Row],[Patient_Gender]]="Male", MediCare_Data[[#This Row],[Treatment_Type]]="Maternity"), "Gender-Treatment Mismatch", "Fine")</f>
        <v>Gender-Treatment Mismatch</v>
      </c>
      <c r="R451" s="10">
        <f>MediCare_Data[[#This Row],[Revenue_Generated]]-MediCare_Data[[#This Row],[Average_Treatment_Cost]]</f>
        <v>33504</v>
      </c>
      <c r="S451" s="3">
        <f>(MediCare_Data[[#This Row],[Profit]]/MediCare_Data[[#This Row],[Revenue_Generated]])</f>
        <v>0.81458789204959881</v>
      </c>
    </row>
    <row r="452" spans="1:19" x14ac:dyDescent="0.25">
      <c r="A452" t="s">
        <v>499</v>
      </c>
      <c r="B452" t="s">
        <v>56</v>
      </c>
      <c r="C452" t="s">
        <v>15</v>
      </c>
      <c r="D452" t="s">
        <v>32</v>
      </c>
      <c r="E452">
        <v>17</v>
      </c>
      <c r="F452" t="str">
        <f>IF(MediCare_Data[[#This Row],[Patient_Age]]&lt;=18,"0-18",IF(MediCare_Data[[#This Row],[Patient_Age]]&lt;=35,"19-35",IF(MediCare_Data[[#This Row],[Patient_Age]]&lt;=60,"36-60","60+")))</f>
        <v>0-18</v>
      </c>
      <c r="G452" t="s">
        <v>26</v>
      </c>
      <c r="H452" t="s">
        <v>51</v>
      </c>
      <c r="I452" s="2">
        <v>89</v>
      </c>
      <c r="J452" s="11">
        <v>8730</v>
      </c>
      <c r="K452" s="3">
        <v>14.929223049999999</v>
      </c>
      <c r="L452" s="3">
        <f t="shared" si="7"/>
        <v>0.14929223049999998</v>
      </c>
      <c r="M452">
        <v>163</v>
      </c>
      <c r="N452" s="6">
        <f>MediCare_Data[[#This Row],[Average_Wait_Time (mins)]]/1440</f>
        <v>0.11319444444444444</v>
      </c>
      <c r="O452" s="2">
        <v>4</v>
      </c>
      <c r="P452" s="10">
        <v>17395</v>
      </c>
      <c r="Q452" s="17" t="str">
        <f>IF(AND(MediCare_Data[[#This Row],[Patient_Gender]]="Male", MediCare_Data[[#This Row],[Treatment_Type]]="Maternity"), "Gender-Treatment Mismatch", "Fine")</f>
        <v>Fine</v>
      </c>
      <c r="R452" s="10">
        <f>MediCare_Data[[#This Row],[Revenue_Generated]]-MediCare_Data[[#This Row],[Average_Treatment_Cost]]</f>
        <v>8665</v>
      </c>
      <c r="S452" s="3">
        <f>(MediCare_Data[[#This Row],[Profit]]/MediCare_Data[[#This Row],[Revenue_Generated]])</f>
        <v>0.49813164702500717</v>
      </c>
    </row>
    <row r="453" spans="1:19" x14ac:dyDescent="0.25">
      <c r="A453" t="s">
        <v>500</v>
      </c>
      <c r="B453" t="s">
        <v>25</v>
      </c>
      <c r="C453" t="s">
        <v>36</v>
      </c>
      <c r="D453" t="s">
        <v>16</v>
      </c>
      <c r="E453">
        <v>3</v>
      </c>
      <c r="F453" t="str">
        <f>IF(MediCare_Data[[#This Row],[Patient_Age]]&lt;=18,"0-18",IF(MediCare_Data[[#This Row],[Patient_Age]]&lt;=35,"19-35",IF(MediCare_Data[[#This Row],[Patient_Age]]&lt;=60,"36-60","60+")))</f>
        <v>0-18</v>
      </c>
      <c r="G453" t="s">
        <v>22</v>
      </c>
      <c r="H453" t="s">
        <v>18</v>
      </c>
      <c r="I453" s="2">
        <v>65</v>
      </c>
      <c r="J453" s="11">
        <v>8194</v>
      </c>
      <c r="K453" s="3">
        <v>13.737014050000001</v>
      </c>
      <c r="L453" s="3">
        <f t="shared" si="7"/>
        <v>0.13737014050000002</v>
      </c>
      <c r="M453">
        <v>49</v>
      </c>
      <c r="N453" s="6">
        <f>MediCare_Data[[#This Row],[Average_Wait_Time (mins)]]/1440</f>
        <v>3.4027777777777775E-2</v>
      </c>
      <c r="O453" s="2">
        <v>1</v>
      </c>
      <c r="P453" s="10">
        <v>3537</v>
      </c>
      <c r="Q453" s="17" t="str">
        <f>IF(AND(MediCare_Data[[#This Row],[Patient_Gender]]="Male", MediCare_Data[[#This Row],[Treatment_Type]]="Maternity"), "Gender-Treatment Mismatch", "Fine")</f>
        <v>Fine</v>
      </c>
      <c r="R453" s="10">
        <f>MediCare_Data[[#This Row],[Revenue_Generated]]-MediCare_Data[[#This Row],[Average_Treatment_Cost]]</f>
        <v>-4657</v>
      </c>
      <c r="S453" s="3">
        <f>(MediCare_Data[[#This Row],[Profit]]/MediCare_Data[[#This Row],[Revenue_Generated]])</f>
        <v>-1.3166525303929884</v>
      </c>
    </row>
    <row r="454" spans="1:19" x14ac:dyDescent="0.25">
      <c r="A454" t="s">
        <v>501</v>
      </c>
      <c r="B454" t="s">
        <v>74</v>
      </c>
      <c r="C454" t="s">
        <v>20</v>
      </c>
      <c r="D454" t="s">
        <v>21</v>
      </c>
      <c r="E454">
        <v>45</v>
      </c>
      <c r="F454" t="str">
        <f>IF(MediCare_Data[[#This Row],[Patient_Age]]&lt;=18,"0-18",IF(MediCare_Data[[#This Row],[Patient_Age]]&lt;=35,"19-35",IF(MediCare_Data[[#This Row],[Patient_Age]]&lt;=60,"36-60","60+")))</f>
        <v>36-60</v>
      </c>
      <c r="G454" t="s">
        <v>26</v>
      </c>
      <c r="H454" t="s">
        <v>47</v>
      </c>
      <c r="I454" s="2">
        <v>62</v>
      </c>
      <c r="J454" s="11">
        <v>7140</v>
      </c>
      <c r="K454" s="3">
        <v>19.590164569999999</v>
      </c>
      <c r="L454" s="3">
        <f t="shared" si="7"/>
        <v>0.19590164569999999</v>
      </c>
      <c r="M454">
        <v>142</v>
      </c>
      <c r="N454" s="6">
        <f>MediCare_Data[[#This Row],[Average_Wait_Time (mins)]]/1440</f>
        <v>9.8611111111111108E-2</v>
      </c>
      <c r="O454" s="2">
        <v>3</v>
      </c>
      <c r="P454" s="10">
        <v>20226</v>
      </c>
      <c r="Q454" s="17" t="str">
        <f>IF(AND(MediCare_Data[[#This Row],[Patient_Gender]]="Male", MediCare_Data[[#This Row],[Treatment_Type]]="Maternity"), "Gender-Treatment Mismatch", "Fine")</f>
        <v>Fine</v>
      </c>
      <c r="R454" s="10">
        <f>MediCare_Data[[#This Row],[Revenue_Generated]]-MediCare_Data[[#This Row],[Average_Treatment_Cost]]</f>
        <v>13086</v>
      </c>
      <c r="S454" s="3">
        <f>(MediCare_Data[[#This Row],[Profit]]/MediCare_Data[[#This Row],[Revenue_Generated]])</f>
        <v>0.64698902402847824</v>
      </c>
    </row>
    <row r="455" spans="1:19" x14ac:dyDescent="0.25">
      <c r="A455" t="s">
        <v>502</v>
      </c>
      <c r="B455" t="s">
        <v>41</v>
      </c>
      <c r="C455" t="s">
        <v>36</v>
      </c>
      <c r="D455" t="s">
        <v>16</v>
      </c>
      <c r="E455">
        <v>51</v>
      </c>
      <c r="F455" t="str">
        <f>IF(MediCare_Data[[#This Row],[Patient_Age]]&lt;=18,"0-18",IF(MediCare_Data[[#This Row],[Patient_Age]]&lt;=35,"19-35",IF(MediCare_Data[[#This Row],[Patient_Age]]&lt;=60,"36-60","60+")))</f>
        <v>36-60</v>
      </c>
      <c r="G455" t="s">
        <v>22</v>
      </c>
      <c r="H455" t="s">
        <v>51</v>
      </c>
      <c r="I455" s="2">
        <v>99</v>
      </c>
      <c r="J455" s="11">
        <v>5968</v>
      </c>
      <c r="K455" s="3">
        <v>20.310257979999999</v>
      </c>
      <c r="L455" s="3">
        <f t="shared" si="7"/>
        <v>0.20310257979999999</v>
      </c>
      <c r="M455">
        <v>158</v>
      </c>
      <c r="N455" s="6">
        <f>MediCare_Data[[#This Row],[Average_Wait_Time (mins)]]/1440</f>
        <v>0.10972222222222222</v>
      </c>
      <c r="O455" s="2">
        <v>3</v>
      </c>
      <c r="P455" s="10">
        <v>16216</v>
      </c>
      <c r="Q455" s="17" t="str">
        <f>IF(AND(MediCare_Data[[#This Row],[Patient_Gender]]="Male", MediCare_Data[[#This Row],[Treatment_Type]]="Maternity"), "Gender-Treatment Mismatch", "Fine")</f>
        <v>Fine</v>
      </c>
      <c r="R455" s="10">
        <f>MediCare_Data[[#This Row],[Revenue_Generated]]-MediCare_Data[[#This Row],[Average_Treatment_Cost]]</f>
        <v>10248</v>
      </c>
      <c r="S455" s="3">
        <f>(MediCare_Data[[#This Row],[Profit]]/MediCare_Data[[#This Row],[Revenue_Generated]])</f>
        <v>0.63196842624568328</v>
      </c>
    </row>
    <row r="456" spans="1:19" x14ac:dyDescent="0.25">
      <c r="A456" t="s">
        <v>503</v>
      </c>
      <c r="B456" t="s">
        <v>25</v>
      </c>
      <c r="C456" t="s">
        <v>15</v>
      </c>
      <c r="D456" t="s">
        <v>16</v>
      </c>
      <c r="E456">
        <v>14</v>
      </c>
      <c r="F456" t="str">
        <f>IF(MediCare_Data[[#This Row],[Patient_Age]]&lt;=18,"0-18",IF(MediCare_Data[[#This Row],[Patient_Age]]&lt;=35,"19-35",IF(MediCare_Data[[#This Row],[Patient_Age]]&lt;=60,"36-60","60+")))</f>
        <v>0-18</v>
      </c>
      <c r="G456" t="s">
        <v>43</v>
      </c>
      <c r="H456" t="s">
        <v>33</v>
      </c>
      <c r="I456" s="2">
        <v>91</v>
      </c>
      <c r="J456" s="11">
        <v>1420</v>
      </c>
      <c r="K456" s="3">
        <v>8.1781633530000004</v>
      </c>
      <c r="L456" s="3">
        <f t="shared" si="7"/>
        <v>8.1781633530000009E-2</v>
      </c>
      <c r="M456">
        <v>141</v>
      </c>
      <c r="N456" s="6">
        <f>MediCare_Data[[#This Row],[Average_Wait_Time (mins)]]/1440</f>
        <v>9.7916666666666666E-2</v>
      </c>
      <c r="O456" s="2">
        <v>4</v>
      </c>
      <c r="P456" s="10">
        <v>19613</v>
      </c>
      <c r="Q456" s="17" t="str">
        <f>IF(AND(MediCare_Data[[#This Row],[Patient_Gender]]="Male", MediCare_Data[[#This Row],[Treatment_Type]]="Maternity"), "Gender-Treatment Mismatch", "Fine")</f>
        <v>Fine</v>
      </c>
      <c r="R456" s="10">
        <f>MediCare_Data[[#This Row],[Revenue_Generated]]-MediCare_Data[[#This Row],[Average_Treatment_Cost]]</f>
        <v>18193</v>
      </c>
      <c r="S456" s="3">
        <f>(MediCare_Data[[#This Row],[Profit]]/MediCare_Data[[#This Row],[Revenue_Generated]])</f>
        <v>0.92759904145209815</v>
      </c>
    </row>
    <row r="457" spans="1:19" x14ac:dyDescent="0.25">
      <c r="A457" t="s">
        <v>504</v>
      </c>
      <c r="B457" t="s">
        <v>35</v>
      </c>
      <c r="C457" t="s">
        <v>54</v>
      </c>
      <c r="D457" t="s">
        <v>16</v>
      </c>
      <c r="E457">
        <v>89</v>
      </c>
      <c r="F457" t="str">
        <f>IF(MediCare_Data[[#This Row],[Patient_Age]]&lt;=18,"0-18",IF(MediCare_Data[[#This Row],[Patient_Age]]&lt;=35,"19-35",IF(MediCare_Data[[#This Row],[Patient_Age]]&lt;=60,"36-60","60+")))</f>
        <v>60+</v>
      </c>
      <c r="G457" t="s">
        <v>43</v>
      </c>
      <c r="H457" t="s">
        <v>33</v>
      </c>
      <c r="I457" s="2">
        <v>79</v>
      </c>
      <c r="J457" s="11">
        <v>8064</v>
      </c>
      <c r="K457" s="3">
        <v>17.204502990000002</v>
      </c>
      <c r="L457" s="3">
        <f t="shared" si="7"/>
        <v>0.17204502990000001</v>
      </c>
      <c r="M457">
        <v>32</v>
      </c>
      <c r="N457" s="6">
        <f>MediCare_Data[[#This Row],[Average_Wait_Time (mins)]]/1440</f>
        <v>2.2222222222222223E-2</v>
      </c>
      <c r="O457" s="2">
        <v>4</v>
      </c>
      <c r="P457" s="10">
        <v>4009</v>
      </c>
      <c r="Q457" s="17" t="str">
        <f>IF(AND(MediCare_Data[[#This Row],[Patient_Gender]]="Male", MediCare_Data[[#This Row],[Treatment_Type]]="Maternity"), "Gender-Treatment Mismatch", "Fine")</f>
        <v>Fine</v>
      </c>
      <c r="R457" s="10">
        <f>MediCare_Data[[#This Row],[Revenue_Generated]]-MediCare_Data[[#This Row],[Average_Treatment_Cost]]</f>
        <v>-4055</v>
      </c>
      <c r="S457" s="3">
        <f>(MediCare_Data[[#This Row],[Profit]]/MediCare_Data[[#This Row],[Revenue_Generated]])</f>
        <v>-1.0114741830880518</v>
      </c>
    </row>
    <row r="458" spans="1:19" x14ac:dyDescent="0.25">
      <c r="A458" t="s">
        <v>505</v>
      </c>
      <c r="B458" t="s">
        <v>25</v>
      </c>
      <c r="C458" t="s">
        <v>31</v>
      </c>
      <c r="D458" t="s">
        <v>32</v>
      </c>
      <c r="E458">
        <v>1</v>
      </c>
      <c r="F458" t="str">
        <f>IF(MediCare_Data[[#This Row],[Patient_Age]]&lt;=18,"0-18",IF(MediCare_Data[[#This Row],[Patient_Age]]&lt;=35,"19-35",IF(MediCare_Data[[#This Row],[Patient_Age]]&lt;=60,"36-60","60+")))</f>
        <v>0-18</v>
      </c>
      <c r="G458" t="s">
        <v>26</v>
      </c>
      <c r="H458" t="s">
        <v>18</v>
      </c>
      <c r="I458" s="2">
        <v>68</v>
      </c>
      <c r="J458" s="11">
        <v>9184</v>
      </c>
      <c r="K458" s="3">
        <v>7.7070816459999998</v>
      </c>
      <c r="L458" s="3">
        <f t="shared" si="7"/>
        <v>7.7070816459999997E-2</v>
      </c>
      <c r="M458">
        <v>115</v>
      </c>
      <c r="N458" s="6">
        <f>MediCare_Data[[#This Row],[Average_Wait_Time (mins)]]/1440</f>
        <v>7.9861111111111105E-2</v>
      </c>
      <c r="O458" s="2">
        <v>3</v>
      </c>
      <c r="P458" s="10">
        <v>25368</v>
      </c>
      <c r="Q458" s="17" t="str">
        <f>IF(AND(MediCare_Data[[#This Row],[Patient_Gender]]="Male", MediCare_Data[[#This Row],[Treatment_Type]]="Maternity"), "Gender-Treatment Mismatch", "Fine")</f>
        <v>Fine</v>
      </c>
      <c r="R458" s="10">
        <f>MediCare_Data[[#This Row],[Revenue_Generated]]-MediCare_Data[[#This Row],[Average_Treatment_Cost]]</f>
        <v>16184</v>
      </c>
      <c r="S458" s="3">
        <f>(MediCare_Data[[#This Row],[Profit]]/MediCare_Data[[#This Row],[Revenue_Generated]])</f>
        <v>0.63796909492273735</v>
      </c>
    </row>
    <row r="459" spans="1:19" x14ac:dyDescent="0.25">
      <c r="A459" t="s">
        <v>506</v>
      </c>
      <c r="B459" t="s">
        <v>28</v>
      </c>
      <c r="C459" t="s">
        <v>36</v>
      </c>
      <c r="D459" t="s">
        <v>32</v>
      </c>
      <c r="E459">
        <v>39</v>
      </c>
      <c r="F459" t="str">
        <f>IF(MediCare_Data[[#This Row],[Patient_Age]]&lt;=18,"0-18",IF(MediCare_Data[[#This Row],[Patient_Age]]&lt;=35,"19-35",IF(MediCare_Data[[#This Row],[Patient_Age]]&lt;=60,"36-60","60+")))</f>
        <v>36-60</v>
      </c>
      <c r="G459" t="s">
        <v>17</v>
      </c>
      <c r="H459" t="s">
        <v>47</v>
      </c>
      <c r="I459" s="2">
        <v>66</v>
      </c>
      <c r="J459" s="11">
        <v>9823</v>
      </c>
      <c r="K459" s="3">
        <v>20.02750172</v>
      </c>
      <c r="L459" s="3">
        <f t="shared" si="7"/>
        <v>0.20027501719999999</v>
      </c>
      <c r="M459">
        <v>93</v>
      </c>
      <c r="N459" s="6">
        <f>MediCare_Data[[#This Row],[Average_Wait_Time (mins)]]/1440</f>
        <v>6.458333333333334E-2</v>
      </c>
      <c r="O459" s="2">
        <v>1</v>
      </c>
      <c r="P459" s="10">
        <v>30327</v>
      </c>
      <c r="Q459" s="17" t="str">
        <f>IF(AND(MediCare_Data[[#This Row],[Patient_Gender]]="Male", MediCare_Data[[#This Row],[Treatment_Type]]="Maternity"), "Gender-Treatment Mismatch", "Fine")</f>
        <v>Fine</v>
      </c>
      <c r="R459" s="10">
        <f>MediCare_Data[[#This Row],[Revenue_Generated]]-MediCare_Data[[#This Row],[Average_Treatment_Cost]]</f>
        <v>20504</v>
      </c>
      <c r="S459" s="3">
        <f>(MediCare_Data[[#This Row],[Profit]]/MediCare_Data[[#This Row],[Revenue_Generated]])</f>
        <v>0.67609720710917665</v>
      </c>
    </row>
    <row r="460" spans="1:19" x14ac:dyDescent="0.25">
      <c r="A460" t="s">
        <v>507</v>
      </c>
      <c r="B460" t="s">
        <v>25</v>
      </c>
      <c r="C460" t="s">
        <v>29</v>
      </c>
      <c r="D460" t="s">
        <v>21</v>
      </c>
      <c r="E460">
        <v>22</v>
      </c>
      <c r="F460" t="str">
        <f>IF(MediCare_Data[[#This Row],[Patient_Age]]&lt;=18,"0-18",IF(MediCare_Data[[#This Row],[Patient_Age]]&lt;=35,"19-35",IF(MediCare_Data[[#This Row],[Patient_Age]]&lt;=60,"36-60","60+")))</f>
        <v>19-35</v>
      </c>
      <c r="G460" t="s">
        <v>43</v>
      </c>
      <c r="H460" t="s">
        <v>33</v>
      </c>
      <c r="I460" s="2">
        <v>68</v>
      </c>
      <c r="J460" s="11">
        <v>9002</v>
      </c>
      <c r="K460" s="3">
        <v>18.139103129999999</v>
      </c>
      <c r="L460" s="3">
        <f t="shared" si="7"/>
        <v>0.18139103129999998</v>
      </c>
      <c r="M460">
        <v>152</v>
      </c>
      <c r="N460" s="6">
        <f>MediCare_Data[[#This Row],[Average_Wait_Time (mins)]]/1440</f>
        <v>0.10555555555555556</v>
      </c>
      <c r="O460" s="2">
        <v>3</v>
      </c>
      <c r="P460" s="10">
        <v>15209</v>
      </c>
      <c r="Q460" s="17" t="str">
        <f>IF(AND(MediCare_Data[[#This Row],[Patient_Gender]]="Male", MediCare_Data[[#This Row],[Treatment_Type]]="Maternity"), "Gender-Treatment Mismatch", "Fine")</f>
        <v>Fine</v>
      </c>
      <c r="R460" s="10">
        <f>MediCare_Data[[#This Row],[Revenue_Generated]]-MediCare_Data[[#This Row],[Average_Treatment_Cost]]</f>
        <v>6207</v>
      </c>
      <c r="S460" s="3">
        <f>(MediCare_Data[[#This Row],[Profit]]/MediCare_Data[[#This Row],[Revenue_Generated]])</f>
        <v>0.40811361693733972</v>
      </c>
    </row>
    <row r="461" spans="1:19" x14ac:dyDescent="0.25">
      <c r="A461" t="s">
        <v>508</v>
      </c>
      <c r="B461" t="s">
        <v>45</v>
      </c>
      <c r="C461" t="s">
        <v>20</v>
      </c>
      <c r="D461" t="s">
        <v>16</v>
      </c>
      <c r="E461">
        <v>75</v>
      </c>
      <c r="F461" t="str">
        <f>IF(MediCare_Data[[#This Row],[Patient_Age]]&lt;=18,"0-18",IF(MediCare_Data[[#This Row],[Patient_Age]]&lt;=35,"19-35",IF(MediCare_Data[[#This Row],[Patient_Age]]&lt;=60,"36-60","60+")))</f>
        <v>60+</v>
      </c>
      <c r="G461" t="s">
        <v>43</v>
      </c>
      <c r="H461" t="s">
        <v>23</v>
      </c>
      <c r="I461" s="2">
        <v>77</v>
      </c>
      <c r="J461" s="11">
        <v>9430</v>
      </c>
      <c r="K461" s="3">
        <v>24.132292419999999</v>
      </c>
      <c r="L461" s="3">
        <f t="shared" si="7"/>
        <v>0.24132292419999998</v>
      </c>
      <c r="M461">
        <v>125</v>
      </c>
      <c r="N461" s="6">
        <f>MediCare_Data[[#This Row],[Average_Wait_Time (mins)]]/1440</f>
        <v>8.6805555555555552E-2</v>
      </c>
      <c r="O461" s="2">
        <v>4</v>
      </c>
      <c r="P461" s="10">
        <v>49443</v>
      </c>
      <c r="Q461" s="17" t="str">
        <f>IF(AND(MediCare_Data[[#This Row],[Patient_Gender]]="Male", MediCare_Data[[#This Row],[Treatment_Type]]="Maternity"), "Gender-Treatment Mismatch", "Fine")</f>
        <v>Fine</v>
      </c>
      <c r="R461" s="10">
        <f>MediCare_Data[[#This Row],[Revenue_Generated]]-MediCare_Data[[#This Row],[Average_Treatment_Cost]]</f>
        <v>40013</v>
      </c>
      <c r="S461" s="3">
        <f>(MediCare_Data[[#This Row],[Profit]]/MediCare_Data[[#This Row],[Revenue_Generated]])</f>
        <v>0.80927532714438843</v>
      </c>
    </row>
    <row r="462" spans="1:19" x14ac:dyDescent="0.25">
      <c r="A462" t="s">
        <v>509</v>
      </c>
      <c r="B462" t="s">
        <v>53</v>
      </c>
      <c r="C462" t="s">
        <v>36</v>
      </c>
      <c r="D462" t="s">
        <v>16</v>
      </c>
      <c r="E462">
        <v>68</v>
      </c>
      <c r="F462" t="str">
        <f>IF(MediCare_Data[[#This Row],[Patient_Age]]&lt;=18,"0-18",IF(MediCare_Data[[#This Row],[Patient_Age]]&lt;=35,"19-35",IF(MediCare_Data[[#This Row],[Patient_Age]]&lt;=60,"36-60","60+")))</f>
        <v>60+</v>
      </c>
      <c r="G462" t="s">
        <v>26</v>
      </c>
      <c r="H462" t="s">
        <v>23</v>
      </c>
      <c r="I462" s="2">
        <v>75</v>
      </c>
      <c r="J462" s="11">
        <v>3741</v>
      </c>
      <c r="K462" s="3">
        <v>6.3791603270000001</v>
      </c>
      <c r="L462" s="3">
        <f t="shared" si="7"/>
        <v>6.3791603269999997E-2</v>
      </c>
      <c r="M462">
        <v>118</v>
      </c>
      <c r="N462" s="6">
        <f>MediCare_Data[[#This Row],[Average_Wait_Time (mins)]]/1440</f>
        <v>8.1944444444444445E-2</v>
      </c>
      <c r="O462" s="2">
        <v>4</v>
      </c>
      <c r="P462" s="10">
        <v>16029</v>
      </c>
      <c r="Q462" s="17" t="str">
        <f>IF(AND(MediCare_Data[[#This Row],[Patient_Gender]]="Male", MediCare_Data[[#This Row],[Treatment_Type]]="Maternity"), "Gender-Treatment Mismatch", "Fine")</f>
        <v>Fine</v>
      </c>
      <c r="R462" s="10">
        <f>MediCare_Data[[#This Row],[Revenue_Generated]]-MediCare_Data[[#This Row],[Average_Treatment_Cost]]</f>
        <v>12288</v>
      </c>
      <c r="S462" s="3">
        <f>(MediCare_Data[[#This Row],[Profit]]/MediCare_Data[[#This Row],[Revenue_Generated]])</f>
        <v>0.76661051843533601</v>
      </c>
    </row>
    <row r="463" spans="1:19" x14ac:dyDescent="0.25">
      <c r="A463" t="s">
        <v>510</v>
      </c>
      <c r="B463" t="s">
        <v>25</v>
      </c>
      <c r="C463" t="s">
        <v>54</v>
      </c>
      <c r="D463" t="s">
        <v>16</v>
      </c>
      <c r="E463">
        <v>62</v>
      </c>
      <c r="F463" t="str">
        <f>IF(MediCare_Data[[#This Row],[Patient_Age]]&lt;=18,"0-18",IF(MediCare_Data[[#This Row],[Patient_Age]]&lt;=35,"19-35",IF(MediCare_Data[[#This Row],[Patient_Age]]&lt;=60,"36-60","60+")))</f>
        <v>60+</v>
      </c>
      <c r="G463" t="s">
        <v>26</v>
      </c>
      <c r="H463" t="s">
        <v>18</v>
      </c>
      <c r="I463" s="2">
        <v>86</v>
      </c>
      <c r="J463" s="11">
        <v>1045</v>
      </c>
      <c r="K463" s="3">
        <v>6.1410944230000002</v>
      </c>
      <c r="L463" s="3">
        <f t="shared" si="7"/>
        <v>6.141094423E-2</v>
      </c>
      <c r="M463">
        <v>145</v>
      </c>
      <c r="N463" s="6">
        <f>MediCare_Data[[#This Row],[Average_Wait_Time (mins)]]/1440</f>
        <v>0.10069444444444445</v>
      </c>
      <c r="O463" s="2">
        <v>3</v>
      </c>
      <c r="P463" s="10">
        <v>3077</v>
      </c>
      <c r="Q463" s="17" t="str">
        <f>IF(AND(MediCare_Data[[#This Row],[Patient_Gender]]="Male", MediCare_Data[[#This Row],[Treatment_Type]]="Maternity"), "Gender-Treatment Mismatch", "Fine")</f>
        <v>Fine</v>
      </c>
      <c r="R463" s="10">
        <f>MediCare_Data[[#This Row],[Revenue_Generated]]-MediCare_Data[[#This Row],[Average_Treatment_Cost]]</f>
        <v>2032</v>
      </c>
      <c r="S463" s="3">
        <f>(MediCare_Data[[#This Row],[Profit]]/MediCare_Data[[#This Row],[Revenue_Generated]])</f>
        <v>0.66038349041273969</v>
      </c>
    </row>
    <row r="464" spans="1:19" x14ac:dyDescent="0.25">
      <c r="A464" t="s">
        <v>511</v>
      </c>
      <c r="B464" t="s">
        <v>25</v>
      </c>
      <c r="C464" t="s">
        <v>15</v>
      </c>
      <c r="D464" t="s">
        <v>16</v>
      </c>
      <c r="E464">
        <v>32</v>
      </c>
      <c r="F464" t="str">
        <f>IF(MediCare_Data[[#This Row],[Patient_Age]]&lt;=18,"0-18",IF(MediCare_Data[[#This Row],[Patient_Age]]&lt;=35,"19-35",IF(MediCare_Data[[#This Row],[Patient_Age]]&lt;=60,"36-60","60+")))</f>
        <v>19-35</v>
      </c>
      <c r="G464" t="s">
        <v>17</v>
      </c>
      <c r="H464" t="s">
        <v>37</v>
      </c>
      <c r="I464" s="2">
        <v>75</v>
      </c>
      <c r="J464" s="11">
        <v>4846</v>
      </c>
      <c r="K464" s="3">
        <v>10.64374149</v>
      </c>
      <c r="L464" s="3">
        <f t="shared" si="7"/>
        <v>0.1064374149</v>
      </c>
      <c r="M464">
        <v>50</v>
      </c>
      <c r="N464" s="6">
        <f>MediCare_Data[[#This Row],[Average_Wait_Time (mins)]]/1440</f>
        <v>3.4722222222222224E-2</v>
      </c>
      <c r="O464" s="2">
        <v>1</v>
      </c>
      <c r="P464" s="10">
        <v>14907</v>
      </c>
      <c r="Q464" s="17" t="str">
        <f>IF(AND(MediCare_Data[[#This Row],[Patient_Gender]]="Male", MediCare_Data[[#This Row],[Treatment_Type]]="Maternity"), "Gender-Treatment Mismatch", "Fine")</f>
        <v>Gender-Treatment Mismatch</v>
      </c>
      <c r="R464" s="10">
        <f>MediCare_Data[[#This Row],[Revenue_Generated]]-MediCare_Data[[#This Row],[Average_Treatment_Cost]]</f>
        <v>10061</v>
      </c>
      <c r="S464" s="3">
        <f>(MediCare_Data[[#This Row],[Profit]]/MediCare_Data[[#This Row],[Revenue_Generated]])</f>
        <v>0.6749178238411484</v>
      </c>
    </row>
    <row r="465" spans="1:19" x14ac:dyDescent="0.25">
      <c r="A465" t="s">
        <v>512</v>
      </c>
      <c r="B465" t="s">
        <v>35</v>
      </c>
      <c r="C465" t="s">
        <v>36</v>
      </c>
      <c r="D465" t="s">
        <v>21</v>
      </c>
      <c r="E465">
        <v>8</v>
      </c>
      <c r="F465" t="str">
        <f>IF(MediCare_Data[[#This Row],[Patient_Age]]&lt;=18,"0-18",IF(MediCare_Data[[#This Row],[Patient_Age]]&lt;=35,"19-35",IF(MediCare_Data[[#This Row],[Patient_Age]]&lt;=60,"36-60","60+")))</f>
        <v>0-18</v>
      </c>
      <c r="G465" t="s">
        <v>26</v>
      </c>
      <c r="H465" t="s">
        <v>33</v>
      </c>
      <c r="I465" s="2">
        <v>72</v>
      </c>
      <c r="J465" s="11">
        <v>4310</v>
      </c>
      <c r="K465" s="3">
        <v>10.234113669999999</v>
      </c>
      <c r="L465" s="3">
        <f t="shared" si="7"/>
        <v>0.10234113669999999</v>
      </c>
      <c r="M465">
        <v>121</v>
      </c>
      <c r="N465" s="6">
        <f>MediCare_Data[[#This Row],[Average_Wait_Time (mins)]]/1440</f>
        <v>8.4027777777777785E-2</v>
      </c>
      <c r="O465" s="2">
        <v>3</v>
      </c>
      <c r="P465" s="10">
        <v>37635</v>
      </c>
      <c r="Q465" s="17" t="str">
        <f>IF(AND(MediCare_Data[[#This Row],[Patient_Gender]]="Male", MediCare_Data[[#This Row],[Treatment_Type]]="Maternity"), "Gender-Treatment Mismatch", "Fine")</f>
        <v>Fine</v>
      </c>
      <c r="R465" s="10">
        <f>MediCare_Data[[#This Row],[Revenue_Generated]]-MediCare_Data[[#This Row],[Average_Treatment_Cost]]</f>
        <v>33325</v>
      </c>
      <c r="S465" s="3">
        <f>(MediCare_Data[[#This Row],[Profit]]/MediCare_Data[[#This Row],[Revenue_Generated]])</f>
        <v>0.88547894247376113</v>
      </c>
    </row>
    <row r="466" spans="1:19" x14ac:dyDescent="0.25">
      <c r="A466" t="s">
        <v>513</v>
      </c>
      <c r="B466" t="s">
        <v>61</v>
      </c>
      <c r="C466" t="s">
        <v>31</v>
      </c>
      <c r="D466" t="s">
        <v>32</v>
      </c>
      <c r="E466">
        <v>14</v>
      </c>
      <c r="F466" t="str">
        <f>IF(MediCare_Data[[#This Row],[Patient_Age]]&lt;=18,"0-18",IF(MediCare_Data[[#This Row],[Patient_Age]]&lt;=35,"19-35",IF(MediCare_Data[[#This Row],[Patient_Age]]&lt;=60,"36-60","60+")))</f>
        <v>0-18</v>
      </c>
      <c r="G466" t="s">
        <v>17</v>
      </c>
      <c r="H466" t="s">
        <v>37</v>
      </c>
      <c r="I466" s="2">
        <v>58</v>
      </c>
      <c r="J466" s="11">
        <v>7706</v>
      </c>
      <c r="K466" s="3">
        <v>9.9395759810000008</v>
      </c>
      <c r="L466" s="3">
        <f t="shared" si="7"/>
        <v>9.9395759810000012E-2</v>
      </c>
      <c r="M466">
        <v>156</v>
      </c>
      <c r="N466" s="6">
        <f>MediCare_Data[[#This Row],[Average_Wait_Time (mins)]]/1440</f>
        <v>0.10833333333333334</v>
      </c>
      <c r="O466" s="2">
        <v>3</v>
      </c>
      <c r="P466" s="10">
        <v>49920</v>
      </c>
      <c r="Q466" s="17" t="str">
        <f>IF(AND(MediCare_Data[[#This Row],[Patient_Gender]]="Male", MediCare_Data[[#This Row],[Treatment_Type]]="Maternity"), "Gender-Treatment Mismatch", "Fine")</f>
        <v>Fine</v>
      </c>
      <c r="R466" s="10">
        <f>MediCare_Data[[#This Row],[Revenue_Generated]]-MediCare_Data[[#This Row],[Average_Treatment_Cost]]</f>
        <v>42214</v>
      </c>
      <c r="S466" s="3">
        <f>(MediCare_Data[[#This Row],[Profit]]/MediCare_Data[[#This Row],[Revenue_Generated]])</f>
        <v>0.84563301282051284</v>
      </c>
    </row>
    <row r="467" spans="1:19" x14ac:dyDescent="0.25">
      <c r="A467" t="s">
        <v>514</v>
      </c>
      <c r="B467" t="s">
        <v>25</v>
      </c>
      <c r="C467" t="s">
        <v>20</v>
      </c>
      <c r="D467" t="s">
        <v>32</v>
      </c>
      <c r="E467">
        <v>59</v>
      </c>
      <c r="F467" t="str">
        <f>IF(MediCare_Data[[#This Row],[Patient_Age]]&lt;=18,"0-18",IF(MediCare_Data[[#This Row],[Patient_Age]]&lt;=35,"19-35",IF(MediCare_Data[[#This Row],[Patient_Age]]&lt;=60,"36-60","60+")))</f>
        <v>36-60</v>
      </c>
      <c r="G467" t="s">
        <v>26</v>
      </c>
      <c r="H467" t="s">
        <v>18</v>
      </c>
      <c r="I467" s="2">
        <v>61</v>
      </c>
      <c r="J467" s="11">
        <v>9505</v>
      </c>
      <c r="K467" s="3">
        <v>23.125091609999998</v>
      </c>
      <c r="L467" s="3">
        <f t="shared" si="7"/>
        <v>0.23125091609999998</v>
      </c>
      <c r="M467">
        <v>121</v>
      </c>
      <c r="N467" s="6">
        <f>MediCare_Data[[#This Row],[Average_Wait_Time (mins)]]/1440</f>
        <v>8.4027777777777785E-2</v>
      </c>
      <c r="O467" s="2">
        <v>4</v>
      </c>
      <c r="P467" s="10">
        <v>5873</v>
      </c>
      <c r="Q467" s="17" t="str">
        <f>IF(AND(MediCare_Data[[#This Row],[Patient_Gender]]="Male", MediCare_Data[[#This Row],[Treatment_Type]]="Maternity"), "Gender-Treatment Mismatch", "Fine")</f>
        <v>Fine</v>
      </c>
      <c r="R467" s="10">
        <f>MediCare_Data[[#This Row],[Revenue_Generated]]-MediCare_Data[[#This Row],[Average_Treatment_Cost]]</f>
        <v>-3632</v>
      </c>
      <c r="S467" s="3">
        <f>(MediCare_Data[[#This Row],[Profit]]/MediCare_Data[[#This Row],[Revenue_Generated]])</f>
        <v>-0.61842329303592714</v>
      </c>
    </row>
    <row r="468" spans="1:19" x14ac:dyDescent="0.25">
      <c r="A468" t="s">
        <v>515</v>
      </c>
      <c r="B468" t="s">
        <v>61</v>
      </c>
      <c r="C468" t="s">
        <v>29</v>
      </c>
      <c r="D468" t="s">
        <v>16</v>
      </c>
      <c r="E468">
        <v>50</v>
      </c>
      <c r="F468" t="str">
        <f>IF(MediCare_Data[[#This Row],[Patient_Age]]&lt;=18,"0-18",IF(MediCare_Data[[#This Row],[Patient_Age]]&lt;=35,"19-35",IF(MediCare_Data[[#This Row],[Patient_Age]]&lt;=60,"36-60","60+")))</f>
        <v>36-60</v>
      </c>
      <c r="G468" t="s">
        <v>43</v>
      </c>
      <c r="H468" t="s">
        <v>37</v>
      </c>
      <c r="I468" s="2">
        <v>50</v>
      </c>
      <c r="J468" s="11">
        <v>2532</v>
      </c>
      <c r="K468" s="3">
        <v>9.9909239969999994</v>
      </c>
      <c r="L468" s="3">
        <f t="shared" si="7"/>
        <v>9.9909239969999994E-2</v>
      </c>
      <c r="M468">
        <v>112</v>
      </c>
      <c r="N468" s="6">
        <f>MediCare_Data[[#This Row],[Average_Wait_Time (mins)]]/1440</f>
        <v>7.7777777777777779E-2</v>
      </c>
      <c r="O468" s="2">
        <v>1</v>
      </c>
      <c r="P468" s="10">
        <v>9635</v>
      </c>
      <c r="Q468" s="17" t="str">
        <f>IF(AND(MediCare_Data[[#This Row],[Patient_Gender]]="Male", MediCare_Data[[#This Row],[Treatment_Type]]="Maternity"), "Gender-Treatment Mismatch", "Fine")</f>
        <v>Gender-Treatment Mismatch</v>
      </c>
      <c r="R468" s="10">
        <f>MediCare_Data[[#This Row],[Revenue_Generated]]-MediCare_Data[[#This Row],[Average_Treatment_Cost]]</f>
        <v>7103</v>
      </c>
      <c r="S468" s="3">
        <f>(MediCare_Data[[#This Row],[Profit]]/MediCare_Data[[#This Row],[Revenue_Generated]])</f>
        <v>0.73720809548521016</v>
      </c>
    </row>
    <row r="469" spans="1:19" x14ac:dyDescent="0.25">
      <c r="A469" t="s">
        <v>516</v>
      </c>
      <c r="B469" t="s">
        <v>58</v>
      </c>
      <c r="C469" t="s">
        <v>36</v>
      </c>
      <c r="D469" t="s">
        <v>32</v>
      </c>
      <c r="E469">
        <v>9</v>
      </c>
      <c r="F469" t="str">
        <f>IF(MediCare_Data[[#This Row],[Patient_Age]]&lt;=18,"0-18",IF(MediCare_Data[[#This Row],[Patient_Age]]&lt;=35,"19-35",IF(MediCare_Data[[#This Row],[Patient_Age]]&lt;=60,"36-60","60+")))</f>
        <v>0-18</v>
      </c>
      <c r="G469" t="s">
        <v>26</v>
      </c>
      <c r="H469" t="s">
        <v>33</v>
      </c>
      <c r="I469" s="2">
        <v>50</v>
      </c>
      <c r="J469" s="11">
        <v>8936</v>
      </c>
      <c r="K469" s="3">
        <v>10.43899452</v>
      </c>
      <c r="L469" s="3">
        <f t="shared" si="7"/>
        <v>0.1043899452</v>
      </c>
      <c r="M469">
        <v>55</v>
      </c>
      <c r="N469" s="6">
        <f>MediCare_Data[[#This Row],[Average_Wait_Time (mins)]]/1440</f>
        <v>3.8194444444444448E-2</v>
      </c>
      <c r="O469" s="2">
        <v>2</v>
      </c>
      <c r="P469" s="10">
        <v>34065</v>
      </c>
      <c r="Q469" s="17" t="str">
        <f>IF(AND(MediCare_Data[[#This Row],[Patient_Gender]]="Male", MediCare_Data[[#This Row],[Treatment_Type]]="Maternity"), "Gender-Treatment Mismatch", "Fine")</f>
        <v>Fine</v>
      </c>
      <c r="R469" s="10">
        <f>MediCare_Data[[#This Row],[Revenue_Generated]]-MediCare_Data[[#This Row],[Average_Treatment_Cost]]</f>
        <v>25129</v>
      </c>
      <c r="S469" s="3">
        <f>(MediCare_Data[[#This Row],[Profit]]/MediCare_Data[[#This Row],[Revenue_Generated]])</f>
        <v>0.73767796858946133</v>
      </c>
    </row>
    <row r="470" spans="1:19" x14ac:dyDescent="0.25">
      <c r="A470" t="s">
        <v>517</v>
      </c>
      <c r="B470" t="s">
        <v>61</v>
      </c>
      <c r="C470" t="s">
        <v>15</v>
      </c>
      <c r="D470" t="s">
        <v>16</v>
      </c>
      <c r="E470">
        <v>14</v>
      </c>
      <c r="F470" t="str">
        <f>IF(MediCare_Data[[#This Row],[Patient_Age]]&lt;=18,"0-18",IF(MediCare_Data[[#This Row],[Patient_Age]]&lt;=35,"19-35",IF(MediCare_Data[[#This Row],[Patient_Age]]&lt;=60,"36-60","60+")))</f>
        <v>0-18</v>
      </c>
      <c r="G470" t="s">
        <v>22</v>
      </c>
      <c r="H470" t="s">
        <v>37</v>
      </c>
      <c r="I470" s="2">
        <v>96</v>
      </c>
      <c r="J470" s="11">
        <v>771</v>
      </c>
      <c r="K470" s="3">
        <v>20.187965250000001</v>
      </c>
      <c r="L470" s="3">
        <f t="shared" si="7"/>
        <v>0.20187965250000001</v>
      </c>
      <c r="M470">
        <v>165</v>
      </c>
      <c r="N470" s="6">
        <f>MediCare_Data[[#This Row],[Average_Wait_Time (mins)]]/1440</f>
        <v>0.11458333333333333</v>
      </c>
      <c r="O470" s="2">
        <v>1</v>
      </c>
      <c r="P470" s="10">
        <v>46863</v>
      </c>
      <c r="Q470" s="17" t="str">
        <f>IF(AND(MediCare_Data[[#This Row],[Patient_Gender]]="Male", MediCare_Data[[#This Row],[Treatment_Type]]="Maternity"), "Gender-Treatment Mismatch", "Fine")</f>
        <v>Gender-Treatment Mismatch</v>
      </c>
      <c r="R470" s="10">
        <f>MediCare_Data[[#This Row],[Revenue_Generated]]-MediCare_Data[[#This Row],[Average_Treatment_Cost]]</f>
        <v>46092</v>
      </c>
      <c r="S470" s="3">
        <f>(MediCare_Data[[#This Row],[Profit]]/MediCare_Data[[#This Row],[Revenue_Generated]])</f>
        <v>0.98354778823378786</v>
      </c>
    </row>
    <row r="471" spans="1:19" x14ac:dyDescent="0.25">
      <c r="A471" t="s">
        <v>518</v>
      </c>
      <c r="B471" t="s">
        <v>45</v>
      </c>
      <c r="C471" t="s">
        <v>31</v>
      </c>
      <c r="D471" t="s">
        <v>21</v>
      </c>
      <c r="E471">
        <v>61</v>
      </c>
      <c r="F471" t="str">
        <f>IF(MediCare_Data[[#This Row],[Patient_Age]]&lt;=18,"0-18",IF(MediCare_Data[[#This Row],[Patient_Age]]&lt;=35,"19-35",IF(MediCare_Data[[#This Row],[Patient_Age]]&lt;=60,"36-60","60+")))</f>
        <v>60+</v>
      </c>
      <c r="G471" t="s">
        <v>43</v>
      </c>
      <c r="H471" t="s">
        <v>37</v>
      </c>
      <c r="I471" s="2">
        <v>83</v>
      </c>
      <c r="J471" s="11">
        <v>4011</v>
      </c>
      <c r="K471" s="3">
        <v>13.99479685</v>
      </c>
      <c r="L471" s="3">
        <f t="shared" si="7"/>
        <v>0.13994796849999999</v>
      </c>
      <c r="M471">
        <v>77</v>
      </c>
      <c r="N471" s="6">
        <f>MediCare_Data[[#This Row],[Average_Wait_Time (mins)]]/1440</f>
        <v>5.347222222222222E-2</v>
      </c>
      <c r="O471" s="2">
        <v>3</v>
      </c>
      <c r="P471" s="10">
        <v>42804</v>
      </c>
      <c r="Q471" s="17" t="str">
        <f>IF(AND(MediCare_Data[[#This Row],[Patient_Gender]]="Male", MediCare_Data[[#This Row],[Treatment_Type]]="Maternity"), "Gender-Treatment Mismatch", "Fine")</f>
        <v>Fine</v>
      </c>
      <c r="R471" s="10">
        <f>MediCare_Data[[#This Row],[Revenue_Generated]]-MediCare_Data[[#This Row],[Average_Treatment_Cost]]</f>
        <v>38793</v>
      </c>
      <c r="S471" s="3">
        <f>(MediCare_Data[[#This Row],[Profit]]/MediCare_Data[[#This Row],[Revenue_Generated]])</f>
        <v>0.90629380431735351</v>
      </c>
    </row>
    <row r="472" spans="1:19" x14ac:dyDescent="0.25">
      <c r="A472" t="s">
        <v>519</v>
      </c>
      <c r="B472" t="s">
        <v>41</v>
      </c>
      <c r="C472" t="s">
        <v>15</v>
      </c>
      <c r="D472" t="s">
        <v>21</v>
      </c>
      <c r="E472">
        <v>46</v>
      </c>
      <c r="F472" t="str">
        <f>IF(MediCare_Data[[#This Row],[Patient_Age]]&lt;=18,"0-18",IF(MediCare_Data[[#This Row],[Patient_Age]]&lt;=35,"19-35",IF(MediCare_Data[[#This Row],[Patient_Age]]&lt;=60,"36-60","60+")))</f>
        <v>36-60</v>
      </c>
      <c r="G472" t="s">
        <v>22</v>
      </c>
      <c r="H472" t="s">
        <v>51</v>
      </c>
      <c r="I472" s="2">
        <v>81</v>
      </c>
      <c r="J472" s="11">
        <v>2271</v>
      </c>
      <c r="K472" s="3">
        <v>20.53421114</v>
      </c>
      <c r="L472" s="3">
        <f t="shared" si="7"/>
        <v>0.2053421114</v>
      </c>
      <c r="M472">
        <v>131</v>
      </c>
      <c r="N472" s="6">
        <f>MediCare_Data[[#This Row],[Average_Wait_Time (mins)]]/1440</f>
        <v>9.0972222222222218E-2</v>
      </c>
      <c r="O472" s="2">
        <v>3</v>
      </c>
      <c r="P472" s="10">
        <v>34783</v>
      </c>
      <c r="Q472" s="17" t="str">
        <f>IF(AND(MediCare_Data[[#This Row],[Patient_Gender]]="Male", MediCare_Data[[#This Row],[Treatment_Type]]="Maternity"), "Gender-Treatment Mismatch", "Fine")</f>
        <v>Fine</v>
      </c>
      <c r="R472" s="10">
        <f>MediCare_Data[[#This Row],[Revenue_Generated]]-MediCare_Data[[#This Row],[Average_Treatment_Cost]]</f>
        <v>32512</v>
      </c>
      <c r="S472" s="3">
        <f>(MediCare_Data[[#This Row],[Profit]]/MediCare_Data[[#This Row],[Revenue_Generated]])</f>
        <v>0.93470948451829916</v>
      </c>
    </row>
    <row r="473" spans="1:19" x14ac:dyDescent="0.25">
      <c r="A473" t="s">
        <v>520</v>
      </c>
      <c r="B473" t="s">
        <v>82</v>
      </c>
      <c r="C473" t="s">
        <v>36</v>
      </c>
      <c r="D473" t="s">
        <v>32</v>
      </c>
      <c r="E473">
        <v>7</v>
      </c>
      <c r="F473" t="str">
        <f>IF(MediCare_Data[[#This Row],[Patient_Age]]&lt;=18,"0-18",IF(MediCare_Data[[#This Row],[Patient_Age]]&lt;=35,"19-35",IF(MediCare_Data[[#This Row],[Patient_Age]]&lt;=60,"36-60","60+")))</f>
        <v>0-18</v>
      </c>
      <c r="G473" t="s">
        <v>22</v>
      </c>
      <c r="H473" t="s">
        <v>47</v>
      </c>
      <c r="I473" s="2">
        <v>97</v>
      </c>
      <c r="J473" s="11">
        <v>9954</v>
      </c>
      <c r="K473" s="3">
        <v>6.3073231510000003</v>
      </c>
      <c r="L473" s="3">
        <f t="shared" si="7"/>
        <v>6.3073231510000008E-2</v>
      </c>
      <c r="M473">
        <v>24</v>
      </c>
      <c r="N473" s="6">
        <f>MediCare_Data[[#This Row],[Average_Wait_Time (mins)]]/1440</f>
        <v>1.6666666666666666E-2</v>
      </c>
      <c r="O473" s="2">
        <v>3</v>
      </c>
      <c r="P473" s="10">
        <v>35152</v>
      </c>
      <c r="Q473" s="17" t="str">
        <f>IF(AND(MediCare_Data[[#This Row],[Patient_Gender]]="Male", MediCare_Data[[#This Row],[Treatment_Type]]="Maternity"), "Gender-Treatment Mismatch", "Fine")</f>
        <v>Fine</v>
      </c>
      <c r="R473" s="10">
        <f>MediCare_Data[[#This Row],[Revenue_Generated]]-MediCare_Data[[#This Row],[Average_Treatment_Cost]]</f>
        <v>25198</v>
      </c>
      <c r="S473" s="3">
        <f>(MediCare_Data[[#This Row],[Profit]]/MediCare_Data[[#This Row],[Revenue_Generated]])</f>
        <v>0.71682976786527086</v>
      </c>
    </row>
    <row r="474" spans="1:19" x14ac:dyDescent="0.25">
      <c r="A474" t="s">
        <v>521</v>
      </c>
      <c r="B474" t="s">
        <v>58</v>
      </c>
      <c r="C474" t="s">
        <v>46</v>
      </c>
      <c r="D474" t="s">
        <v>16</v>
      </c>
      <c r="E474">
        <v>38</v>
      </c>
      <c r="F474" t="str">
        <f>IF(MediCare_Data[[#This Row],[Patient_Age]]&lt;=18,"0-18",IF(MediCare_Data[[#This Row],[Patient_Age]]&lt;=35,"19-35",IF(MediCare_Data[[#This Row],[Patient_Age]]&lt;=60,"36-60","60+")))</f>
        <v>36-60</v>
      </c>
      <c r="G474" t="s">
        <v>26</v>
      </c>
      <c r="H474" t="s">
        <v>18</v>
      </c>
      <c r="I474" s="2">
        <v>74</v>
      </c>
      <c r="J474" s="11">
        <v>4861</v>
      </c>
      <c r="K474" s="3">
        <v>14.75142387</v>
      </c>
      <c r="L474" s="3">
        <f t="shared" si="7"/>
        <v>0.14751423869999999</v>
      </c>
      <c r="M474">
        <v>174</v>
      </c>
      <c r="N474" s="6">
        <f>MediCare_Data[[#This Row],[Average_Wait_Time (mins)]]/1440</f>
        <v>0.12083333333333333</v>
      </c>
      <c r="O474" s="2">
        <v>1</v>
      </c>
      <c r="P474" s="10">
        <v>42513</v>
      </c>
      <c r="Q474" s="17" t="str">
        <f>IF(AND(MediCare_Data[[#This Row],[Patient_Gender]]="Male", MediCare_Data[[#This Row],[Treatment_Type]]="Maternity"), "Gender-Treatment Mismatch", "Fine")</f>
        <v>Fine</v>
      </c>
      <c r="R474" s="10">
        <f>MediCare_Data[[#This Row],[Revenue_Generated]]-MediCare_Data[[#This Row],[Average_Treatment_Cost]]</f>
        <v>37652</v>
      </c>
      <c r="S474" s="3">
        <f>(MediCare_Data[[#This Row],[Profit]]/MediCare_Data[[#This Row],[Revenue_Generated]])</f>
        <v>0.88565850445746008</v>
      </c>
    </row>
    <row r="475" spans="1:19" x14ac:dyDescent="0.25">
      <c r="A475" t="s">
        <v>522</v>
      </c>
      <c r="B475" t="s">
        <v>82</v>
      </c>
      <c r="C475" t="s">
        <v>29</v>
      </c>
      <c r="D475" t="s">
        <v>21</v>
      </c>
      <c r="E475">
        <v>14</v>
      </c>
      <c r="F475" t="str">
        <f>IF(MediCare_Data[[#This Row],[Patient_Age]]&lt;=18,"0-18",IF(MediCare_Data[[#This Row],[Patient_Age]]&lt;=35,"19-35",IF(MediCare_Data[[#This Row],[Patient_Age]]&lt;=60,"36-60","60+")))</f>
        <v>0-18</v>
      </c>
      <c r="G475" t="s">
        <v>26</v>
      </c>
      <c r="H475" t="s">
        <v>23</v>
      </c>
      <c r="I475" s="2">
        <v>89</v>
      </c>
      <c r="J475" s="11">
        <v>7569</v>
      </c>
      <c r="K475" s="3">
        <v>5.6722720039999999</v>
      </c>
      <c r="L475" s="3">
        <f t="shared" si="7"/>
        <v>5.6722720040000001E-2</v>
      </c>
      <c r="M475">
        <v>138</v>
      </c>
      <c r="N475" s="6">
        <f>MediCare_Data[[#This Row],[Average_Wait_Time (mins)]]/1440</f>
        <v>9.583333333333334E-2</v>
      </c>
      <c r="O475" s="2">
        <v>4</v>
      </c>
      <c r="P475" s="10">
        <v>30092</v>
      </c>
      <c r="Q475" s="17" t="str">
        <f>IF(AND(MediCare_Data[[#This Row],[Patient_Gender]]="Male", MediCare_Data[[#This Row],[Treatment_Type]]="Maternity"), "Gender-Treatment Mismatch", "Fine")</f>
        <v>Fine</v>
      </c>
      <c r="R475" s="10">
        <f>MediCare_Data[[#This Row],[Revenue_Generated]]-MediCare_Data[[#This Row],[Average_Treatment_Cost]]</f>
        <v>22523</v>
      </c>
      <c r="S475" s="3">
        <f>(MediCare_Data[[#This Row],[Profit]]/MediCare_Data[[#This Row],[Revenue_Generated]])</f>
        <v>0.74847135451282731</v>
      </c>
    </row>
    <row r="476" spans="1:19" x14ac:dyDescent="0.25">
      <c r="A476" t="s">
        <v>523</v>
      </c>
      <c r="B476" t="s">
        <v>28</v>
      </c>
      <c r="C476" t="s">
        <v>54</v>
      </c>
      <c r="D476" t="s">
        <v>32</v>
      </c>
      <c r="E476">
        <v>5</v>
      </c>
      <c r="F476" t="str">
        <f>IF(MediCare_Data[[#This Row],[Patient_Age]]&lt;=18,"0-18",IF(MediCare_Data[[#This Row],[Patient_Age]]&lt;=35,"19-35",IF(MediCare_Data[[#This Row],[Patient_Age]]&lt;=60,"36-60","60+")))</f>
        <v>0-18</v>
      </c>
      <c r="G476" t="s">
        <v>22</v>
      </c>
      <c r="H476" t="s">
        <v>37</v>
      </c>
      <c r="I476" s="2">
        <v>94</v>
      </c>
      <c r="J476" s="11">
        <v>1420</v>
      </c>
      <c r="K476" s="3">
        <v>6.2530640689999997</v>
      </c>
      <c r="L476" s="3">
        <f t="shared" si="7"/>
        <v>6.253064069E-2</v>
      </c>
      <c r="M476">
        <v>120</v>
      </c>
      <c r="N476" s="6">
        <f>MediCare_Data[[#This Row],[Average_Wait_Time (mins)]]/1440</f>
        <v>8.3333333333333329E-2</v>
      </c>
      <c r="O476" s="2">
        <v>3</v>
      </c>
      <c r="P476" s="10">
        <v>18653</v>
      </c>
      <c r="Q476" s="17" t="str">
        <f>IF(AND(MediCare_Data[[#This Row],[Patient_Gender]]="Male", MediCare_Data[[#This Row],[Treatment_Type]]="Maternity"), "Gender-Treatment Mismatch", "Fine")</f>
        <v>Fine</v>
      </c>
      <c r="R476" s="10">
        <f>MediCare_Data[[#This Row],[Revenue_Generated]]-MediCare_Data[[#This Row],[Average_Treatment_Cost]]</f>
        <v>17233</v>
      </c>
      <c r="S476" s="3">
        <f>(MediCare_Data[[#This Row],[Profit]]/MediCare_Data[[#This Row],[Revenue_Generated]])</f>
        <v>0.92387283546882537</v>
      </c>
    </row>
    <row r="477" spans="1:19" x14ac:dyDescent="0.25">
      <c r="A477" t="s">
        <v>524</v>
      </c>
      <c r="B477" t="s">
        <v>45</v>
      </c>
      <c r="C477" t="s">
        <v>42</v>
      </c>
      <c r="D477" t="s">
        <v>21</v>
      </c>
      <c r="E477">
        <v>80</v>
      </c>
      <c r="F477" t="str">
        <f>IF(MediCare_Data[[#This Row],[Patient_Age]]&lt;=18,"0-18",IF(MediCare_Data[[#This Row],[Patient_Age]]&lt;=35,"19-35",IF(MediCare_Data[[#This Row],[Patient_Age]]&lt;=60,"36-60","60+")))</f>
        <v>60+</v>
      </c>
      <c r="G477" t="s">
        <v>43</v>
      </c>
      <c r="H477" t="s">
        <v>18</v>
      </c>
      <c r="I477" s="2">
        <v>50</v>
      </c>
      <c r="J477" s="11">
        <v>8690</v>
      </c>
      <c r="K477" s="3">
        <v>23.128749070000001</v>
      </c>
      <c r="L477" s="3">
        <f t="shared" si="7"/>
        <v>0.23128749070000001</v>
      </c>
      <c r="M477">
        <v>33</v>
      </c>
      <c r="N477" s="6">
        <f>MediCare_Data[[#This Row],[Average_Wait_Time (mins)]]/1440</f>
        <v>2.2916666666666665E-2</v>
      </c>
      <c r="O477" s="2">
        <v>3</v>
      </c>
      <c r="P477" s="10">
        <v>33463</v>
      </c>
      <c r="Q477" s="17" t="str">
        <f>IF(AND(MediCare_Data[[#This Row],[Patient_Gender]]="Male", MediCare_Data[[#This Row],[Treatment_Type]]="Maternity"), "Gender-Treatment Mismatch", "Fine")</f>
        <v>Fine</v>
      </c>
      <c r="R477" s="10">
        <f>MediCare_Data[[#This Row],[Revenue_Generated]]-MediCare_Data[[#This Row],[Average_Treatment_Cost]]</f>
        <v>24773</v>
      </c>
      <c r="S477" s="3">
        <f>(MediCare_Data[[#This Row],[Profit]]/MediCare_Data[[#This Row],[Revenue_Generated]])</f>
        <v>0.74031019334787673</v>
      </c>
    </row>
    <row r="478" spans="1:19" x14ac:dyDescent="0.25">
      <c r="A478" t="s">
        <v>525</v>
      </c>
      <c r="B478" t="s">
        <v>39</v>
      </c>
      <c r="C478" t="s">
        <v>20</v>
      </c>
      <c r="D478" t="s">
        <v>21</v>
      </c>
      <c r="E478">
        <v>89</v>
      </c>
      <c r="F478" t="str">
        <f>IF(MediCare_Data[[#This Row],[Patient_Age]]&lt;=18,"0-18",IF(MediCare_Data[[#This Row],[Patient_Age]]&lt;=35,"19-35",IF(MediCare_Data[[#This Row],[Patient_Age]]&lt;=60,"36-60","60+")))</f>
        <v>60+</v>
      </c>
      <c r="G478" t="s">
        <v>26</v>
      </c>
      <c r="H478" t="s">
        <v>51</v>
      </c>
      <c r="I478" s="2">
        <v>65</v>
      </c>
      <c r="J478" s="11">
        <v>3930</v>
      </c>
      <c r="K478" s="3">
        <v>7.7849074219999999</v>
      </c>
      <c r="L478" s="3">
        <f t="shared" si="7"/>
        <v>7.7849074219999995E-2</v>
      </c>
      <c r="M478">
        <v>36</v>
      </c>
      <c r="N478" s="6">
        <f>MediCare_Data[[#This Row],[Average_Wait_Time (mins)]]/1440</f>
        <v>2.5000000000000001E-2</v>
      </c>
      <c r="O478" s="2">
        <v>1</v>
      </c>
      <c r="P478" s="10">
        <v>35028</v>
      </c>
      <c r="Q478" s="17" t="str">
        <f>IF(AND(MediCare_Data[[#This Row],[Patient_Gender]]="Male", MediCare_Data[[#This Row],[Treatment_Type]]="Maternity"), "Gender-Treatment Mismatch", "Fine")</f>
        <v>Fine</v>
      </c>
      <c r="R478" s="10">
        <f>MediCare_Data[[#This Row],[Revenue_Generated]]-MediCare_Data[[#This Row],[Average_Treatment_Cost]]</f>
        <v>31098</v>
      </c>
      <c r="S478" s="3">
        <f>(MediCare_Data[[#This Row],[Profit]]/MediCare_Data[[#This Row],[Revenue_Generated]])</f>
        <v>0.88780404248030143</v>
      </c>
    </row>
    <row r="479" spans="1:19" x14ac:dyDescent="0.25">
      <c r="A479" t="s">
        <v>526</v>
      </c>
      <c r="B479" t="s">
        <v>25</v>
      </c>
      <c r="C479" t="s">
        <v>29</v>
      </c>
      <c r="D479" t="s">
        <v>16</v>
      </c>
      <c r="E479">
        <v>77</v>
      </c>
      <c r="F479" t="str">
        <f>IF(MediCare_Data[[#This Row],[Patient_Age]]&lt;=18,"0-18",IF(MediCare_Data[[#This Row],[Patient_Age]]&lt;=35,"19-35",IF(MediCare_Data[[#This Row],[Patient_Age]]&lt;=60,"36-60","60+")))</f>
        <v>60+</v>
      </c>
      <c r="G479" t="s">
        <v>43</v>
      </c>
      <c r="H479" t="s">
        <v>51</v>
      </c>
      <c r="I479" s="2">
        <v>88</v>
      </c>
      <c r="J479" s="11">
        <v>4935</v>
      </c>
      <c r="K479" s="3">
        <v>15.64841365</v>
      </c>
      <c r="L479" s="3">
        <f t="shared" si="7"/>
        <v>0.15648413650000001</v>
      </c>
      <c r="M479">
        <v>49</v>
      </c>
      <c r="N479" s="6">
        <f>MediCare_Data[[#This Row],[Average_Wait_Time (mins)]]/1440</f>
        <v>3.4027777777777775E-2</v>
      </c>
      <c r="O479" s="2">
        <v>2</v>
      </c>
      <c r="P479" s="10">
        <v>41469</v>
      </c>
      <c r="Q479" s="17" t="str">
        <f>IF(AND(MediCare_Data[[#This Row],[Patient_Gender]]="Male", MediCare_Data[[#This Row],[Treatment_Type]]="Maternity"), "Gender-Treatment Mismatch", "Fine")</f>
        <v>Fine</v>
      </c>
      <c r="R479" s="10">
        <f>MediCare_Data[[#This Row],[Revenue_Generated]]-MediCare_Data[[#This Row],[Average_Treatment_Cost]]</f>
        <v>36534</v>
      </c>
      <c r="S479" s="3">
        <f>(MediCare_Data[[#This Row],[Profit]]/MediCare_Data[[#This Row],[Revenue_Generated]])</f>
        <v>0.88099544237864424</v>
      </c>
    </row>
    <row r="480" spans="1:19" x14ac:dyDescent="0.25">
      <c r="A480" t="s">
        <v>527</v>
      </c>
      <c r="B480" t="s">
        <v>25</v>
      </c>
      <c r="C480" t="s">
        <v>20</v>
      </c>
      <c r="D480" t="s">
        <v>32</v>
      </c>
      <c r="E480">
        <v>31</v>
      </c>
      <c r="F480" t="str">
        <f>IF(MediCare_Data[[#This Row],[Patient_Age]]&lt;=18,"0-18",IF(MediCare_Data[[#This Row],[Patient_Age]]&lt;=35,"19-35",IF(MediCare_Data[[#This Row],[Patient_Age]]&lt;=60,"36-60","60+")))</f>
        <v>19-35</v>
      </c>
      <c r="G480" t="s">
        <v>26</v>
      </c>
      <c r="H480" t="s">
        <v>37</v>
      </c>
      <c r="I480" s="2">
        <v>54</v>
      </c>
      <c r="J480" s="11">
        <v>4260</v>
      </c>
      <c r="K480" s="3">
        <v>13.22191205</v>
      </c>
      <c r="L480" s="3">
        <f t="shared" si="7"/>
        <v>0.13221912050000001</v>
      </c>
      <c r="M480">
        <v>173</v>
      </c>
      <c r="N480" s="6">
        <f>MediCare_Data[[#This Row],[Average_Wait_Time (mins)]]/1440</f>
        <v>0.12013888888888889</v>
      </c>
      <c r="O480" s="2">
        <v>2</v>
      </c>
      <c r="P480" s="10">
        <v>21947</v>
      </c>
      <c r="Q480" s="17" t="str">
        <f>IF(AND(MediCare_Data[[#This Row],[Patient_Gender]]="Male", MediCare_Data[[#This Row],[Treatment_Type]]="Maternity"), "Gender-Treatment Mismatch", "Fine")</f>
        <v>Fine</v>
      </c>
      <c r="R480" s="10">
        <f>MediCare_Data[[#This Row],[Revenue_Generated]]-MediCare_Data[[#This Row],[Average_Treatment_Cost]]</f>
        <v>17687</v>
      </c>
      <c r="S480" s="3">
        <f>(MediCare_Data[[#This Row],[Profit]]/MediCare_Data[[#This Row],[Revenue_Generated]])</f>
        <v>0.80589602223538526</v>
      </c>
    </row>
    <row r="481" spans="1:19" x14ac:dyDescent="0.25">
      <c r="A481" t="s">
        <v>528</v>
      </c>
      <c r="B481" t="s">
        <v>74</v>
      </c>
      <c r="C481" t="s">
        <v>31</v>
      </c>
      <c r="D481" t="s">
        <v>16</v>
      </c>
      <c r="E481">
        <v>19</v>
      </c>
      <c r="F481" t="str">
        <f>IF(MediCare_Data[[#This Row],[Patient_Age]]&lt;=18,"0-18",IF(MediCare_Data[[#This Row],[Patient_Age]]&lt;=35,"19-35",IF(MediCare_Data[[#This Row],[Patient_Age]]&lt;=60,"36-60","60+")))</f>
        <v>19-35</v>
      </c>
      <c r="G481" t="s">
        <v>22</v>
      </c>
      <c r="H481" t="s">
        <v>33</v>
      </c>
      <c r="I481" s="2">
        <v>71</v>
      </c>
      <c r="J481" s="11">
        <v>2550</v>
      </c>
      <c r="K481" s="3">
        <v>11.946866529999999</v>
      </c>
      <c r="L481" s="3">
        <f t="shared" si="7"/>
        <v>0.1194686653</v>
      </c>
      <c r="M481">
        <v>33</v>
      </c>
      <c r="N481" s="6">
        <f>MediCare_Data[[#This Row],[Average_Wait_Time (mins)]]/1440</f>
        <v>2.2916666666666665E-2</v>
      </c>
      <c r="O481" s="2">
        <v>4</v>
      </c>
      <c r="P481" s="10">
        <v>30978</v>
      </c>
      <c r="Q481" s="17" t="str">
        <f>IF(AND(MediCare_Data[[#This Row],[Patient_Gender]]="Male", MediCare_Data[[#This Row],[Treatment_Type]]="Maternity"), "Gender-Treatment Mismatch", "Fine")</f>
        <v>Fine</v>
      </c>
      <c r="R481" s="10">
        <f>MediCare_Data[[#This Row],[Revenue_Generated]]-MediCare_Data[[#This Row],[Average_Treatment_Cost]]</f>
        <v>28428</v>
      </c>
      <c r="S481" s="3">
        <f>(MediCare_Data[[#This Row],[Profit]]/MediCare_Data[[#This Row],[Revenue_Generated]])</f>
        <v>0.91768351733488285</v>
      </c>
    </row>
    <row r="482" spans="1:19" x14ac:dyDescent="0.25">
      <c r="A482" t="s">
        <v>529</v>
      </c>
      <c r="B482" t="s">
        <v>28</v>
      </c>
      <c r="C482" t="s">
        <v>46</v>
      </c>
      <c r="D482" t="s">
        <v>32</v>
      </c>
      <c r="E482">
        <v>34</v>
      </c>
      <c r="F482" t="str">
        <f>IF(MediCare_Data[[#This Row],[Patient_Age]]&lt;=18,"0-18",IF(MediCare_Data[[#This Row],[Patient_Age]]&lt;=35,"19-35",IF(MediCare_Data[[#This Row],[Patient_Age]]&lt;=60,"36-60","60+")))</f>
        <v>19-35</v>
      </c>
      <c r="G482" t="s">
        <v>22</v>
      </c>
      <c r="H482" t="s">
        <v>47</v>
      </c>
      <c r="I482" s="2">
        <v>78</v>
      </c>
      <c r="J482" s="11">
        <v>1665</v>
      </c>
      <c r="K482" s="3">
        <v>22.996666909999998</v>
      </c>
      <c r="L482" s="3">
        <f t="shared" si="7"/>
        <v>0.22996666909999999</v>
      </c>
      <c r="M482">
        <v>33</v>
      </c>
      <c r="N482" s="6">
        <f>MediCare_Data[[#This Row],[Average_Wait_Time (mins)]]/1440</f>
        <v>2.2916666666666665E-2</v>
      </c>
      <c r="O482" s="2">
        <v>4</v>
      </c>
      <c r="P482" s="10">
        <v>23056</v>
      </c>
      <c r="Q482" s="17" t="str">
        <f>IF(AND(MediCare_Data[[#This Row],[Patient_Gender]]="Male", MediCare_Data[[#This Row],[Treatment_Type]]="Maternity"), "Gender-Treatment Mismatch", "Fine")</f>
        <v>Fine</v>
      </c>
      <c r="R482" s="10">
        <f>MediCare_Data[[#This Row],[Revenue_Generated]]-MediCare_Data[[#This Row],[Average_Treatment_Cost]]</f>
        <v>21391</v>
      </c>
      <c r="S482" s="3">
        <f>(MediCare_Data[[#This Row],[Profit]]/MediCare_Data[[#This Row],[Revenue_Generated]])</f>
        <v>0.92778452463566963</v>
      </c>
    </row>
    <row r="483" spans="1:19" x14ac:dyDescent="0.25">
      <c r="A483" t="s">
        <v>530</v>
      </c>
      <c r="B483" t="s">
        <v>14</v>
      </c>
      <c r="C483" t="s">
        <v>15</v>
      </c>
      <c r="D483" t="s">
        <v>21</v>
      </c>
      <c r="E483">
        <v>1</v>
      </c>
      <c r="F483" t="str">
        <f>IF(MediCare_Data[[#This Row],[Patient_Age]]&lt;=18,"0-18",IF(MediCare_Data[[#This Row],[Patient_Age]]&lt;=35,"19-35",IF(MediCare_Data[[#This Row],[Patient_Age]]&lt;=60,"36-60","60+")))</f>
        <v>0-18</v>
      </c>
      <c r="G483" t="s">
        <v>26</v>
      </c>
      <c r="H483" t="s">
        <v>33</v>
      </c>
      <c r="I483" s="2">
        <v>52</v>
      </c>
      <c r="J483" s="11">
        <v>9067</v>
      </c>
      <c r="K483" s="3">
        <v>5.4364679359999997</v>
      </c>
      <c r="L483" s="3">
        <f t="shared" si="7"/>
        <v>5.4364679359999994E-2</v>
      </c>
      <c r="M483">
        <v>13</v>
      </c>
      <c r="N483" s="6">
        <f>MediCare_Data[[#This Row],[Average_Wait_Time (mins)]]/1440</f>
        <v>9.0277777777777769E-3</v>
      </c>
      <c r="O483" s="2">
        <v>3</v>
      </c>
      <c r="P483" s="10">
        <v>30007</v>
      </c>
      <c r="Q483" s="17" t="str">
        <f>IF(AND(MediCare_Data[[#This Row],[Patient_Gender]]="Male", MediCare_Data[[#This Row],[Treatment_Type]]="Maternity"), "Gender-Treatment Mismatch", "Fine")</f>
        <v>Fine</v>
      </c>
      <c r="R483" s="10">
        <f>MediCare_Data[[#This Row],[Revenue_Generated]]-MediCare_Data[[#This Row],[Average_Treatment_Cost]]</f>
        <v>20940</v>
      </c>
      <c r="S483" s="3">
        <f>(MediCare_Data[[#This Row],[Profit]]/MediCare_Data[[#This Row],[Revenue_Generated]])</f>
        <v>0.69783717132669043</v>
      </c>
    </row>
    <row r="484" spans="1:19" x14ac:dyDescent="0.25">
      <c r="A484" t="s">
        <v>531</v>
      </c>
      <c r="B484" t="s">
        <v>53</v>
      </c>
      <c r="C484" t="s">
        <v>20</v>
      </c>
      <c r="D484" t="s">
        <v>16</v>
      </c>
      <c r="E484">
        <v>88</v>
      </c>
      <c r="F484" t="str">
        <f>IF(MediCare_Data[[#This Row],[Patient_Age]]&lt;=18,"0-18",IF(MediCare_Data[[#This Row],[Patient_Age]]&lt;=35,"19-35",IF(MediCare_Data[[#This Row],[Patient_Age]]&lt;=60,"36-60","60+")))</f>
        <v>60+</v>
      </c>
      <c r="G484" t="s">
        <v>22</v>
      </c>
      <c r="H484" t="s">
        <v>33</v>
      </c>
      <c r="I484" s="2">
        <v>61</v>
      </c>
      <c r="J484" s="11">
        <v>2533</v>
      </c>
      <c r="K484" s="3">
        <v>18.275793719999999</v>
      </c>
      <c r="L484" s="3">
        <f t="shared" si="7"/>
        <v>0.1827579372</v>
      </c>
      <c r="M484">
        <v>76</v>
      </c>
      <c r="N484" s="6">
        <f>MediCare_Data[[#This Row],[Average_Wait_Time (mins)]]/1440</f>
        <v>5.2777777777777778E-2</v>
      </c>
      <c r="O484" s="2">
        <v>1</v>
      </c>
      <c r="P484" s="10">
        <v>44169</v>
      </c>
      <c r="Q484" s="17" t="str">
        <f>IF(AND(MediCare_Data[[#This Row],[Patient_Gender]]="Male", MediCare_Data[[#This Row],[Treatment_Type]]="Maternity"), "Gender-Treatment Mismatch", "Fine")</f>
        <v>Fine</v>
      </c>
      <c r="R484" s="10">
        <f>MediCare_Data[[#This Row],[Revenue_Generated]]-MediCare_Data[[#This Row],[Average_Treatment_Cost]]</f>
        <v>41636</v>
      </c>
      <c r="S484" s="3">
        <f>(MediCare_Data[[#This Row],[Profit]]/MediCare_Data[[#This Row],[Revenue_Generated]])</f>
        <v>0.94265208630487451</v>
      </c>
    </row>
    <row r="485" spans="1:19" x14ac:dyDescent="0.25">
      <c r="A485" t="s">
        <v>532</v>
      </c>
      <c r="B485" t="s">
        <v>64</v>
      </c>
      <c r="C485" t="s">
        <v>54</v>
      </c>
      <c r="D485" t="s">
        <v>16</v>
      </c>
      <c r="E485">
        <v>13</v>
      </c>
      <c r="F485" t="str">
        <f>IF(MediCare_Data[[#This Row],[Patient_Age]]&lt;=18,"0-18",IF(MediCare_Data[[#This Row],[Patient_Age]]&lt;=35,"19-35",IF(MediCare_Data[[#This Row],[Patient_Age]]&lt;=60,"36-60","60+")))</f>
        <v>0-18</v>
      </c>
      <c r="G485" t="s">
        <v>26</v>
      </c>
      <c r="H485" t="s">
        <v>23</v>
      </c>
      <c r="I485" s="2">
        <v>75</v>
      </c>
      <c r="J485" s="11">
        <v>6967</v>
      </c>
      <c r="K485" s="3">
        <v>24.267888679999999</v>
      </c>
      <c r="L485" s="3">
        <f t="shared" si="7"/>
        <v>0.24267888679999999</v>
      </c>
      <c r="M485">
        <v>43</v>
      </c>
      <c r="N485" s="6">
        <f>MediCare_Data[[#This Row],[Average_Wait_Time (mins)]]/1440</f>
        <v>2.9861111111111113E-2</v>
      </c>
      <c r="O485" s="2">
        <v>3</v>
      </c>
      <c r="P485" s="10">
        <v>49287</v>
      </c>
      <c r="Q485" s="17" t="str">
        <f>IF(AND(MediCare_Data[[#This Row],[Patient_Gender]]="Male", MediCare_Data[[#This Row],[Treatment_Type]]="Maternity"), "Gender-Treatment Mismatch", "Fine")</f>
        <v>Fine</v>
      </c>
      <c r="R485" s="10">
        <f>MediCare_Data[[#This Row],[Revenue_Generated]]-MediCare_Data[[#This Row],[Average_Treatment_Cost]]</f>
        <v>42320</v>
      </c>
      <c r="S485" s="3">
        <f>(MediCare_Data[[#This Row],[Profit]]/MediCare_Data[[#This Row],[Revenue_Generated]])</f>
        <v>0.85864426725099929</v>
      </c>
    </row>
    <row r="486" spans="1:19" x14ac:dyDescent="0.25">
      <c r="A486" t="s">
        <v>533</v>
      </c>
      <c r="B486" t="s">
        <v>25</v>
      </c>
      <c r="C486" t="s">
        <v>31</v>
      </c>
      <c r="D486" t="s">
        <v>16</v>
      </c>
      <c r="E486">
        <v>33</v>
      </c>
      <c r="F486" t="str">
        <f>IF(MediCare_Data[[#This Row],[Patient_Age]]&lt;=18,"0-18",IF(MediCare_Data[[#This Row],[Patient_Age]]&lt;=35,"19-35",IF(MediCare_Data[[#This Row],[Patient_Age]]&lt;=60,"36-60","60+")))</f>
        <v>19-35</v>
      </c>
      <c r="G486" t="s">
        <v>17</v>
      </c>
      <c r="H486" t="s">
        <v>47</v>
      </c>
      <c r="I486" s="2">
        <v>65</v>
      </c>
      <c r="J486" s="11">
        <v>645</v>
      </c>
      <c r="K486" s="3">
        <v>16.203363670000002</v>
      </c>
      <c r="L486" s="3">
        <f t="shared" si="7"/>
        <v>0.16203363670000001</v>
      </c>
      <c r="M486">
        <v>125</v>
      </c>
      <c r="N486" s="6">
        <f>MediCare_Data[[#This Row],[Average_Wait_Time (mins)]]/1440</f>
        <v>8.6805555555555552E-2</v>
      </c>
      <c r="O486" s="2">
        <v>4</v>
      </c>
      <c r="P486" s="10">
        <v>45632</v>
      </c>
      <c r="Q486" s="17" t="str">
        <f>IF(AND(MediCare_Data[[#This Row],[Patient_Gender]]="Male", MediCare_Data[[#This Row],[Treatment_Type]]="Maternity"), "Gender-Treatment Mismatch", "Fine")</f>
        <v>Fine</v>
      </c>
      <c r="R486" s="10">
        <f>MediCare_Data[[#This Row],[Revenue_Generated]]-MediCare_Data[[#This Row],[Average_Treatment_Cost]]</f>
        <v>44987</v>
      </c>
      <c r="S486" s="3">
        <f>(MediCare_Data[[#This Row],[Profit]]/MediCare_Data[[#This Row],[Revenue_Generated]])</f>
        <v>0.98586518232819076</v>
      </c>
    </row>
    <row r="487" spans="1:19" x14ac:dyDescent="0.25">
      <c r="A487" t="s">
        <v>534</v>
      </c>
      <c r="B487" t="s">
        <v>74</v>
      </c>
      <c r="C487" t="s">
        <v>29</v>
      </c>
      <c r="D487" t="s">
        <v>16</v>
      </c>
      <c r="E487">
        <v>43</v>
      </c>
      <c r="F487" t="str">
        <f>IF(MediCare_Data[[#This Row],[Patient_Age]]&lt;=18,"0-18",IF(MediCare_Data[[#This Row],[Patient_Age]]&lt;=35,"19-35",IF(MediCare_Data[[#This Row],[Patient_Age]]&lt;=60,"36-60","60+")))</f>
        <v>36-60</v>
      </c>
      <c r="G487" t="s">
        <v>26</v>
      </c>
      <c r="H487" t="s">
        <v>23</v>
      </c>
      <c r="I487" s="2">
        <v>86</v>
      </c>
      <c r="J487" s="11">
        <v>4888</v>
      </c>
      <c r="K487" s="3">
        <v>23.736449239999999</v>
      </c>
      <c r="L487" s="3">
        <f t="shared" si="7"/>
        <v>0.23736449239999999</v>
      </c>
      <c r="M487">
        <v>32</v>
      </c>
      <c r="N487" s="6">
        <f>MediCare_Data[[#This Row],[Average_Wait_Time (mins)]]/1440</f>
        <v>2.2222222222222223E-2</v>
      </c>
      <c r="O487" s="2">
        <v>1</v>
      </c>
      <c r="P487" s="10">
        <v>49449</v>
      </c>
      <c r="Q487" s="17" t="str">
        <f>IF(AND(MediCare_Data[[#This Row],[Patient_Gender]]="Male", MediCare_Data[[#This Row],[Treatment_Type]]="Maternity"), "Gender-Treatment Mismatch", "Fine")</f>
        <v>Fine</v>
      </c>
      <c r="R487" s="10">
        <f>MediCare_Data[[#This Row],[Revenue_Generated]]-MediCare_Data[[#This Row],[Average_Treatment_Cost]]</f>
        <v>44561</v>
      </c>
      <c r="S487" s="3">
        <f>(MediCare_Data[[#This Row],[Profit]]/MediCare_Data[[#This Row],[Revenue_Generated]])</f>
        <v>0.90115068049910008</v>
      </c>
    </row>
    <row r="488" spans="1:19" x14ac:dyDescent="0.25">
      <c r="A488" t="s">
        <v>535</v>
      </c>
      <c r="B488" t="s">
        <v>35</v>
      </c>
      <c r="C488" t="s">
        <v>31</v>
      </c>
      <c r="D488" t="s">
        <v>32</v>
      </c>
      <c r="E488">
        <v>88</v>
      </c>
      <c r="F488" t="str">
        <f>IF(MediCare_Data[[#This Row],[Patient_Age]]&lt;=18,"0-18",IF(MediCare_Data[[#This Row],[Patient_Age]]&lt;=35,"19-35",IF(MediCare_Data[[#This Row],[Patient_Age]]&lt;=60,"36-60","60+")))</f>
        <v>60+</v>
      </c>
      <c r="G488" t="s">
        <v>43</v>
      </c>
      <c r="H488" t="s">
        <v>23</v>
      </c>
      <c r="I488" s="2">
        <v>71</v>
      </c>
      <c r="J488" s="11">
        <v>8332</v>
      </c>
      <c r="K488" s="3">
        <v>6.0451575860000002</v>
      </c>
      <c r="L488" s="3">
        <f t="shared" si="7"/>
        <v>6.0451575860000002E-2</v>
      </c>
      <c r="M488">
        <v>118</v>
      </c>
      <c r="N488" s="6">
        <f>MediCare_Data[[#This Row],[Average_Wait_Time (mins)]]/1440</f>
        <v>8.1944444444444445E-2</v>
      </c>
      <c r="O488" s="2">
        <v>1</v>
      </c>
      <c r="P488" s="10">
        <v>6543</v>
      </c>
      <c r="Q488" s="17" t="str">
        <f>IF(AND(MediCare_Data[[#This Row],[Patient_Gender]]="Male", MediCare_Data[[#This Row],[Treatment_Type]]="Maternity"), "Gender-Treatment Mismatch", "Fine")</f>
        <v>Fine</v>
      </c>
      <c r="R488" s="10">
        <f>MediCare_Data[[#This Row],[Revenue_Generated]]-MediCare_Data[[#This Row],[Average_Treatment_Cost]]</f>
        <v>-1789</v>
      </c>
      <c r="S488" s="3">
        <f>(MediCare_Data[[#This Row],[Profit]]/MediCare_Data[[#This Row],[Revenue_Generated]])</f>
        <v>-0.27342197768607673</v>
      </c>
    </row>
    <row r="489" spans="1:19" x14ac:dyDescent="0.25">
      <c r="A489" t="s">
        <v>536</v>
      </c>
      <c r="B489" t="s">
        <v>39</v>
      </c>
      <c r="C489" t="s">
        <v>54</v>
      </c>
      <c r="D489" t="s">
        <v>32</v>
      </c>
      <c r="E489">
        <v>19</v>
      </c>
      <c r="F489" t="str">
        <f>IF(MediCare_Data[[#This Row],[Patient_Age]]&lt;=18,"0-18",IF(MediCare_Data[[#This Row],[Patient_Age]]&lt;=35,"19-35",IF(MediCare_Data[[#This Row],[Patient_Age]]&lt;=60,"36-60","60+")))</f>
        <v>19-35</v>
      </c>
      <c r="G489" t="s">
        <v>22</v>
      </c>
      <c r="H489" t="s">
        <v>18</v>
      </c>
      <c r="I489" s="2">
        <v>78</v>
      </c>
      <c r="J489" s="11">
        <v>9123</v>
      </c>
      <c r="K489" s="3">
        <v>13.37586638</v>
      </c>
      <c r="L489" s="3">
        <f t="shared" si="7"/>
        <v>0.13375866380000001</v>
      </c>
      <c r="M489">
        <v>78</v>
      </c>
      <c r="N489" s="6">
        <f>MediCare_Data[[#This Row],[Average_Wait_Time (mins)]]/1440</f>
        <v>5.4166666666666669E-2</v>
      </c>
      <c r="O489" s="2">
        <v>4</v>
      </c>
      <c r="P489" s="10">
        <v>22067</v>
      </c>
      <c r="Q489" s="17" t="str">
        <f>IF(AND(MediCare_Data[[#This Row],[Patient_Gender]]="Male", MediCare_Data[[#This Row],[Treatment_Type]]="Maternity"), "Gender-Treatment Mismatch", "Fine")</f>
        <v>Fine</v>
      </c>
      <c r="R489" s="10">
        <f>MediCare_Data[[#This Row],[Revenue_Generated]]-MediCare_Data[[#This Row],[Average_Treatment_Cost]]</f>
        <v>12944</v>
      </c>
      <c r="S489" s="3">
        <f>(MediCare_Data[[#This Row],[Profit]]/MediCare_Data[[#This Row],[Revenue_Generated]])</f>
        <v>0.58657724203561878</v>
      </c>
    </row>
    <row r="490" spans="1:19" x14ac:dyDescent="0.25">
      <c r="A490" t="s">
        <v>537</v>
      </c>
      <c r="B490" t="s">
        <v>45</v>
      </c>
      <c r="C490" t="s">
        <v>15</v>
      </c>
      <c r="D490" t="s">
        <v>16</v>
      </c>
      <c r="E490">
        <v>12</v>
      </c>
      <c r="F490" t="str">
        <f>IF(MediCare_Data[[#This Row],[Patient_Age]]&lt;=18,"0-18",IF(MediCare_Data[[#This Row],[Patient_Age]]&lt;=35,"19-35",IF(MediCare_Data[[#This Row],[Patient_Age]]&lt;=60,"36-60","60+")))</f>
        <v>0-18</v>
      </c>
      <c r="G490" t="s">
        <v>26</v>
      </c>
      <c r="H490" t="s">
        <v>23</v>
      </c>
      <c r="I490" s="2">
        <v>63</v>
      </c>
      <c r="J490" s="11">
        <v>9396</v>
      </c>
      <c r="K490" s="3">
        <v>10.203155819999999</v>
      </c>
      <c r="L490" s="3">
        <f t="shared" si="7"/>
        <v>0.1020315582</v>
      </c>
      <c r="M490">
        <v>104</v>
      </c>
      <c r="N490" s="6">
        <f>MediCare_Data[[#This Row],[Average_Wait_Time (mins)]]/1440</f>
        <v>7.2222222222222215E-2</v>
      </c>
      <c r="O490" s="2">
        <v>2</v>
      </c>
      <c r="P490" s="10">
        <v>46256</v>
      </c>
      <c r="Q490" s="17" t="str">
        <f>IF(AND(MediCare_Data[[#This Row],[Patient_Gender]]="Male", MediCare_Data[[#This Row],[Treatment_Type]]="Maternity"), "Gender-Treatment Mismatch", "Fine")</f>
        <v>Fine</v>
      </c>
      <c r="R490" s="10">
        <f>MediCare_Data[[#This Row],[Revenue_Generated]]-MediCare_Data[[#This Row],[Average_Treatment_Cost]]</f>
        <v>36860</v>
      </c>
      <c r="S490" s="3">
        <f>(MediCare_Data[[#This Row],[Profit]]/MediCare_Data[[#This Row],[Revenue_Generated]])</f>
        <v>0.79686959529574541</v>
      </c>
    </row>
    <row r="491" spans="1:19" x14ac:dyDescent="0.25">
      <c r="A491" t="s">
        <v>538</v>
      </c>
      <c r="B491" t="s">
        <v>82</v>
      </c>
      <c r="C491" t="s">
        <v>15</v>
      </c>
      <c r="D491" t="s">
        <v>16</v>
      </c>
      <c r="E491">
        <v>68</v>
      </c>
      <c r="F491" t="str">
        <f>IF(MediCare_Data[[#This Row],[Patient_Age]]&lt;=18,"0-18",IF(MediCare_Data[[#This Row],[Patient_Age]]&lt;=35,"19-35",IF(MediCare_Data[[#This Row],[Patient_Age]]&lt;=60,"36-60","60+")))</f>
        <v>60+</v>
      </c>
      <c r="G491" t="s">
        <v>26</v>
      </c>
      <c r="H491" t="s">
        <v>23</v>
      </c>
      <c r="I491" s="2">
        <v>77</v>
      </c>
      <c r="J491" s="11">
        <v>8673</v>
      </c>
      <c r="K491" s="3">
        <v>19.6164193</v>
      </c>
      <c r="L491" s="3">
        <f t="shared" si="7"/>
        <v>0.19616419300000001</v>
      </c>
      <c r="M491">
        <v>71</v>
      </c>
      <c r="N491" s="6">
        <f>MediCare_Data[[#This Row],[Average_Wait_Time (mins)]]/1440</f>
        <v>4.9305555555555554E-2</v>
      </c>
      <c r="O491" s="2">
        <v>2</v>
      </c>
      <c r="P491" s="10">
        <v>26097</v>
      </c>
      <c r="Q491" s="17" t="str">
        <f>IF(AND(MediCare_Data[[#This Row],[Patient_Gender]]="Male", MediCare_Data[[#This Row],[Treatment_Type]]="Maternity"), "Gender-Treatment Mismatch", "Fine")</f>
        <v>Fine</v>
      </c>
      <c r="R491" s="10">
        <f>MediCare_Data[[#This Row],[Revenue_Generated]]-MediCare_Data[[#This Row],[Average_Treatment_Cost]]</f>
        <v>17424</v>
      </c>
      <c r="S491" s="3">
        <f>(MediCare_Data[[#This Row],[Profit]]/MediCare_Data[[#This Row],[Revenue_Generated]])</f>
        <v>0.66766294976434071</v>
      </c>
    </row>
    <row r="492" spans="1:19" x14ac:dyDescent="0.25">
      <c r="A492" t="s">
        <v>539</v>
      </c>
      <c r="B492" t="s">
        <v>14</v>
      </c>
      <c r="C492" t="s">
        <v>46</v>
      </c>
      <c r="D492" t="s">
        <v>32</v>
      </c>
      <c r="E492">
        <v>54</v>
      </c>
      <c r="F492" t="str">
        <f>IF(MediCare_Data[[#This Row],[Patient_Age]]&lt;=18,"0-18",IF(MediCare_Data[[#This Row],[Patient_Age]]&lt;=35,"19-35",IF(MediCare_Data[[#This Row],[Patient_Age]]&lt;=60,"36-60","60+")))</f>
        <v>36-60</v>
      </c>
      <c r="G492" t="s">
        <v>26</v>
      </c>
      <c r="H492" t="s">
        <v>51</v>
      </c>
      <c r="I492" s="2">
        <v>54</v>
      </c>
      <c r="J492" s="11">
        <v>3132</v>
      </c>
      <c r="K492" s="3">
        <v>24.62594181</v>
      </c>
      <c r="L492" s="3">
        <f t="shared" si="7"/>
        <v>0.24625941810000002</v>
      </c>
      <c r="M492">
        <v>178</v>
      </c>
      <c r="N492" s="6">
        <f>MediCare_Data[[#This Row],[Average_Wait_Time (mins)]]/1440</f>
        <v>0.12361111111111112</v>
      </c>
      <c r="O492" s="2">
        <v>1</v>
      </c>
      <c r="P492" s="10">
        <v>43847</v>
      </c>
      <c r="Q492" s="17" t="str">
        <f>IF(AND(MediCare_Data[[#This Row],[Patient_Gender]]="Male", MediCare_Data[[#This Row],[Treatment_Type]]="Maternity"), "Gender-Treatment Mismatch", "Fine")</f>
        <v>Fine</v>
      </c>
      <c r="R492" s="10">
        <f>MediCare_Data[[#This Row],[Revenue_Generated]]-MediCare_Data[[#This Row],[Average_Treatment_Cost]]</f>
        <v>40715</v>
      </c>
      <c r="S492" s="3">
        <f>(MediCare_Data[[#This Row],[Profit]]/MediCare_Data[[#This Row],[Revenue_Generated]])</f>
        <v>0.92856979953018448</v>
      </c>
    </row>
    <row r="493" spans="1:19" x14ac:dyDescent="0.25">
      <c r="A493" t="s">
        <v>540</v>
      </c>
      <c r="B493" t="s">
        <v>49</v>
      </c>
      <c r="C493" t="s">
        <v>20</v>
      </c>
      <c r="D493" t="s">
        <v>32</v>
      </c>
      <c r="E493">
        <v>90</v>
      </c>
      <c r="F493" t="str">
        <f>IF(MediCare_Data[[#This Row],[Patient_Age]]&lt;=18,"0-18",IF(MediCare_Data[[#This Row],[Patient_Age]]&lt;=35,"19-35",IF(MediCare_Data[[#This Row],[Patient_Age]]&lt;=60,"36-60","60+")))</f>
        <v>60+</v>
      </c>
      <c r="G493" t="s">
        <v>43</v>
      </c>
      <c r="H493" t="s">
        <v>47</v>
      </c>
      <c r="I493" s="2">
        <v>96</v>
      </c>
      <c r="J493" s="11">
        <v>4994</v>
      </c>
      <c r="K493" s="3">
        <v>10.13060125</v>
      </c>
      <c r="L493" s="3">
        <f t="shared" si="7"/>
        <v>0.1013060125</v>
      </c>
      <c r="M493">
        <v>66</v>
      </c>
      <c r="N493" s="6">
        <f>MediCare_Data[[#This Row],[Average_Wait_Time (mins)]]/1440</f>
        <v>4.583333333333333E-2</v>
      </c>
      <c r="O493" s="2">
        <v>3</v>
      </c>
      <c r="P493" s="10">
        <v>44512</v>
      </c>
      <c r="Q493" s="17" t="str">
        <f>IF(AND(MediCare_Data[[#This Row],[Patient_Gender]]="Male", MediCare_Data[[#This Row],[Treatment_Type]]="Maternity"), "Gender-Treatment Mismatch", "Fine")</f>
        <v>Fine</v>
      </c>
      <c r="R493" s="10">
        <f>MediCare_Data[[#This Row],[Revenue_Generated]]-MediCare_Data[[#This Row],[Average_Treatment_Cost]]</f>
        <v>39518</v>
      </c>
      <c r="S493" s="3">
        <f>(MediCare_Data[[#This Row],[Profit]]/MediCare_Data[[#This Row],[Revenue_Generated]])</f>
        <v>0.88780553558590947</v>
      </c>
    </row>
    <row r="494" spans="1:19" x14ac:dyDescent="0.25">
      <c r="A494" t="s">
        <v>541</v>
      </c>
      <c r="B494" t="s">
        <v>82</v>
      </c>
      <c r="C494" t="s">
        <v>20</v>
      </c>
      <c r="D494" t="s">
        <v>16</v>
      </c>
      <c r="E494">
        <v>37</v>
      </c>
      <c r="F494" t="str">
        <f>IF(MediCare_Data[[#This Row],[Patient_Age]]&lt;=18,"0-18",IF(MediCare_Data[[#This Row],[Patient_Age]]&lt;=35,"19-35",IF(MediCare_Data[[#This Row],[Patient_Age]]&lt;=60,"36-60","60+")))</f>
        <v>36-60</v>
      </c>
      <c r="G494" t="s">
        <v>22</v>
      </c>
      <c r="H494" t="s">
        <v>47</v>
      </c>
      <c r="I494" s="2">
        <v>98</v>
      </c>
      <c r="J494" s="11">
        <v>8556</v>
      </c>
      <c r="K494" s="3">
        <v>18.083492029999999</v>
      </c>
      <c r="L494" s="3">
        <f t="shared" si="7"/>
        <v>0.18083492029999998</v>
      </c>
      <c r="M494">
        <v>63</v>
      </c>
      <c r="N494" s="6">
        <f>MediCare_Data[[#This Row],[Average_Wait_Time (mins)]]/1440</f>
        <v>4.3749999999999997E-2</v>
      </c>
      <c r="O494" s="2">
        <v>2</v>
      </c>
      <c r="P494" s="10">
        <v>4809</v>
      </c>
      <c r="Q494" s="17" t="str">
        <f>IF(AND(MediCare_Data[[#This Row],[Patient_Gender]]="Male", MediCare_Data[[#This Row],[Treatment_Type]]="Maternity"), "Gender-Treatment Mismatch", "Fine")</f>
        <v>Fine</v>
      </c>
      <c r="R494" s="10">
        <f>MediCare_Data[[#This Row],[Revenue_Generated]]-MediCare_Data[[#This Row],[Average_Treatment_Cost]]</f>
        <v>-3747</v>
      </c>
      <c r="S494" s="3">
        <f>(MediCare_Data[[#This Row],[Profit]]/MediCare_Data[[#This Row],[Revenue_Generated]])</f>
        <v>-0.77916406737367438</v>
      </c>
    </row>
    <row r="495" spans="1:19" x14ac:dyDescent="0.25">
      <c r="A495" t="s">
        <v>542</v>
      </c>
      <c r="B495" t="s">
        <v>39</v>
      </c>
      <c r="C495" t="s">
        <v>15</v>
      </c>
      <c r="D495" t="s">
        <v>32</v>
      </c>
      <c r="E495">
        <v>38</v>
      </c>
      <c r="F495" t="str">
        <f>IF(MediCare_Data[[#This Row],[Patient_Age]]&lt;=18,"0-18",IF(MediCare_Data[[#This Row],[Patient_Age]]&lt;=35,"19-35",IF(MediCare_Data[[#This Row],[Patient_Age]]&lt;=60,"36-60","60+")))</f>
        <v>36-60</v>
      </c>
      <c r="G495" t="s">
        <v>26</v>
      </c>
      <c r="H495" t="s">
        <v>51</v>
      </c>
      <c r="I495" s="2">
        <v>79</v>
      </c>
      <c r="J495" s="11">
        <v>8011</v>
      </c>
      <c r="K495" s="3">
        <v>8.9619526549999993</v>
      </c>
      <c r="L495" s="3">
        <f t="shared" si="7"/>
        <v>8.9619526549999995E-2</v>
      </c>
      <c r="M495">
        <v>79</v>
      </c>
      <c r="N495" s="6">
        <f>MediCare_Data[[#This Row],[Average_Wait_Time (mins)]]/1440</f>
        <v>5.486111111111111E-2</v>
      </c>
      <c r="O495" s="2">
        <v>3</v>
      </c>
      <c r="P495" s="10">
        <v>23191</v>
      </c>
      <c r="Q495" s="17" t="str">
        <f>IF(AND(MediCare_Data[[#This Row],[Patient_Gender]]="Male", MediCare_Data[[#This Row],[Treatment_Type]]="Maternity"), "Gender-Treatment Mismatch", "Fine")</f>
        <v>Fine</v>
      </c>
      <c r="R495" s="10">
        <f>MediCare_Data[[#This Row],[Revenue_Generated]]-MediCare_Data[[#This Row],[Average_Treatment_Cost]]</f>
        <v>15180</v>
      </c>
      <c r="S495" s="3">
        <f>(MediCare_Data[[#This Row],[Profit]]/MediCare_Data[[#This Row],[Revenue_Generated]])</f>
        <v>0.65456427062222411</v>
      </c>
    </row>
    <row r="496" spans="1:19" x14ac:dyDescent="0.25">
      <c r="A496" t="s">
        <v>543</v>
      </c>
      <c r="B496" t="s">
        <v>45</v>
      </c>
      <c r="C496" t="s">
        <v>15</v>
      </c>
      <c r="D496" t="s">
        <v>16</v>
      </c>
      <c r="E496">
        <v>38</v>
      </c>
      <c r="F496" t="str">
        <f>IF(MediCare_Data[[#This Row],[Patient_Age]]&lt;=18,"0-18",IF(MediCare_Data[[#This Row],[Patient_Age]]&lt;=35,"19-35",IF(MediCare_Data[[#This Row],[Patient_Age]]&lt;=60,"36-60","60+")))</f>
        <v>36-60</v>
      </c>
      <c r="G496" t="s">
        <v>22</v>
      </c>
      <c r="H496" t="s">
        <v>37</v>
      </c>
      <c r="I496" s="2">
        <v>95</v>
      </c>
      <c r="J496" s="11">
        <v>9655</v>
      </c>
      <c r="K496" s="3">
        <v>16.306605090000001</v>
      </c>
      <c r="L496" s="3">
        <f t="shared" si="7"/>
        <v>0.16306605090000001</v>
      </c>
      <c r="M496">
        <v>110</v>
      </c>
      <c r="N496" s="6">
        <f>MediCare_Data[[#This Row],[Average_Wait_Time (mins)]]/1440</f>
        <v>7.6388888888888895E-2</v>
      </c>
      <c r="O496" s="2">
        <v>2</v>
      </c>
      <c r="P496" s="10">
        <v>22267</v>
      </c>
      <c r="Q496" s="17" t="str">
        <f>IF(AND(MediCare_Data[[#This Row],[Patient_Gender]]="Male", MediCare_Data[[#This Row],[Treatment_Type]]="Maternity"), "Gender-Treatment Mismatch", "Fine")</f>
        <v>Gender-Treatment Mismatch</v>
      </c>
      <c r="R496" s="10">
        <f>MediCare_Data[[#This Row],[Revenue_Generated]]-MediCare_Data[[#This Row],[Average_Treatment_Cost]]</f>
        <v>12612</v>
      </c>
      <c r="S496" s="3">
        <f>(MediCare_Data[[#This Row],[Profit]]/MediCare_Data[[#This Row],[Revenue_Generated]])</f>
        <v>0.56639870660618852</v>
      </c>
    </row>
    <row r="497" spans="1:19" x14ac:dyDescent="0.25">
      <c r="A497" t="s">
        <v>544</v>
      </c>
      <c r="B497" t="s">
        <v>35</v>
      </c>
      <c r="C497" t="s">
        <v>42</v>
      </c>
      <c r="D497" t="s">
        <v>16</v>
      </c>
      <c r="E497">
        <v>40</v>
      </c>
      <c r="F497" t="str">
        <f>IF(MediCare_Data[[#This Row],[Patient_Age]]&lt;=18,"0-18",IF(MediCare_Data[[#This Row],[Patient_Age]]&lt;=35,"19-35",IF(MediCare_Data[[#This Row],[Patient_Age]]&lt;=60,"36-60","60+")))</f>
        <v>36-60</v>
      </c>
      <c r="G497" t="s">
        <v>43</v>
      </c>
      <c r="H497" t="s">
        <v>18</v>
      </c>
      <c r="I497" s="2">
        <v>54</v>
      </c>
      <c r="J497" s="11">
        <v>2328</v>
      </c>
      <c r="K497" s="3">
        <v>14.27864973</v>
      </c>
      <c r="L497" s="3">
        <f t="shared" si="7"/>
        <v>0.14278649730000001</v>
      </c>
      <c r="M497">
        <v>66</v>
      </c>
      <c r="N497" s="6">
        <f>MediCare_Data[[#This Row],[Average_Wait_Time (mins)]]/1440</f>
        <v>4.583333333333333E-2</v>
      </c>
      <c r="O497" s="2">
        <v>2</v>
      </c>
      <c r="P497" s="10">
        <v>8206</v>
      </c>
      <c r="Q497" s="17" t="str">
        <f>IF(AND(MediCare_Data[[#This Row],[Patient_Gender]]="Male", MediCare_Data[[#This Row],[Treatment_Type]]="Maternity"), "Gender-Treatment Mismatch", "Fine")</f>
        <v>Fine</v>
      </c>
      <c r="R497" s="10">
        <f>MediCare_Data[[#This Row],[Revenue_Generated]]-MediCare_Data[[#This Row],[Average_Treatment_Cost]]</f>
        <v>5878</v>
      </c>
      <c r="S497" s="3">
        <f>(MediCare_Data[[#This Row],[Profit]]/MediCare_Data[[#This Row],[Revenue_Generated]])</f>
        <v>0.71630514257860101</v>
      </c>
    </row>
    <row r="498" spans="1:19" x14ac:dyDescent="0.25">
      <c r="A498" t="s">
        <v>545</v>
      </c>
      <c r="B498" t="s">
        <v>45</v>
      </c>
      <c r="C498" t="s">
        <v>36</v>
      </c>
      <c r="D498" t="s">
        <v>16</v>
      </c>
      <c r="E498">
        <v>45</v>
      </c>
      <c r="F498" t="str">
        <f>IF(MediCare_Data[[#This Row],[Patient_Age]]&lt;=18,"0-18",IF(MediCare_Data[[#This Row],[Patient_Age]]&lt;=35,"19-35",IF(MediCare_Data[[#This Row],[Patient_Age]]&lt;=60,"36-60","60+")))</f>
        <v>36-60</v>
      </c>
      <c r="G498" t="s">
        <v>17</v>
      </c>
      <c r="H498" t="s">
        <v>47</v>
      </c>
      <c r="I498" s="2">
        <v>61</v>
      </c>
      <c r="J498" s="11">
        <v>9630</v>
      </c>
      <c r="K498" s="3">
        <v>24.440106589999999</v>
      </c>
      <c r="L498" s="3">
        <f t="shared" si="7"/>
        <v>0.24440106589999999</v>
      </c>
      <c r="M498">
        <v>147</v>
      </c>
      <c r="N498" s="6">
        <f>MediCare_Data[[#This Row],[Average_Wait_Time (mins)]]/1440</f>
        <v>0.10208333333333333</v>
      </c>
      <c r="O498" s="2">
        <v>3</v>
      </c>
      <c r="P498" s="10">
        <v>22057</v>
      </c>
      <c r="Q498" s="17" t="str">
        <f>IF(AND(MediCare_Data[[#This Row],[Patient_Gender]]="Male", MediCare_Data[[#This Row],[Treatment_Type]]="Maternity"), "Gender-Treatment Mismatch", "Fine")</f>
        <v>Fine</v>
      </c>
      <c r="R498" s="10">
        <f>MediCare_Data[[#This Row],[Revenue_Generated]]-MediCare_Data[[#This Row],[Average_Treatment_Cost]]</f>
        <v>12427</v>
      </c>
      <c r="S498" s="3">
        <f>(MediCare_Data[[#This Row],[Profit]]/MediCare_Data[[#This Row],[Revenue_Generated]])</f>
        <v>0.56340390805639928</v>
      </c>
    </row>
    <row r="499" spans="1:19" x14ac:dyDescent="0.25">
      <c r="A499" t="s">
        <v>546</v>
      </c>
      <c r="B499" t="s">
        <v>53</v>
      </c>
      <c r="C499" t="s">
        <v>46</v>
      </c>
      <c r="D499" t="s">
        <v>21</v>
      </c>
      <c r="E499">
        <v>35</v>
      </c>
      <c r="F499" t="str">
        <f>IF(MediCare_Data[[#This Row],[Patient_Age]]&lt;=18,"0-18",IF(MediCare_Data[[#This Row],[Patient_Age]]&lt;=35,"19-35",IF(MediCare_Data[[#This Row],[Patient_Age]]&lt;=60,"36-60","60+")))</f>
        <v>19-35</v>
      </c>
      <c r="G499" t="s">
        <v>43</v>
      </c>
      <c r="H499" t="s">
        <v>37</v>
      </c>
      <c r="I499" s="2">
        <v>65</v>
      </c>
      <c r="J499" s="11">
        <v>5305</v>
      </c>
      <c r="K499" s="3">
        <v>17.170545449999999</v>
      </c>
      <c r="L499" s="3">
        <f t="shared" si="7"/>
        <v>0.17170545449999999</v>
      </c>
      <c r="M499">
        <v>177</v>
      </c>
      <c r="N499" s="6">
        <f>MediCare_Data[[#This Row],[Average_Wait_Time (mins)]]/1440</f>
        <v>0.12291666666666666</v>
      </c>
      <c r="O499" s="2">
        <v>4</v>
      </c>
      <c r="P499" s="10">
        <v>29992</v>
      </c>
      <c r="Q499" s="17" t="str">
        <f>IF(AND(MediCare_Data[[#This Row],[Patient_Gender]]="Male", MediCare_Data[[#This Row],[Treatment_Type]]="Maternity"), "Gender-Treatment Mismatch", "Fine")</f>
        <v>Fine</v>
      </c>
      <c r="R499" s="10">
        <f>MediCare_Data[[#This Row],[Revenue_Generated]]-MediCare_Data[[#This Row],[Average_Treatment_Cost]]</f>
        <v>24687</v>
      </c>
      <c r="S499" s="3">
        <f>(MediCare_Data[[#This Row],[Profit]]/MediCare_Data[[#This Row],[Revenue_Generated]])</f>
        <v>0.82311949853294208</v>
      </c>
    </row>
    <row r="500" spans="1:19" x14ac:dyDescent="0.25">
      <c r="A500" t="s">
        <v>547</v>
      </c>
      <c r="B500" t="s">
        <v>45</v>
      </c>
      <c r="C500" t="s">
        <v>46</v>
      </c>
      <c r="D500" t="s">
        <v>16</v>
      </c>
      <c r="E500">
        <v>5</v>
      </c>
      <c r="F500" t="str">
        <f>IF(MediCare_Data[[#This Row],[Patient_Age]]&lt;=18,"0-18",IF(MediCare_Data[[#This Row],[Patient_Age]]&lt;=35,"19-35",IF(MediCare_Data[[#This Row],[Patient_Age]]&lt;=60,"36-60","60+")))</f>
        <v>0-18</v>
      </c>
      <c r="G500" t="s">
        <v>17</v>
      </c>
      <c r="H500" t="s">
        <v>51</v>
      </c>
      <c r="I500" s="2">
        <v>75</v>
      </c>
      <c r="J500" s="11">
        <v>1306</v>
      </c>
      <c r="K500" s="3">
        <v>11.99012744</v>
      </c>
      <c r="L500" s="3">
        <f t="shared" si="7"/>
        <v>0.11990127440000001</v>
      </c>
      <c r="M500">
        <v>144</v>
      </c>
      <c r="N500" s="6">
        <f>MediCare_Data[[#This Row],[Average_Wait_Time (mins)]]/1440</f>
        <v>0.1</v>
      </c>
      <c r="O500" s="2">
        <v>2</v>
      </c>
      <c r="P500" s="10">
        <v>47514</v>
      </c>
      <c r="Q500" s="17" t="str">
        <f>IF(AND(MediCare_Data[[#This Row],[Patient_Gender]]="Male", MediCare_Data[[#This Row],[Treatment_Type]]="Maternity"), "Gender-Treatment Mismatch", "Fine")</f>
        <v>Fine</v>
      </c>
      <c r="R500" s="10">
        <f>MediCare_Data[[#This Row],[Revenue_Generated]]-MediCare_Data[[#This Row],[Average_Treatment_Cost]]</f>
        <v>46208</v>
      </c>
      <c r="S500" s="3">
        <f>(MediCare_Data[[#This Row],[Profit]]/MediCare_Data[[#This Row],[Revenue_Generated]])</f>
        <v>0.97251336448204739</v>
      </c>
    </row>
    <row r="501" spans="1:19" x14ac:dyDescent="0.25">
      <c r="A501" t="s">
        <v>548</v>
      </c>
      <c r="B501" t="s">
        <v>58</v>
      </c>
      <c r="C501" t="s">
        <v>29</v>
      </c>
      <c r="D501" t="s">
        <v>32</v>
      </c>
      <c r="E501">
        <v>34</v>
      </c>
      <c r="F501" t="str">
        <f>IF(MediCare_Data[[#This Row],[Patient_Age]]&lt;=18,"0-18",IF(MediCare_Data[[#This Row],[Patient_Age]]&lt;=35,"19-35",IF(MediCare_Data[[#This Row],[Patient_Age]]&lt;=60,"36-60","60+")))</f>
        <v>19-35</v>
      </c>
      <c r="G501" t="s">
        <v>26</v>
      </c>
      <c r="H501" t="s">
        <v>33</v>
      </c>
      <c r="I501" s="2">
        <v>75</v>
      </c>
      <c r="J501" s="11">
        <v>7986</v>
      </c>
      <c r="K501" s="3">
        <v>7.2819156979999997</v>
      </c>
      <c r="L501" s="3">
        <f t="shared" si="7"/>
        <v>7.2819156979999994E-2</v>
      </c>
      <c r="M501">
        <v>112</v>
      </c>
      <c r="N501" s="6">
        <f>MediCare_Data[[#This Row],[Average_Wait_Time (mins)]]/1440</f>
        <v>7.7777777777777779E-2</v>
      </c>
      <c r="O501" s="2">
        <v>2</v>
      </c>
      <c r="P501" s="10">
        <v>16995</v>
      </c>
      <c r="Q501" s="17" t="str">
        <f>IF(AND(MediCare_Data[[#This Row],[Patient_Gender]]="Male", MediCare_Data[[#This Row],[Treatment_Type]]="Maternity"), "Gender-Treatment Mismatch", "Fine")</f>
        <v>Fine</v>
      </c>
      <c r="R501" s="10">
        <f>MediCare_Data[[#This Row],[Revenue_Generated]]-MediCare_Data[[#This Row],[Average_Treatment_Cost]]</f>
        <v>9009</v>
      </c>
      <c r="S501" s="3">
        <f>(MediCare_Data[[#This Row],[Profit]]/MediCare_Data[[#This Row],[Revenue_Generated]])</f>
        <v>0.53009708737864081</v>
      </c>
    </row>
    <row r="502" spans="1:19" x14ac:dyDescent="0.25">
      <c r="A502" t="s">
        <v>549</v>
      </c>
      <c r="B502" t="s">
        <v>25</v>
      </c>
      <c r="C502" t="s">
        <v>36</v>
      </c>
      <c r="D502" t="s">
        <v>21</v>
      </c>
      <c r="E502">
        <v>18</v>
      </c>
      <c r="F502" t="str">
        <f>IF(MediCare_Data[[#This Row],[Patient_Age]]&lt;=18,"0-18",IF(MediCare_Data[[#This Row],[Patient_Age]]&lt;=35,"19-35",IF(MediCare_Data[[#This Row],[Patient_Age]]&lt;=60,"36-60","60+")))</f>
        <v>0-18</v>
      </c>
      <c r="G502" t="s">
        <v>22</v>
      </c>
      <c r="H502" t="s">
        <v>18</v>
      </c>
      <c r="I502" s="2">
        <v>97</v>
      </c>
      <c r="J502" s="11">
        <v>8702</v>
      </c>
      <c r="K502" s="3">
        <v>8.0249365749999999</v>
      </c>
      <c r="L502" s="3">
        <f t="shared" si="7"/>
        <v>8.0249365749999996E-2</v>
      </c>
      <c r="M502">
        <v>175</v>
      </c>
      <c r="N502" s="6">
        <f>MediCare_Data[[#This Row],[Average_Wait_Time (mins)]]/1440</f>
        <v>0.12152777777777778</v>
      </c>
      <c r="O502" s="2">
        <v>3</v>
      </c>
      <c r="P502" s="10">
        <v>49803</v>
      </c>
      <c r="Q502" s="17" t="str">
        <f>IF(AND(MediCare_Data[[#This Row],[Patient_Gender]]="Male", MediCare_Data[[#This Row],[Treatment_Type]]="Maternity"), "Gender-Treatment Mismatch", "Fine")</f>
        <v>Fine</v>
      </c>
      <c r="R502" s="10">
        <f>MediCare_Data[[#This Row],[Revenue_Generated]]-MediCare_Data[[#This Row],[Average_Treatment_Cost]]</f>
        <v>41101</v>
      </c>
      <c r="S502" s="3">
        <f>(MediCare_Data[[#This Row],[Profit]]/MediCare_Data[[#This Row],[Revenue_Generated]])</f>
        <v>0.8252715699857438</v>
      </c>
    </row>
    <row r="503" spans="1:19" x14ac:dyDescent="0.25">
      <c r="A503" t="s">
        <v>550</v>
      </c>
      <c r="B503" t="s">
        <v>41</v>
      </c>
      <c r="C503" t="s">
        <v>54</v>
      </c>
      <c r="D503" t="s">
        <v>32</v>
      </c>
      <c r="E503">
        <v>39</v>
      </c>
      <c r="F503" t="str">
        <f>IF(MediCare_Data[[#This Row],[Patient_Age]]&lt;=18,"0-18",IF(MediCare_Data[[#This Row],[Patient_Age]]&lt;=35,"19-35",IF(MediCare_Data[[#This Row],[Patient_Age]]&lt;=60,"36-60","60+")))</f>
        <v>36-60</v>
      </c>
      <c r="G503" t="s">
        <v>17</v>
      </c>
      <c r="H503" t="s">
        <v>51</v>
      </c>
      <c r="I503" s="2">
        <v>70</v>
      </c>
      <c r="J503" s="11">
        <v>2368</v>
      </c>
      <c r="K503" s="3">
        <v>9.5063385989999993</v>
      </c>
      <c r="L503" s="3">
        <f t="shared" si="7"/>
        <v>9.5063385989999999E-2</v>
      </c>
      <c r="M503">
        <v>94</v>
      </c>
      <c r="N503" s="6">
        <f>MediCare_Data[[#This Row],[Average_Wait_Time (mins)]]/1440</f>
        <v>6.5277777777777782E-2</v>
      </c>
      <c r="O503" s="2">
        <v>4</v>
      </c>
      <c r="P503" s="10">
        <v>45439</v>
      </c>
      <c r="Q503" s="17" t="str">
        <f>IF(AND(MediCare_Data[[#This Row],[Patient_Gender]]="Male", MediCare_Data[[#This Row],[Treatment_Type]]="Maternity"), "Gender-Treatment Mismatch", "Fine")</f>
        <v>Fine</v>
      </c>
      <c r="R503" s="10">
        <f>MediCare_Data[[#This Row],[Revenue_Generated]]-MediCare_Data[[#This Row],[Average_Treatment_Cost]]</f>
        <v>43071</v>
      </c>
      <c r="S503" s="3">
        <f>(MediCare_Data[[#This Row],[Profit]]/MediCare_Data[[#This Row],[Revenue_Generated]])</f>
        <v>0.94788617707255884</v>
      </c>
    </row>
    <row r="504" spans="1:19" x14ac:dyDescent="0.25">
      <c r="A504" t="s">
        <v>551</v>
      </c>
      <c r="B504" t="s">
        <v>56</v>
      </c>
      <c r="C504" t="s">
        <v>42</v>
      </c>
      <c r="D504" t="s">
        <v>32</v>
      </c>
      <c r="E504">
        <v>13</v>
      </c>
      <c r="F504" t="str">
        <f>IF(MediCare_Data[[#This Row],[Patient_Age]]&lt;=18,"0-18",IF(MediCare_Data[[#This Row],[Patient_Age]]&lt;=35,"19-35",IF(MediCare_Data[[#This Row],[Patient_Age]]&lt;=60,"36-60","60+")))</f>
        <v>0-18</v>
      </c>
      <c r="G504" t="s">
        <v>22</v>
      </c>
      <c r="H504" t="s">
        <v>37</v>
      </c>
      <c r="I504" s="2">
        <v>88</v>
      </c>
      <c r="J504" s="11">
        <v>8378</v>
      </c>
      <c r="K504" s="3">
        <v>10.019333230000001</v>
      </c>
      <c r="L504" s="3">
        <f t="shared" si="7"/>
        <v>0.10019333230000001</v>
      </c>
      <c r="M504">
        <v>70</v>
      </c>
      <c r="N504" s="6">
        <f>MediCare_Data[[#This Row],[Average_Wait_Time (mins)]]/1440</f>
        <v>4.8611111111111112E-2</v>
      </c>
      <c r="O504" s="2">
        <v>2</v>
      </c>
      <c r="P504" s="10">
        <v>14210</v>
      </c>
      <c r="Q504" s="17" t="str">
        <f>IF(AND(MediCare_Data[[#This Row],[Patient_Gender]]="Male", MediCare_Data[[#This Row],[Treatment_Type]]="Maternity"), "Gender-Treatment Mismatch", "Fine")</f>
        <v>Fine</v>
      </c>
      <c r="R504" s="10">
        <f>MediCare_Data[[#This Row],[Revenue_Generated]]-MediCare_Data[[#This Row],[Average_Treatment_Cost]]</f>
        <v>5832</v>
      </c>
      <c r="S504" s="3">
        <f>(MediCare_Data[[#This Row],[Profit]]/MediCare_Data[[#This Row],[Revenue_Generated]])</f>
        <v>0.41041520056298381</v>
      </c>
    </row>
    <row r="505" spans="1:19" x14ac:dyDescent="0.25">
      <c r="A505" t="s">
        <v>552</v>
      </c>
      <c r="B505" t="s">
        <v>56</v>
      </c>
      <c r="C505" t="s">
        <v>15</v>
      </c>
      <c r="D505" t="s">
        <v>32</v>
      </c>
      <c r="E505">
        <v>55</v>
      </c>
      <c r="F505" t="str">
        <f>IF(MediCare_Data[[#This Row],[Patient_Age]]&lt;=18,"0-18",IF(MediCare_Data[[#This Row],[Patient_Age]]&lt;=35,"19-35",IF(MediCare_Data[[#This Row],[Patient_Age]]&lt;=60,"36-60","60+")))</f>
        <v>36-60</v>
      </c>
      <c r="G505" t="s">
        <v>26</v>
      </c>
      <c r="H505" t="s">
        <v>47</v>
      </c>
      <c r="I505" s="2">
        <v>85</v>
      </c>
      <c r="J505" s="11">
        <v>6190</v>
      </c>
      <c r="K505" s="3">
        <v>22.012321159999999</v>
      </c>
      <c r="L505" s="3">
        <f t="shared" si="7"/>
        <v>0.22012321159999998</v>
      </c>
      <c r="M505">
        <v>12</v>
      </c>
      <c r="N505" s="6">
        <f>MediCare_Data[[#This Row],[Average_Wait_Time (mins)]]/1440</f>
        <v>8.3333333333333332E-3</v>
      </c>
      <c r="O505" s="2">
        <v>2</v>
      </c>
      <c r="P505" s="10">
        <v>18793</v>
      </c>
      <c r="Q505" s="17" t="str">
        <f>IF(AND(MediCare_Data[[#This Row],[Patient_Gender]]="Male", MediCare_Data[[#This Row],[Treatment_Type]]="Maternity"), "Gender-Treatment Mismatch", "Fine")</f>
        <v>Fine</v>
      </c>
      <c r="R505" s="10">
        <f>MediCare_Data[[#This Row],[Revenue_Generated]]-MediCare_Data[[#This Row],[Average_Treatment_Cost]]</f>
        <v>12603</v>
      </c>
      <c r="S505" s="3">
        <f>(MediCare_Data[[#This Row],[Profit]]/MediCare_Data[[#This Row],[Revenue_Generated]])</f>
        <v>0.67062204012132176</v>
      </c>
    </row>
    <row r="506" spans="1:19" x14ac:dyDescent="0.25">
      <c r="A506" t="s">
        <v>553</v>
      </c>
      <c r="B506" t="s">
        <v>41</v>
      </c>
      <c r="C506" t="s">
        <v>36</v>
      </c>
      <c r="D506" t="s">
        <v>16</v>
      </c>
      <c r="E506">
        <v>54</v>
      </c>
      <c r="F506" t="str">
        <f>IF(MediCare_Data[[#This Row],[Patient_Age]]&lt;=18,"0-18",IF(MediCare_Data[[#This Row],[Patient_Age]]&lt;=35,"19-35",IF(MediCare_Data[[#This Row],[Patient_Age]]&lt;=60,"36-60","60+")))</f>
        <v>36-60</v>
      </c>
      <c r="G506" t="s">
        <v>22</v>
      </c>
      <c r="H506" t="s">
        <v>47</v>
      </c>
      <c r="I506" s="2">
        <v>82</v>
      </c>
      <c r="J506" s="11">
        <v>8327</v>
      </c>
      <c r="K506" s="3">
        <v>16.224455769999999</v>
      </c>
      <c r="L506" s="3">
        <f t="shared" si="7"/>
        <v>0.16224455769999999</v>
      </c>
      <c r="M506">
        <v>137</v>
      </c>
      <c r="N506" s="6">
        <f>MediCare_Data[[#This Row],[Average_Wait_Time (mins)]]/1440</f>
        <v>9.5138888888888884E-2</v>
      </c>
      <c r="O506" s="2">
        <v>4</v>
      </c>
      <c r="P506" s="10">
        <v>27270</v>
      </c>
      <c r="Q506" s="17" t="str">
        <f>IF(AND(MediCare_Data[[#This Row],[Patient_Gender]]="Male", MediCare_Data[[#This Row],[Treatment_Type]]="Maternity"), "Gender-Treatment Mismatch", "Fine")</f>
        <v>Fine</v>
      </c>
      <c r="R506" s="10">
        <f>MediCare_Data[[#This Row],[Revenue_Generated]]-MediCare_Data[[#This Row],[Average_Treatment_Cost]]</f>
        <v>18943</v>
      </c>
      <c r="S506" s="3">
        <f>(MediCare_Data[[#This Row],[Profit]]/MediCare_Data[[#This Row],[Revenue_Generated]])</f>
        <v>0.69464613127979469</v>
      </c>
    </row>
    <row r="507" spans="1:19" x14ac:dyDescent="0.25">
      <c r="A507" t="s">
        <v>554</v>
      </c>
      <c r="B507" t="s">
        <v>49</v>
      </c>
      <c r="C507" t="s">
        <v>15</v>
      </c>
      <c r="D507" t="s">
        <v>32</v>
      </c>
      <c r="E507">
        <v>48</v>
      </c>
      <c r="F507" t="str">
        <f>IF(MediCare_Data[[#This Row],[Patient_Age]]&lt;=18,"0-18",IF(MediCare_Data[[#This Row],[Patient_Age]]&lt;=35,"19-35",IF(MediCare_Data[[#This Row],[Patient_Age]]&lt;=60,"36-60","60+")))</f>
        <v>36-60</v>
      </c>
      <c r="G507" t="s">
        <v>17</v>
      </c>
      <c r="H507" t="s">
        <v>33</v>
      </c>
      <c r="I507" s="2">
        <v>79</v>
      </c>
      <c r="J507" s="11">
        <v>5929</v>
      </c>
      <c r="K507" s="3">
        <v>15.467818230000001</v>
      </c>
      <c r="L507" s="3">
        <f t="shared" si="7"/>
        <v>0.15467818229999999</v>
      </c>
      <c r="M507">
        <v>95</v>
      </c>
      <c r="N507" s="6">
        <f>MediCare_Data[[#This Row],[Average_Wait_Time (mins)]]/1440</f>
        <v>6.5972222222222224E-2</v>
      </c>
      <c r="O507" s="2">
        <v>2</v>
      </c>
      <c r="P507" s="10">
        <v>6197</v>
      </c>
      <c r="Q507" s="17" t="str">
        <f>IF(AND(MediCare_Data[[#This Row],[Patient_Gender]]="Male", MediCare_Data[[#This Row],[Treatment_Type]]="Maternity"), "Gender-Treatment Mismatch", "Fine")</f>
        <v>Fine</v>
      </c>
      <c r="R507" s="10">
        <f>MediCare_Data[[#This Row],[Revenue_Generated]]-MediCare_Data[[#This Row],[Average_Treatment_Cost]]</f>
        <v>268</v>
      </c>
      <c r="S507" s="3">
        <f>(MediCare_Data[[#This Row],[Profit]]/MediCare_Data[[#This Row],[Revenue_Generated]])</f>
        <v>4.3246732289817652E-2</v>
      </c>
    </row>
    <row r="508" spans="1:19" x14ac:dyDescent="0.25">
      <c r="A508" t="s">
        <v>555</v>
      </c>
      <c r="B508" t="s">
        <v>35</v>
      </c>
      <c r="C508" t="s">
        <v>46</v>
      </c>
      <c r="D508" t="s">
        <v>32</v>
      </c>
      <c r="E508">
        <v>17</v>
      </c>
      <c r="F508" t="str">
        <f>IF(MediCare_Data[[#This Row],[Patient_Age]]&lt;=18,"0-18",IF(MediCare_Data[[#This Row],[Patient_Age]]&lt;=35,"19-35",IF(MediCare_Data[[#This Row],[Patient_Age]]&lt;=60,"36-60","60+")))</f>
        <v>0-18</v>
      </c>
      <c r="G508" t="s">
        <v>26</v>
      </c>
      <c r="H508" t="s">
        <v>23</v>
      </c>
      <c r="I508" s="2">
        <v>86</v>
      </c>
      <c r="J508" s="11">
        <v>9576</v>
      </c>
      <c r="K508" s="3">
        <v>7.295377437</v>
      </c>
      <c r="L508" s="3">
        <f t="shared" si="7"/>
        <v>7.2953774370000002E-2</v>
      </c>
      <c r="M508">
        <v>56</v>
      </c>
      <c r="N508" s="6">
        <f>MediCare_Data[[#This Row],[Average_Wait_Time (mins)]]/1440</f>
        <v>3.888888888888889E-2</v>
      </c>
      <c r="O508" s="2">
        <v>4</v>
      </c>
      <c r="P508" s="10">
        <v>49321</v>
      </c>
      <c r="Q508" s="17" t="str">
        <f>IF(AND(MediCare_Data[[#This Row],[Patient_Gender]]="Male", MediCare_Data[[#This Row],[Treatment_Type]]="Maternity"), "Gender-Treatment Mismatch", "Fine")</f>
        <v>Fine</v>
      </c>
      <c r="R508" s="10">
        <f>MediCare_Data[[#This Row],[Revenue_Generated]]-MediCare_Data[[#This Row],[Average_Treatment_Cost]]</f>
        <v>39745</v>
      </c>
      <c r="S508" s="3">
        <f>(MediCare_Data[[#This Row],[Profit]]/MediCare_Data[[#This Row],[Revenue_Generated]])</f>
        <v>0.80584335273007446</v>
      </c>
    </row>
    <row r="509" spans="1:19" x14ac:dyDescent="0.25">
      <c r="A509" t="s">
        <v>556</v>
      </c>
      <c r="B509" t="s">
        <v>28</v>
      </c>
      <c r="C509" t="s">
        <v>42</v>
      </c>
      <c r="D509" t="s">
        <v>32</v>
      </c>
      <c r="E509">
        <v>8</v>
      </c>
      <c r="F509" t="str">
        <f>IF(MediCare_Data[[#This Row],[Patient_Age]]&lt;=18,"0-18",IF(MediCare_Data[[#This Row],[Patient_Age]]&lt;=35,"19-35",IF(MediCare_Data[[#This Row],[Patient_Age]]&lt;=60,"36-60","60+")))</f>
        <v>0-18</v>
      </c>
      <c r="G509" t="s">
        <v>26</v>
      </c>
      <c r="H509" t="s">
        <v>51</v>
      </c>
      <c r="I509" s="2">
        <v>72</v>
      </c>
      <c r="J509" s="11">
        <v>4064</v>
      </c>
      <c r="K509" s="3">
        <v>22.202793870000001</v>
      </c>
      <c r="L509" s="3">
        <f t="shared" si="7"/>
        <v>0.22202793870000001</v>
      </c>
      <c r="M509">
        <v>85</v>
      </c>
      <c r="N509" s="6">
        <f>MediCare_Data[[#This Row],[Average_Wait_Time (mins)]]/1440</f>
        <v>5.9027777777777776E-2</v>
      </c>
      <c r="O509" s="2">
        <v>4</v>
      </c>
      <c r="P509" s="10">
        <v>8452</v>
      </c>
      <c r="Q509" s="17" t="str">
        <f>IF(AND(MediCare_Data[[#This Row],[Patient_Gender]]="Male", MediCare_Data[[#This Row],[Treatment_Type]]="Maternity"), "Gender-Treatment Mismatch", "Fine")</f>
        <v>Fine</v>
      </c>
      <c r="R509" s="10">
        <f>MediCare_Data[[#This Row],[Revenue_Generated]]-MediCare_Data[[#This Row],[Average_Treatment_Cost]]</f>
        <v>4388</v>
      </c>
      <c r="S509" s="3">
        <f>(MediCare_Data[[#This Row],[Profit]]/MediCare_Data[[#This Row],[Revenue_Generated]])</f>
        <v>0.51916706105063892</v>
      </c>
    </row>
    <row r="510" spans="1:19" x14ac:dyDescent="0.25">
      <c r="A510" t="s">
        <v>557</v>
      </c>
      <c r="B510" t="s">
        <v>41</v>
      </c>
      <c r="C510" t="s">
        <v>46</v>
      </c>
      <c r="D510" t="s">
        <v>21</v>
      </c>
      <c r="E510">
        <v>38</v>
      </c>
      <c r="F510" t="str">
        <f>IF(MediCare_Data[[#This Row],[Patient_Age]]&lt;=18,"0-18",IF(MediCare_Data[[#This Row],[Patient_Age]]&lt;=35,"19-35",IF(MediCare_Data[[#This Row],[Patient_Age]]&lt;=60,"36-60","60+")))</f>
        <v>36-60</v>
      </c>
      <c r="G510" t="s">
        <v>17</v>
      </c>
      <c r="H510" t="s">
        <v>23</v>
      </c>
      <c r="I510" s="2">
        <v>59</v>
      </c>
      <c r="J510" s="11">
        <v>1889</v>
      </c>
      <c r="K510" s="3">
        <v>19.45628606</v>
      </c>
      <c r="L510" s="3">
        <f t="shared" si="7"/>
        <v>0.1945628606</v>
      </c>
      <c r="M510">
        <v>47</v>
      </c>
      <c r="N510" s="6">
        <f>MediCare_Data[[#This Row],[Average_Wait_Time (mins)]]/1440</f>
        <v>3.2638888888888891E-2</v>
      </c>
      <c r="O510" s="2">
        <v>3</v>
      </c>
      <c r="P510" s="10">
        <v>42486</v>
      </c>
      <c r="Q510" s="17" t="str">
        <f>IF(AND(MediCare_Data[[#This Row],[Patient_Gender]]="Male", MediCare_Data[[#This Row],[Treatment_Type]]="Maternity"), "Gender-Treatment Mismatch", "Fine")</f>
        <v>Fine</v>
      </c>
      <c r="R510" s="10">
        <f>MediCare_Data[[#This Row],[Revenue_Generated]]-MediCare_Data[[#This Row],[Average_Treatment_Cost]]</f>
        <v>40597</v>
      </c>
      <c r="S510" s="3">
        <f>(MediCare_Data[[#This Row],[Profit]]/MediCare_Data[[#This Row],[Revenue_Generated]])</f>
        <v>0.95553829496775411</v>
      </c>
    </row>
    <row r="511" spans="1:19" x14ac:dyDescent="0.25">
      <c r="A511" t="s">
        <v>558</v>
      </c>
      <c r="B511" t="s">
        <v>49</v>
      </c>
      <c r="C511" t="s">
        <v>31</v>
      </c>
      <c r="D511" t="s">
        <v>16</v>
      </c>
      <c r="E511">
        <v>66</v>
      </c>
      <c r="F511" t="str">
        <f>IF(MediCare_Data[[#This Row],[Patient_Age]]&lt;=18,"0-18",IF(MediCare_Data[[#This Row],[Patient_Age]]&lt;=35,"19-35",IF(MediCare_Data[[#This Row],[Patient_Age]]&lt;=60,"36-60","60+")))</f>
        <v>60+</v>
      </c>
      <c r="G511" t="s">
        <v>22</v>
      </c>
      <c r="H511" t="s">
        <v>51</v>
      </c>
      <c r="I511" s="2">
        <v>54</v>
      </c>
      <c r="J511" s="11">
        <v>7774</v>
      </c>
      <c r="K511" s="3">
        <v>6.3533672379999997</v>
      </c>
      <c r="L511" s="3">
        <f t="shared" si="7"/>
        <v>6.3533672380000003E-2</v>
      </c>
      <c r="M511">
        <v>173</v>
      </c>
      <c r="N511" s="6">
        <f>MediCare_Data[[#This Row],[Average_Wait_Time (mins)]]/1440</f>
        <v>0.12013888888888889</v>
      </c>
      <c r="O511" s="2">
        <v>1</v>
      </c>
      <c r="P511" s="10">
        <v>15859</v>
      </c>
      <c r="Q511" s="17" t="str">
        <f>IF(AND(MediCare_Data[[#This Row],[Patient_Gender]]="Male", MediCare_Data[[#This Row],[Treatment_Type]]="Maternity"), "Gender-Treatment Mismatch", "Fine")</f>
        <v>Fine</v>
      </c>
      <c r="R511" s="10">
        <f>MediCare_Data[[#This Row],[Revenue_Generated]]-MediCare_Data[[#This Row],[Average_Treatment_Cost]]</f>
        <v>8085</v>
      </c>
      <c r="S511" s="3">
        <f>(MediCare_Data[[#This Row],[Profit]]/MediCare_Data[[#This Row],[Revenue_Generated]])</f>
        <v>0.50980515795447379</v>
      </c>
    </row>
    <row r="512" spans="1:19" x14ac:dyDescent="0.25">
      <c r="A512" t="s">
        <v>559</v>
      </c>
      <c r="B512" t="s">
        <v>49</v>
      </c>
      <c r="C512" t="s">
        <v>29</v>
      </c>
      <c r="D512" t="s">
        <v>16</v>
      </c>
      <c r="E512">
        <v>64</v>
      </c>
      <c r="F512" t="str">
        <f>IF(MediCare_Data[[#This Row],[Patient_Age]]&lt;=18,"0-18",IF(MediCare_Data[[#This Row],[Patient_Age]]&lt;=35,"19-35",IF(MediCare_Data[[#This Row],[Patient_Age]]&lt;=60,"36-60","60+")))</f>
        <v>60+</v>
      </c>
      <c r="G512" t="s">
        <v>43</v>
      </c>
      <c r="H512" t="s">
        <v>47</v>
      </c>
      <c r="I512" s="2">
        <v>85</v>
      </c>
      <c r="J512" s="11">
        <v>1324</v>
      </c>
      <c r="K512" s="3">
        <v>19.156701940000001</v>
      </c>
      <c r="L512" s="3">
        <f t="shared" si="7"/>
        <v>0.19156701940000001</v>
      </c>
      <c r="M512">
        <v>178</v>
      </c>
      <c r="N512" s="6">
        <f>MediCare_Data[[#This Row],[Average_Wait_Time (mins)]]/1440</f>
        <v>0.12361111111111112</v>
      </c>
      <c r="O512" s="2">
        <v>4</v>
      </c>
      <c r="P512" s="10">
        <v>28236</v>
      </c>
      <c r="Q512" s="17" t="str">
        <f>IF(AND(MediCare_Data[[#This Row],[Patient_Gender]]="Male", MediCare_Data[[#This Row],[Treatment_Type]]="Maternity"), "Gender-Treatment Mismatch", "Fine")</f>
        <v>Fine</v>
      </c>
      <c r="R512" s="10">
        <f>MediCare_Data[[#This Row],[Revenue_Generated]]-MediCare_Data[[#This Row],[Average_Treatment_Cost]]</f>
        <v>26912</v>
      </c>
      <c r="S512" s="3">
        <f>(MediCare_Data[[#This Row],[Profit]]/MediCare_Data[[#This Row],[Revenue_Generated]])</f>
        <v>0.95310950559569341</v>
      </c>
    </row>
    <row r="513" spans="1:19" x14ac:dyDescent="0.25">
      <c r="A513" t="s">
        <v>560</v>
      </c>
      <c r="B513" t="s">
        <v>25</v>
      </c>
      <c r="C513" t="s">
        <v>29</v>
      </c>
      <c r="D513" t="s">
        <v>21</v>
      </c>
      <c r="E513">
        <v>1</v>
      </c>
      <c r="F513" t="str">
        <f>IF(MediCare_Data[[#This Row],[Patient_Age]]&lt;=18,"0-18",IF(MediCare_Data[[#This Row],[Patient_Age]]&lt;=35,"19-35",IF(MediCare_Data[[#This Row],[Patient_Age]]&lt;=60,"36-60","60+")))</f>
        <v>0-18</v>
      </c>
      <c r="G513" t="s">
        <v>22</v>
      </c>
      <c r="H513" t="s">
        <v>33</v>
      </c>
      <c r="I513" s="2">
        <v>83</v>
      </c>
      <c r="J513" s="11">
        <v>2765</v>
      </c>
      <c r="K513" s="3">
        <v>15.87076435</v>
      </c>
      <c r="L513" s="3">
        <f t="shared" si="7"/>
        <v>0.1587076435</v>
      </c>
      <c r="M513">
        <v>150</v>
      </c>
      <c r="N513" s="6">
        <f>MediCare_Data[[#This Row],[Average_Wait_Time (mins)]]/1440</f>
        <v>0.10416666666666667</v>
      </c>
      <c r="O513" s="2">
        <v>3</v>
      </c>
      <c r="P513" s="10">
        <v>32899</v>
      </c>
      <c r="Q513" s="17" t="str">
        <f>IF(AND(MediCare_Data[[#This Row],[Patient_Gender]]="Male", MediCare_Data[[#This Row],[Treatment_Type]]="Maternity"), "Gender-Treatment Mismatch", "Fine")</f>
        <v>Fine</v>
      </c>
      <c r="R513" s="10">
        <f>MediCare_Data[[#This Row],[Revenue_Generated]]-MediCare_Data[[#This Row],[Average_Treatment_Cost]]</f>
        <v>30134</v>
      </c>
      <c r="S513" s="3">
        <f>(MediCare_Data[[#This Row],[Profit]]/MediCare_Data[[#This Row],[Revenue_Generated]])</f>
        <v>0.91595489224596494</v>
      </c>
    </row>
    <row r="514" spans="1:19" x14ac:dyDescent="0.25">
      <c r="A514" t="s">
        <v>561</v>
      </c>
      <c r="B514" t="s">
        <v>28</v>
      </c>
      <c r="C514" t="s">
        <v>20</v>
      </c>
      <c r="D514" t="s">
        <v>32</v>
      </c>
      <c r="E514">
        <v>20</v>
      </c>
      <c r="F514" t="str">
        <f>IF(MediCare_Data[[#This Row],[Patient_Age]]&lt;=18,"0-18",IF(MediCare_Data[[#This Row],[Patient_Age]]&lt;=35,"19-35",IF(MediCare_Data[[#This Row],[Patient_Age]]&lt;=60,"36-60","60+")))</f>
        <v>19-35</v>
      </c>
      <c r="G514" t="s">
        <v>17</v>
      </c>
      <c r="H514" t="s">
        <v>51</v>
      </c>
      <c r="I514" s="2">
        <v>80</v>
      </c>
      <c r="J514" s="11">
        <v>1436</v>
      </c>
      <c r="K514" s="3">
        <v>6.6345069150000002</v>
      </c>
      <c r="L514" s="3">
        <f t="shared" ref="L514:L577" si="8">K514/100</f>
        <v>6.6345069150000005E-2</v>
      </c>
      <c r="M514">
        <v>96</v>
      </c>
      <c r="N514" s="6">
        <f>MediCare_Data[[#This Row],[Average_Wait_Time (mins)]]/1440</f>
        <v>6.6666666666666666E-2</v>
      </c>
      <c r="O514" s="2">
        <v>1</v>
      </c>
      <c r="P514" s="10">
        <v>33083</v>
      </c>
      <c r="Q514" s="17" t="str">
        <f>IF(AND(MediCare_Data[[#This Row],[Patient_Gender]]="Male", MediCare_Data[[#This Row],[Treatment_Type]]="Maternity"), "Gender-Treatment Mismatch", "Fine")</f>
        <v>Fine</v>
      </c>
      <c r="R514" s="10">
        <f>MediCare_Data[[#This Row],[Revenue_Generated]]-MediCare_Data[[#This Row],[Average_Treatment_Cost]]</f>
        <v>31647</v>
      </c>
      <c r="S514" s="3">
        <f>(MediCare_Data[[#This Row],[Profit]]/MediCare_Data[[#This Row],[Revenue_Generated]])</f>
        <v>0.95659402109844938</v>
      </c>
    </row>
    <row r="515" spans="1:19" x14ac:dyDescent="0.25">
      <c r="A515" t="s">
        <v>562</v>
      </c>
      <c r="B515" t="s">
        <v>64</v>
      </c>
      <c r="C515" t="s">
        <v>36</v>
      </c>
      <c r="D515" t="s">
        <v>21</v>
      </c>
      <c r="E515">
        <v>61</v>
      </c>
      <c r="F515" t="str">
        <f>IF(MediCare_Data[[#This Row],[Patient_Age]]&lt;=18,"0-18",IF(MediCare_Data[[#This Row],[Patient_Age]]&lt;=35,"19-35",IF(MediCare_Data[[#This Row],[Patient_Age]]&lt;=60,"36-60","60+")))</f>
        <v>60+</v>
      </c>
      <c r="G515" t="s">
        <v>22</v>
      </c>
      <c r="H515" t="s">
        <v>51</v>
      </c>
      <c r="I515" s="2">
        <v>59</v>
      </c>
      <c r="J515" s="11">
        <v>6902</v>
      </c>
      <c r="K515" s="3">
        <v>14.16601283</v>
      </c>
      <c r="L515" s="3">
        <f t="shared" si="8"/>
        <v>0.14166012829999999</v>
      </c>
      <c r="M515">
        <v>67</v>
      </c>
      <c r="N515" s="6">
        <f>MediCare_Data[[#This Row],[Average_Wait_Time (mins)]]/1440</f>
        <v>4.6527777777777779E-2</v>
      </c>
      <c r="O515" s="2">
        <v>2</v>
      </c>
      <c r="P515" s="10">
        <v>3172</v>
      </c>
      <c r="Q515" s="17" t="str">
        <f>IF(AND(MediCare_Data[[#This Row],[Patient_Gender]]="Male", MediCare_Data[[#This Row],[Treatment_Type]]="Maternity"), "Gender-Treatment Mismatch", "Fine")</f>
        <v>Fine</v>
      </c>
      <c r="R515" s="10">
        <f>MediCare_Data[[#This Row],[Revenue_Generated]]-MediCare_Data[[#This Row],[Average_Treatment_Cost]]</f>
        <v>-3730</v>
      </c>
      <c r="S515" s="3">
        <f>(MediCare_Data[[#This Row],[Profit]]/MediCare_Data[[#This Row],[Revenue_Generated]])</f>
        <v>-1.1759142496847415</v>
      </c>
    </row>
    <row r="516" spans="1:19" x14ac:dyDescent="0.25">
      <c r="A516" t="s">
        <v>563</v>
      </c>
      <c r="B516" t="s">
        <v>35</v>
      </c>
      <c r="C516" t="s">
        <v>15</v>
      </c>
      <c r="D516" t="s">
        <v>21</v>
      </c>
      <c r="E516">
        <v>52</v>
      </c>
      <c r="F516" t="str">
        <f>IF(MediCare_Data[[#This Row],[Patient_Age]]&lt;=18,"0-18",IF(MediCare_Data[[#This Row],[Patient_Age]]&lt;=35,"19-35",IF(MediCare_Data[[#This Row],[Patient_Age]]&lt;=60,"36-60","60+")))</f>
        <v>36-60</v>
      </c>
      <c r="G516" t="s">
        <v>43</v>
      </c>
      <c r="H516" t="s">
        <v>18</v>
      </c>
      <c r="I516" s="2">
        <v>68</v>
      </c>
      <c r="J516" s="11">
        <v>4345</v>
      </c>
      <c r="K516" s="3">
        <v>14.693925739999999</v>
      </c>
      <c r="L516" s="3">
        <f t="shared" si="8"/>
        <v>0.1469392574</v>
      </c>
      <c r="M516">
        <v>59</v>
      </c>
      <c r="N516" s="6">
        <f>MediCare_Data[[#This Row],[Average_Wait_Time (mins)]]/1440</f>
        <v>4.0972222222222222E-2</v>
      </c>
      <c r="O516" s="2">
        <v>1</v>
      </c>
      <c r="P516" s="10">
        <v>46926</v>
      </c>
      <c r="Q516" s="17" t="str">
        <f>IF(AND(MediCare_Data[[#This Row],[Patient_Gender]]="Male", MediCare_Data[[#This Row],[Treatment_Type]]="Maternity"), "Gender-Treatment Mismatch", "Fine")</f>
        <v>Fine</v>
      </c>
      <c r="R516" s="10">
        <f>MediCare_Data[[#This Row],[Revenue_Generated]]-MediCare_Data[[#This Row],[Average_Treatment_Cost]]</f>
        <v>42581</v>
      </c>
      <c r="S516" s="3">
        <f>(MediCare_Data[[#This Row],[Profit]]/MediCare_Data[[#This Row],[Revenue_Generated]])</f>
        <v>0.90740740740740744</v>
      </c>
    </row>
    <row r="517" spans="1:19" x14ac:dyDescent="0.25">
      <c r="A517" t="s">
        <v>564</v>
      </c>
      <c r="B517" t="s">
        <v>49</v>
      </c>
      <c r="C517" t="s">
        <v>20</v>
      </c>
      <c r="D517" t="s">
        <v>16</v>
      </c>
      <c r="E517">
        <v>57</v>
      </c>
      <c r="F517" t="str">
        <f>IF(MediCare_Data[[#This Row],[Patient_Age]]&lt;=18,"0-18",IF(MediCare_Data[[#This Row],[Patient_Age]]&lt;=35,"19-35",IF(MediCare_Data[[#This Row],[Patient_Age]]&lt;=60,"36-60","60+")))</f>
        <v>36-60</v>
      </c>
      <c r="G517" t="s">
        <v>22</v>
      </c>
      <c r="H517" t="s">
        <v>33</v>
      </c>
      <c r="I517" s="2">
        <v>81</v>
      </c>
      <c r="J517" s="11">
        <v>2296</v>
      </c>
      <c r="K517" s="3">
        <v>8.3154908029999994</v>
      </c>
      <c r="L517" s="3">
        <f t="shared" si="8"/>
        <v>8.3154908029999988E-2</v>
      </c>
      <c r="M517">
        <v>39</v>
      </c>
      <c r="N517" s="6">
        <f>MediCare_Data[[#This Row],[Average_Wait_Time (mins)]]/1440</f>
        <v>2.7083333333333334E-2</v>
      </c>
      <c r="O517" s="2">
        <v>4</v>
      </c>
      <c r="P517" s="10">
        <v>17663</v>
      </c>
      <c r="Q517" s="17" t="str">
        <f>IF(AND(MediCare_Data[[#This Row],[Patient_Gender]]="Male", MediCare_Data[[#This Row],[Treatment_Type]]="Maternity"), "Gender-Treatment Mismatch", "Fine")</f>
        <v>Fine</v>
      </c>
      <c r="R517" s="10">
        <f>MediCare_Data[[#This Row],[Revenue_Generated]]-MediCare_Data[[#This Row],[Average_Treatment_Cost]]</f>
        <v>15367</v>
      </c>
      <c r="S517" s="3">
        <f>(MediCare_Data[[#This Row],[Profit]]/MediCare_Data[[#This Row],[Revenue_Generated]])</f>
        <v>0.87001075694955554</v>
      </c>
    </row>
    <row r="518" spans="1:19" x14ac:dyDescent="0.25">
      <c r="A518" t="s">
        <v>565</v>
      </c>
      <c r="B518" t="s">
        <v>28</v>
      </c>
      <c r="C518" t="s">
        <v>54</v>
      </c>
      <c r="D518" t="s">
        <v>16</v>
      </c>
      <c r="E518">
        <v>19</v>
      </c>
      <c r="F518" t="str">
        <f>IF(MediCare_Data[[#This Row],[Patient_Age]]&lt;=18,"0-18",IF(MediCare_Data[[#This Row],[Patient_Age]]&lt;=35,"19-35",IF(MediCare_Data[[#This Row],[Patient_Age]]&lt;=60,"36-60","60+")))</f>
        <v>19-35</v>
      </c>
      <c r="G518" t="s">
        <v>26</v>
      </c>
      <c r="H518" t="s">
        <v>37</v>
      </c>
      <c r="I518" s="2">
        <v>50</v>
      </c>
      <c r="J518" s="11">
        <v>8745</v>
      </c>
      <c r="K518" s="3">
        <v>23.913962940000001</v>
      </c>
      <c r="L518" s="3">
        <f t="shared" si="8"/>
        <v>0.2391396294</v>
      </c>
      <c r="M518">
        <v>110</v>
      </c>
      <c r="N518" s="6">
        <f>MediCare_Data[[#This Row],[Average_Wait_Time (mins)]]/1440</f>
        <v>7.6388888888888895E-2</v>
      </c>
      <c r="O518" s="2">
        <v>4</v>
      </c>
      <c r="P518" s="10">
        <v>28540</v>
      </c>
      <c r="Q518" s="17" t="str">
        <f>IF(AND(MediCare_Data[[#This Row],[Patient_Gender]]="Male", MediCare_Data[[#This Row],[Treatment_Type]]="Maternity"), "Gender-Treatment Mismatch", "Fine")</f>
        <v>Gender-Treatment Mismatch</v>
      </c>
      <c r="R518" s="10">
        <f>MediCare_Data[[#This Row],[Revenue_Generated]]-MediCare_Data[[#This Row],[Average_Treatment_Cost]]</f>
        <v>19795</v>
      </c>
      <c r="S518" s="3">
        <f>(MediCare_Data[[#This Row],[Profit]]/MediCare_Data[[#This Row],[Revenue_Generated]])</f>
        <v>0.69358794674141555</v>
      </c>
    </row>
    <row r="519" spans="1:19" x14ac:dyDescent="0.25">
      <c r="A519" t="s">
        <v>566</v>
      </c>
      <c r="B519" t="s">
        <v>56</v>
      </c>
      <c r="C519" t="s">
        <v>36</v>
      </c>
      <c r="D519" t="s">
        <v>21</v>
      </c>
      <c r="E519">
        <v>38</v>
      </c>
      <c r="F519" t="str">
        <f>IF(MediCare_Data[[#This Row],[Patient_Age]]&lt;=18,"0-18",IF(MediCare_Data[[#This Row],[Patient_Age]]&lt;=35,"19-35",IF(MediCare_Data[[#This Row],[Patient_Age]]&lt;=60,"36-60","60+")))</f>
        <v>36-60</v>
      </c>
      <c r="G519" t="s">
        <v>22</v>
      </c>
      <c r="H519" t="s">
        <v>18</v>
      </c>
      <c r="I519" s="2">
        <v>54</v>
      </c>
      <c r="J519" s="11">
        <v>7714</v>
      </c>
      <c r="K519" s="3">
        <v>21.999507430000001</v>
      </c>
      <c r="L519" s="3">
        <f t="shared" si="8"/>
        <v>0.21999507430000001</v>
      </c>
      <c r="M519">
        <v>34</v>
      </c>
      <c r="N519" s="6">
        <f>MediCare_Data[[#This Row],[Average_Wait_Time (mins)]]/1440</f>
        <v>2.361111111111111E-2</v>
      </c>
      <c r="O519" s="2">
        <v>4</v>
      </c>
      <c r="P519" s="10">
        <v>20053</v>
      </c>
      <c r="Q519" s="17" t="str">
        <f>IF(AND(MediCare_Data[[#This Row],[Patient_Gender]]="Male", MediCare_Data[[#This Row],[Treatment_Type]]="Maternity"), "Gender-Treatment Mismatch", "Fine")</f>
        <v>Fine</v>
      </c>
      <c r="R519" s="10">
        <f>MediCare_Data[[#This Row],[Revenue_Generated]]-MediCare_Data[[#This Row],[Average_Treatment_Cost]]</f>
        <v>12339</v>
      </c>
      <c r="S519" s="3">
        <f>(MediCare_Data[[#This Row],[Profit]]/MediCare_Data[[#This Row],[Revenue_Generated]])</f>
        <v>0.61531940358051163</v>
      </c>
    </row>
    <row r="520" spans="1:19" x14ac:dyDescent="0.25">
      <c r="A520" t="s">
        <v>567</v>
      </c>
      <c r="B520" t="s">
        <v>25</v>
      </c>
      <c r="C520" t="s">
        <v>42</v>
      </c>
      <c r="D520" t="s">
        <v>32</v>
      </c>
      <c r="E520">
        <v>36</v>
      </c>
      <c r="F520" t="str">
        <f>IF(MediCare_Data[[#This Row],[Patient_Age]]&lt;=18,"0-18",IF(MediCare_Data[[#This Row],[Patient_Age]]&lt;=35,"19-35",IF(MediCare_Data[[#This Row],[Patient_Age]]&lt;=60,"36-60","60+")))</f>
        <v>36-60</v>
      </c>
      <c r="G520" t="s">
        <v>26</v>
      </c>
      <c r="H520" t="s">
        <v>33</v>
      </c>
      <c r="I520" s="2">
        <v>94</v>
      </c>
      <c r="J520" s="11">
        <v>1226</v>
      </c>
      <c r="K520" s="3">
        <v>18.380446750000001</v>
      </c>
      <c r="L520" s="3">
        <f t="shared" si="8"/>
        <v>0.18380446750000001</v>
      </c>
      <c r="M520">
        <v>121</v>
      </c>
      <c r="N520" s="6">
        <f>MediCare_Data[[#This Row],[Average_Wait_Time (mins)]]/1440</f>
        <v>8.4027777777777785E-2</v>
      </c>
      <c r="O520" s="2">
        <v>4</v>
      </c>
      <c r="P520" s="10">
        <v>12085</v>
      </c>
      <c r="Q520" s="17" t="str">
        <f>IF(AND(MediCare_Data[[#This Row],[Patient_Gender]]="Male", MediCare_Data[[#This Row],[Treatment_Type]]="Maternity"), "Gender-Treatment Mismatch", "Fine")</f>
        <v>Fine</v>
      </c>
      <c r="R520" s="10">
        <f>MediCare_Data[[#This Row],[Revenue_Generated]]-MediCare_Data[[#This Row],[Average_Treatment_Cost]]</f>
        <v>10859</v>
      </c>
      <c r="S520" s="3">
        <f>(MediCare_Data[[#This Row],[Profit]]/MediCare_Data[[#This Row],[Revenue_Generated]])</f>
        <v>0.89855192387256932</v>
      </c>
    </row>
    <row r="521" spans="1:19" x14ac:dyDescent="0.25">
      <c r="A521" t="s">
        <v>568</v>
      </c>
      <c r="B521" t="s">
        <v>56</v>
      </c>
      <c r="C521" t="s">
        <v>20</v>
      </c>
      <c r="D521" t="s">
        <v>16</v>
      </c>
      <c r="E521">
        <v>19</v>
      </c>
      <c r="F521" t="str">
        <f>IF(MediCare_Data[[#This Row],[Patient_Age]]&lt;=18,"0-18",IF(MediCare_Data[[#This Row],[Patient_Age]]&lt;=35,"19-35",IF(MediCare_Data[[#This Row],[Patient_Age]]&lt;=60,"36-60","60+")))</f>
        <v>19-35</v>
      </c>
      <c r="G521" t="s">
        <v>43</v>
      </c>
      <c r="H521" t="s">
        <v>33</v>
      </c>
      <c r="I521" s="2">
        <v>53</v>
      </c>
      <c r="J521" s="11">
        <v>3236</v>
      </c>
      <c r="K521" s="3">
        <v>14.24591122</v>
      </c>
      <c r="L521" s="3">
        <f t="shared" si="8"/>
        <v>0.14245911219999999</v>
      </c>
      <c r="M521">
        <v>164</v>
      </c>
      <c r="N521" s="6">
        <f>MediCare_Data[[#This Row],[Average_Wait_Time (mins)]]/1440</f>
        <v>0.11388888888888889</v>
      </c>
      <c r="O521" s="2">
        <v>4</v>
      </c>
      <c r="P521" s="10">
        <v>31564</v>
      </c>
      <c r="Q521" s="17" t="str">
        <f>IF(AND(MediCare_Data[[#This Row],[Patient_Gender]]="Male", MediCare_Data[[#This Row],[Treatment_Type]]="Maternity"), "Gender-Treatment Mismatch", "Fine")</f>
        <v>Fine</v>
      </c>
      <c r="R521" s="10">
        <f>MediCare_Data[[#This Row],[Revenue_Generated]]-MediCare_Data[[#This Row],[Average_Treatment_Cost]]</f>
        <v>28328</v>
      </c>
      <c r="S521" s="3">
        <f>(MediCare_Data[[#This Row],[Profit]]/MediCare_Data[[#This Row],[Revenue_Generated]])</f>
        <v>0.89747813965276901</v>
      </c>
    </row>
    <row r="522" spans="1:19" x14ac:dyDescent="0.25">
      <c r="A522" t="s">
        <v>569</v>
      </c>
      <c r="B522" t="s">
        <v>53</v>
      </c>
      <c r="C522" t="s">
        <v>46</v>
      </c>
      <c r="D522" t="s">
        <v>32</v>
      </c>
      <c r="E522">
        <v>39</v>
      </c>
      <c r="F522" t="str">
        <f>IF(MediCare_Data[[#This Row],[Patient_Age]]&lt;=18,"0-18",IF(MediCare_Data[[#This Row],[Patient_Age]]&lt;=35,"19-35",IF(MediCare_Data[[#This Row],[Patient_Age]]&lt;=60,"36-60","60+")))</f>
        <v>36-60</v>
      </c>
      <c r="G522" t="s">
        <v>22</v>
      </c>
      <c r="H522" t="s">
        <v>18</v>
      </c>
      <c r="I522" s="2">
        <v>65</v>
      </c>
      <c r="J522" s="11">
        <v>2413</v>
      </c>
      <c r="K522" s="3">
        <v>13.23531083</v>
      </c>
      <c r="L522" s="3">
        <f t="shared" si="8"/>
        <v>0.13235310829999999</v>
      </c>
      <c r="M522">
        <v>135</v>
      </c>
      <c r="N522" s="6">
        <f>MediCare_Data[[#This Row],[Average_Wait_Time (mins)]]/1440</f>
        <v>9.375E-2</v>
      </c>
      <c r="O522" s="2">
        <v>3</v>
      </c>
      <c r="P522" s="10">
        <v>25209</v>
      </c>
      <c r="Q522" s="17" t="str">
        <f>IF(AND(MediCare_Data[[#This Row],[Patient_Gender]]="Male", MediCare_Data[[#This Row],[Treatment_Type]]="Maternity"), "Gender-Treatment Mismatch", "Fine")</f>
        <v>Fine</v>
      </c>
      <c r="R522" s="10">
        <f>MediCare_Data[[#This Row],[Revenue_Generated]]-MediCare_Data[[#This Row],[Average_Treatment_Cost]]</f>
        <v>22796</v>
      </c>
      <c r="S522" s="3">
        <f>(MediCare_Data[[#This Row],[Profit]]/MediCare_Data[[#This Row],[Revenue_Generated]])</f>
        <v>0.90428021738268083</v>
      </c>
    </row>
    <row r="523" spans="1:19" x14ac:dyDescent="0.25">
      <c r="A523" t="s">
        <v>570</v>
      </c>
      <c r="B523" t="s">
        <v>35</v>
      </c>
      <c r="C523" t="s">
        <v>31</v>
      </c>
      <c r="D523" t="s">
        <v>16</v>
      </c>
      <c r="E523">
        <v>18</v>
      </c>
      <c r="F523" t="str">
        <f>IF(MediCare_Data[[#This Row],[Patient_Age]]&lt;=18,"0-18",IF(MediCare_Data[[#This Row],[Patient_Age]]&lt;=35,"19-35",IF(MediCare_Data[[#This Row],[Patient_Age]]&lt;=60,"36-60","60+")))</f>
        <v>0-18</v>
      </c>
      <c r="G523" t="s">
        <v>26</v>
      </c>
      <c r="H523" t="s">
        <v>33</v>
      </c>
      <c r="I523" s="2">
        <v>73</v>
      </c>
      <c r="J523" s="11">
        <v>8157</v>
      </c>
      <c r="K523" s="3">
        <v>18.019469340000001</v>
      </c>
      <c r="L523" s="3">
        <f t="shared" si="8"/>
        <v>0.18019469339999999</v>
      </c>
      <c r="M523">
        <v>132</v>
      </c>
      <c r="N523" s="6">
        <f>MediCare_Data[[#This Row],[Average_Wait_Time (mins)]]/1440</f>
        <v>9.166666666666666E-2</v>
      </c>
      <c r="O523" s="2">
        <v>4</v>
      </c>
      <c r="P523" s="10">
        <v>4981</v>
      </c>
      <c r="Q523" s="17" t="str">
        <f>IF(AND(MediCare_Data[[#This Row],[Patient_Gender]]="Male", MediCare_Data[[#This Row],[Treatment_Type]]="Maternity"), "Gender-Treatment Mismatch", "Fine")</f>
        <v>Fine</v>
      </c>
      <c r="R523" s="10">
        <f>MediCare_Data[[#This Row],[Revenue_Generated]]-MediCare_Data[[#This Row],[Average_Treatment_Cost]]</f>
        <v>-3176</v>
      </c>
      <c r="S523" s="3">
        <f>(MediCare_Data[[#This Row],[Profit]]/MediCare_Data[[#This Row],[Revenue_Generated]])</f>
        <v>-0.63762296727564749</v>
      </c>
    </row>
    <row r="524" spans="1:19" x14ac:dyDescent="0.25">
      <c r="A524" t="s">
        <v>571</v>
      </c>
      <c r="B524" t="s">
        <v>61</v>
      </c>
      <c r="C524" t="s">
        <v>15</v>
      </c>
      <c r="D524" t="s">
        <v>32</v>
      </c>
      <c r="E524">
        <v>65</v>
      </c>
      <c r="F524" t="str">
        <f>IF(MediCare_Data[[#This Row],[Patient_Age]]&lt;=18,"0-18",IF(MediCare_Data[[#This Row],[Patient_Age]]&lt;=35,"19-35",IF(MediCare_Data[[#This Row],[Patient_Age]]&lt;=60,"36-60","60+")))</f>
        <v>60+</v>
      </c>
      <c r="G524" t="s">
        <v>43</v>
      </c>
      <c r="H524" t="s">
        <v>33</v>
      </c>
      <c r="I524" s="2">
        <v>65</v>
      </c>
      <c r="J524" s="11">
        <v>2966</v>
      </c>
      <c r="K524" s="3">
        <v>15.908637390000001</v>
      </c>
      <c r="L524" s="3">
        <f t="shared" si="8"/>
        <v>0.15908637390000002</v>
      </c>
      <c r="M524">
        <v>56</v>
      </c>
      <c r="N524" s="6">
        <f>MediCare_Data[[#This Row],[Average_Wait_Time (mins)]]/1440</f>
        <v>3.888888888888889E-2</v>
      </c>
      <c r="O524" s="2">
        <v>3</v>
      </c>
      <c r="P524" s="10">
        <v>22153</v>
      </c>
      <c r="Q524" s="17" t="str">
        <f>IF(AND(MediCare_Data[[#This Row],[Patient_Gender]]="Male", MediCare_Data[[#This Row],[Treatment_Type]]="Maternity"), "Gender-Treatment Mismatch", "Fine")</f>
        <v>Fine</v>
      </c>
      <c r="R524" s="10">
        <f>MediCare_Data[[#This Row],[Revenue_Generated]]-MediCare_Data[[#This Row],[Average_Treatment_Cost]]</f>
        <v>19187</v>
      </c>
      <c r="S524" s="3">
        <f>(MediCare_Data[[#This Row],[Profit]]/MediCare_Data[[#This Row],[Revenue_Generated]])</f>
        <v>0.86611294181374987</v>
      </c>
    </row>
    <row r="525" spans="1:19" x14ac:dyDescent="0.25">
      <c r="A525" t="s">
        <v>572</v>
      </c>
      <c r="B525" t="s">
        <v>41</v>
      </c>
      <c r="C525" t="s">
        <v>46</v>
      </c>
      <c r="D525" t="s">
        <v>32</v>
      </c>
      <c r="E525">
        <v>23</v>
      </c>
      <c r="F525" t="str">
        <f>IF(MediCare_Data[[#This Row],[Patient_Age]]&lt;=18,"0-18",IF(MediCare_Data[[#This Row],[Patient_Age]]&lt;=35,"19-35",IF(MediCare_Data[[#This Row],[Patient_Age]]&lt;=60,"36-60","60+")))</f>
        <v>19-35</v>
      </c>
      <c r="G525" t="s">
        <v>26</v>
      </c>
      <c r="H525" t="s">
        <v>23</v>
      </c>
      <c r="I525" s="2">
        <v>51</v>
      </c>
      <c r="J525" s="11">
        <v>9541</v>
      </c>
      <c r="K525" s="3">
        <v>6.2454621179999998</v>
      </c>
      <c r="L525" s="3">
        <f t="shared" si="8"/>
        <v>6.2454621179999996E-2</v>
      </c>
      <c r="M525">
        <v>127</v>
      </c>
      <c r="N525" s="6">
        <f>MediCare_Data[[#This Row],[Average_Wait_Time (mins)]]/1440</f>
        <v>8.819444444444445E-2</v>
      </c>
      <c r="O525" s="2">
        <v>2</v>
      </c>
      <c r="P525" s="10">
        <v>6247</v>
      </c>
      <c r="Q525" s="17" t="str">
        <f>IF(AND(MediCare_Data[[#This Row],[Patient_Gender]]="Male", MediCare_Data[[#This Row],[Treatment_Type]]="Maternity"), "Gender-Treatment Mismatch", "Fine")</f>
        <v>Fine</v>
      </c>
      <c r="R525" s="10">
        <f>MediCare_Data[[#This Row],[Revenue_Generated]]-MediCare_Data[[#This Row],[Average_Treatment_Cost]]</f>
        <v>-3294</v>
      </c>
      <c r="S525" s="3">
        <f>(MediCare_Data[[#This Row],[Profit]]/MediCare_Data[[#This Row],[Revenue_Generated]])</f>
        <v>-0.52729310068833035</v>
      </c>
    </row>
    <row r="526" spans="1:19" x14ac:dyDescent="0.25">
      <c r="A526" t="s">
        <v>573</v>
      </c>
      <c r="B526" t="s">
        <v>14</v>
      </c>
      <c r="C526" t="s">
        <v>46</v>
      </c>
      <c r="D526" t="s">
        <v>32</v>
      </c>
      <c r="E526">
        <v>18</v>
      </c>
      <c r="F526" t="str">
        <f>IF(MediCare_Data[[#This Row],[Patient_Age]]&lt;=18,"0-18",IF(MediCare_Data[[#This Row],[Patient_Age]]&lt;=35,"19-35",IF(MediCare_Data[[#This Row],[Patient_Age]]&lt;=60,"36-60","60+")))</f>
        <v>0-18</v>
      </c>
      <c r="G526" t="s">
        <v>26</v>
      </c>
      <c r="H526" t="s">
        <v>51</v>
      </c>
      <c r="I526" s="2">
        <v>98</v>
      </c>
      <c r="J526" s="11">
        <v>7812</v>
      </c>
      <c r="K526" s="3">
        <v>15.25005298</v>
      </c>
      <c r="L526" s="3">
        <f t="shared" si="8"/>
        <v>0.15250052980000001</v>
      </c>
      <c r="M526">
        <v>48</v>
      </c>
      <c r="N526" s="6">
        <f>MediCare_Data[[#This Row],[Average_Wait_Time (mins)]]/1440</f>
        <v>3.3333333333333333E-2</v>
      </c>
      <c r="O526" s="2">
        <v>4</v>
      </c>
      <c r="P526" s="10">
        <v>11553</v>
      </c>
      <c r="Q526" s="17" t="str">
        <f>IF(AND(MediCare_Data[[#This Row],[Patient_Gender]]="Male", MediCare_Data[[#This Row],[Treatment_Type]]="Maternity"), "Gender-Treatment Mismatch", "Fine")</f>
        <v>Fine</v>
      </c>
      <c r="R526" s="10">
        <f>MediCare_Data[[#This Row],[Revenue_Generated]]-MediCare_Data[[#This Row],[Average_Treatment_Cost]]</f>
        <v>3741</v>
      </c>
      <c r="S526" s="3">
        <f>(MediCare_Data[[#This Row],[Profit]]/MediCare_Data[[#This Row],[Revenue_Generated]])</f>
        <v>0.32381199688392626</v>
      </c>
    </row>
    <row r="527" spans="1:19" x14ac:dyDescent="0.25">
      <c r="A527" t="s">
        <v>574</v>
      </c>
      <c r="B527" t="s">
        <v>53</v>
      </c>
      <c r="C527" t="s">
        <v>54</v>
      </c>
      <c r="D527" t="s">
        <v>21</v>
      </c>
      <c r="E527">
        <v>62</v>
      </c>
      <c r="F527" t="str">
        <f>IF(MediCare_Data[[#This Row],[Patient_Age]]&lt;=18,"0-18",IF(MediCare_Data[[#This Row],[Patient_Age]]&lt;=35,"19-35",IF(MediCare_Data[[#This Row],[Patient_Age]]&lt;=60,"36-60","60+")))</f>
        <v>60+</v>
      </c>
      <c r="G527" t="s">
        <v>26</v>
      </c>
      <c r="H527" t="s">
        <v>37</v>
      </c>
      <c r="I527" s="2">
        <v>77</v>
      </c>
      <c r="J527" s="11">
        <v>8694</v>
      </c>
      <c r="K527" s="3">
        <v>21.128072339999999</v>
      </c>
      <c r="L527" s="3">
        <f t="shared" si="8"/>
        <v>0.21128072339999998</v>
      </c>
      <c r="M527">
        <v>25</v>
      </c>
      <c r="N527" s="6">
        <f>MediCare_Data[[#This Row],[Average_Wait_Time (mins)]]/1440</f>
        <v>1.7361111111111112E-2</v>
      </c>
      <c r="O527" s="2">
        <v>4</v>
      </c>
      <c r="P527" s="10">
        <v>21811</v>
      </c>
      <c r="Q527" s="17" t="str">
        <f>IF(AND(MediCare_Data[[#This Row],[Patient_Gender]]="Male", MediCare_Data[[#This Row],[Treatment_Type]]="Maternity"), "Gender-Treatment Mismatch", "Fine")</f>
        <v>Fine</v>
      </c>
      <c r="R527" s="10">
        <f>MediCare_Data[[#This Row],[Revenue_Generated]]-MediCare_Data[[#This Row],[Average_Treatment_Cost]]</f>
        <v>13117</v>
      </c>
      <c r="S527" s="3">
        <f>(MediCare_Data[[#This Row],[Profit]]/MediCare_Data[[#This Row],[Revenue_Generated]])</f>
        <v>0.60139379212324051</v>
      </c>
    </row>
    <row r="528" spans="1:19" x14ac:dyDescent="0.25">
      <c r="A528" t="s">
        <v>575</v>
      </c>
      <c r="B528" t="s">
        <v>39</v>
      </c>
      <c r="C528" t="s">
        <v>36</v>
      </c>
      <c r="D528" t="s">
        <v>16</v>
      </c>
      <c r="E528">
        <v>42</v>
      </c>
      <c r="F528" t="str">
        <f>IF(MediCare_Data[[#This Row],[Patient_Age]]&lt;=18,"0-18",IF(MediCare_Data[[#This Row],[Patient_Age]]&lt;=35,"19-35",IF(MediCare_Data[[#This Row],[Patient_Age]]&lt;=60,"36-60","60+")))</f>
        <v>36-60</v>
      </c>
      <c r="G528" t="s">
        <v>22</v>
      </c>
      <c r="H528" t="s">
        <v>47</v>
      </c>
      <c r="I528" s="2">
        <v>81</v>
      </c>
      <c r="J528" s="11">
        <v>8406</v>
      </c>
      <c r="K528" s="3">
        <v>14.184797550000001</v>
      </c>
      <c r="L528" s="3">
        <f t="shared" si="8"/>
        <v>0.1418479755</v>
      </c>
      <c r="M528">
        <v>31</v>
      </c>
      <c r="N528" s="6">
        <f>MediCare_Data[[#This Row],[Average_Wait_Time (mins)]]/1440</f>
        <v>2.1527777777777778E-2</v>
      </c>
      <c r="O528" s="2">
        <v>1</v>
      </c>
      <c r="P528" s="10">
        <v>30845</v>
      </c>
      <c r="Q528" s="17" t="str">
        <f>IF(AND(MediCare_Data[[#This Row],[Patient_Gender]]="Male", MediCare_Data[[#This Row],[Treatment_Type]]="Maternity"), "Gender-Treatment Mismatch", "Fine")</f>
        <v>Fine</v>
      </c>
      <c r="R528" s="10">
        <f>MediCare_Data[[#This Row],[Revenue_Generated]]-MediCare_Data[[#This Row],[Average_Treatment_Cost]]</f>
        <v>22439</v>
      </c>
      <c r="S528" s="3">
        <f>(MediCare_Data[[#This Row],[Profit]]/MediCare_Data[[#This Row],[Revenue_Generated]])</f>
        <v>0.72747609012805969</v>
      </c>
    </row>
    <row r="529" spans="1:19" x14ac:dyDescent="0.25">
      <c r="A529" t="s">
        <v>576</v>
      </c>
      <c r="B529" t="s">
        <v>28</v>
      </c>
      <c r="C529" t="s">
        <v>31</v>
      </c>
      <c r="D529" t="s">
        <v>32</v>
      </c>
      <c r="E529">
        <v>4</v>
      </c>
      <c r="F529" t="str">
        <f>IF(MediCare_Data[[#This Row],[Patient_Age]]&lt;=18,"0-18",IF(MediCare_Data[[#This Row],[Patient_Age]]&lt;=35,"19-35",IF(MediCare_Data[[#This Row],[Patient_Age]]&lt;=60,"36-60","60+")))</f>
        <v>0-18</v>
      </c>
      <c r="G529" t="s">
        <v>26</v>
      </c>
      <c r="H529" t="s">
        <v>51</v>
      </c>
      <c r="I529" s="2">
        <v>76</v>
      </c>
      <c r="J529" s="11">
        <v>5376</v>
      </c>
      <c r="K529" s="3">
        <v>6.0391315509999997</v>
      </c>
      <c r="L529" s="3">
        <f t="shared" si="8"/>
        <v>6.0391315509999995E-2</v>
      </c>
      <c r="M529">
        <v>63</v>
      </c>
      <c r="N529" s="6">
        <f>MediCare_Data[[#This Row],[Average_Wait_Time (mins)]]/1440</f>
        <v>4.3749999999999997E-2</v>
      </c>
      <c r="O529" s="2">
        <v>2</v>
      </c>
      <c r="P529" s="10">
        <v>7135</v>
      </c>
      <c r="Q529" s="17" t="str">
        <f>IF(AND(MediCare_Data[[#This Row],[Patient_Gender]]="Male", MediCare_Data[[#This Row],[Treatment_Type]]="Maternity"), "Gender-Treatment Mismatch", "Fine")</f>
        <v>Fine</v>
      </c>
      <c r="R529" s="10">
        <f>MediCare_Data[[#This Row],[Revenue_Generated]]-MediCare_Data[[#This Row],[Average_Treatment_Cost]]</f>
        <v>1759</v>
      </c>
      <c r="S529" s="3">
        <f>(MediCare_Data[[#This Row],[Profit]]/MediCare_Data[[#This Row],[Revenue_Generated]])</f>
        <v>0.24653118430273302</v>
      </c>
    </row>
    <row r="530" spans="1:19" x14ac:dyDescent="0.25">
      <c r="A530" t="s">
        <v>577</v>
      </c>
      <c r="B530" t="s">
        <v>14</v>
      </c>
      <c r="C530" t="s">
        <v>36</v>
      </c>
      <c r="D530" t="s">
        <v>32</v>
      </c>
      <c r="E530">
        <v>61</v>
      </c>
      <c r="F530" t="str">
        <f>IF(MediCare_Data[[#This Row],[Patient_Age]]&lt;=18,"0-18",IF(MediCare_Data[[#This Row],[Patient_Age]]&lt;=35,"19-35",IF(MediCare_Data[[#This Row],[Patient_Age]]&lt;=60,"36-60","60+")))</f>
        <v>60+</v>
      </c>
      <c r="G530" t="s">
        <v>17</v>
      </c>
      <c r="H530" t="s">
        <v>33</v>
      </c>
      <c r="I530" s="2">
        <v>69</v>
      </c>
      <c r="J530" s="11">
        <v>7787</v>
      </c>
      <c r="K530" s="3">
        <v>20.725563990000001</v>
      </c>
      <c r="L530" s="3">
        <f t="shared" si="8"/>
        <v>0.20725563990000001</v>
      </c>
      <c r="M530">
        <v>158</v>
      </c>
      <c r="N530" s="6">
        <f>MediCare_Data[[#This Row],[Average_Wait_Time (mins)]]/1440</f>
        <v>0.10972222222222222</v>
      </c>
      <c r="O530" s="2">
        <v>4</v>
      </c>
      <c r="P530" s="10">
        <v>6573</v>
      </c>
      <c r="Q530" s="17" t="str">
        <f>IF(AND(MediCare_Data[[#This Row],[Patient_Gender]]="Male", MediCare_Data[[#This Row],[Treatment_Type]]="Maternity"), "Gender-Treatment Mismatch", "Fine")</f>
        <v>Fine</v>
      </c>
      <c r="R530" s="10">
        <f>MediCare_Data[[#This Row],[Revenue_Generated]]-MediCare_Data[[#This Row],[Average_Treatment_Cost]]</f>
        <v>-1214</v>
      </c>
      <c r="S530" s="3">
        <f>(MediCare_Data[[#This Row],[Profit]]/MediCare_Data[[#This Row],[Revenue_Generated]])</f>
        <v>-0.18469496424767989</v>
      </c>
    </row>
    <row r="531" spans="1:19" x14ac:dyDescent="0.25">
      <c r="A531" t="s">
        <v>578</v>
      </c>
      <c r="B531" t="s">
        <v>39</v>
      </c>
      <c r="C531" t="s">
        <v>20</v>
      </c>
      <c r="D531" t="s">
        <v>21</v>
      </c>
      <c r="E531">
        <v>50</v>
      </c>
      <c r="F531" t="str">
        <f>IF(MediCare_Data[[#This Row],[Patient_Age]]&lt;=18,"0-18",IF(MediCare_Data[[#This Row],[Patient_Age]]&lt;=35,"19-35",IF(MediCare_Data[[#This Row],[Patient_Age]]&lt;=60,"36-60","60+")))</f>
        <v>36-60</v>
      </c>
      <c r="G531" t="s">
        <v>43</v>
      </c>
      <c r="H531" t="s">
        <v>33</v>
      </c>
      <c r="I531" s="2">
        <v>73</v>
      </c>
      <c r="J531" s="11">
        <v>1392</v>
      </c>
      <c r="K531" s="3">
        <v>9.0272756429999994</v>
      </c>
      <c r="L531" s="3">
        <f t="shared" si="8"/>
        <v>9.027275642999999E-2</v>
      </c>
      <c r="M531">
        <v>25</v>
      </c>
      <c r="N531" s="6">
        <f>MediCare_Data[[#This Row],[Average_Wait_Time (mins)]]/1440</f>
        <v>1.7361111111111112E-2</v>
      </c>
      <c r="O531" s="2">
        <v>4</v>
      </c>
      <c r="P531" s="10">
        <v>14731</v>
      </c>
      <c r="Q531" s="17" t="str">
        <f>IF(AND(MediCare_Data[[#This Row],[Patient_Gender]]="Male", MediCare_Data[[#This Row],[Treatment_Type]]="Maternity"), "Gender-Treatment Mismatch", "Fine")</f>
        <v>Fine</v>
      </c>
      <c r="R531" s="10">
        <f>MediCare_Data[[#This Row],[Revenue_Generated]]-MediCare_Data[[#This Row],[Average_Treatment_Cost]]</f>
        <v>13339</v>
      </c>
      <c r="S531" s="3">
        <f>(MediCare_Data[[#This Row],[Profit]]/MediCare_Data[[#This Row],[Revenue_Generated]])</f>
        <v>0.9055053967822958</v>
      </c>
    </row>
    <row r="532" spans="1:19" x14ac:dyDescent="0.25">
      <c r="A532" t="s">
        <v>579</v>
      </c>
      <c r="B532" t="s">
        <v>82</v>
      </c>
      <c r="C532" t="s">
        <v>29</v>
      </c>
      <c r="D532" t="s">
        <v>21</v>
      </c>
      <c r="E532">
        <v>15</v>
      </c>
      <c r="F532" t="str">
        <f>IF(MediCare_Data[[#This Row],[Patient_Age]]&lt;=18,"0-18",IF(MediCare_Data[[#This Row],[Patient_Age]]&lt;=35,"19-35",IF(MediCare_Data[[#This Row],[Patient_Age]]&lt;=60,"36-60","60+")))</f>
        <v>0-18</v>
      </c>
      <c r="G532" t="s">
        <v>43</v>
      </c>
      <c r="H532" t="s">
        <v>51</v>
      </c>
      <c r="I532" s="2">
        <v>61</v>
      </c>
      <c r="J532" s="11">
        <v>5175</v>
      </c>
      <c r="K532" s="3">
        <v>10.172416699999999</v>
      </c>
      <c r="L532" s="3">
        <f t="shared" si="8"/>
        <v>0.10172416699999999</v>
      </c>
      <c r="M532">
        <v>68</v>
      </c>
      <c r="N532" s="6">
        <f>MediCare_Data[[#This Row],[Average_Wait_Time (mins)]]/1440</f>
        <v>4.7222222222222221E-2</v>
      </c>
      <c r="O532" s="2">
        <v>2</v>
      </c>
      <c r="P532" s="10">
        <v>8189</v>
      </c>
      <c r="Q532" s="17" t="str">
        <f>IF(AND(MediCare_Data[[#This Row],[Patient_Gender]]="Male", MediCare_Data[[#This Row],[Treatment_Type]]="Maternity"), "Gender-Treatment Mismatch", "Fine")</f>
        <v>Fine</v>
      </c>
      <c r="R532" s="10">
        <f>MediCare_Data[[#This Row],[Revenue_Generated]]-MediCare_Data[[#This Row],[Average_Treatment_Cost]]</f>
        <v>3014</v>
      </c>
      <c r="S532" s="3">
        <f>(MediCare_Data[[#This Row],[Profit]]/MediCare_Data[[#This Row],[Revenue_Generated]])</f>
        <v>0.36805470753449748</v>
      </c>
    </row>
    <row r="533" spans="1:19" x14ac:dyDescent="0.25">
      <c r="A533" t="s">
        <v>580</v>
      </c>
      <c r="B533" t="s">
        <v>49</v>
      </c>
      <c r="C533" t="s">
        <v>20</v>
      </c>
      <c r="D533" t="s">
        <v>32</v>
      </c>
      <c r="E533">
        <v>4</v>
      </c>
      <c r="F533" t="str">
        <f>IF(MediCare_Data[[#This Row],[Patient_Age]]&lt;=18,"0-18",IF(MediCare_Data[[#This Row],[Patient_Age]]&lt;=35,"19-35",IF(MediCare_Data[[#This Row],[Patient_Age]]&lt;=60,"36-60","60+")))</f>
        <v>0-18</v>
      </c>
      <c r="G533" t="s">
        <v>22</v>
      </c>
      <c r="H533" t="s">
        <v>33</v>
      </c>
      <c r="I533" s="2">
        <v>99</v>
      </c>
      <c r="J533" s="11">
        <v>2433</v>
      </c>
      <c r="K533" s="3">
        <v>8.294127069</v>
      </c>
      <c r="L533" s="3">
        <f t="shared" si="8"/>
        <v>8.2941270689999999E-2</v>
      </c>
      <c r="M533">
        <v>40</v>
      </c>
      <c r="N533" s="6">
        <f>MediCare_Data[[#This Row],[Average_Wait_Time (mins)]]/1440</f>
        <v>2.7777777777777776E-2</v>
      </c>
      <c r="O533" s="2">
        <v>3</v>
      </c>
      <c r="P533" s="10">
        <v>15541</v>
      </c>
      <c r="Q533" s="17" t="str">
        <f>IF(AND(MediCare_Data[[#This Row],[Patient_Gender]]="Male", MediCare_Data[[#This Row],[Treatment_Type]]="Maternity"), "Gender-Treatment Mismatch", "Fine")</f>
        <v>Fine</v>
      </c>
      <c r="R533" s="10">
        <f>MediCare_Data[[#This Row],[Revenue_Generated]]-MediCare_Data[[#This Row],[Average_Treatment_Cost]]</f>
        <v>13108</v>
      </c>
      <c r="S533" s="3">
        <f>(MediCare_Data[[#This Row],[Profit]]/MediCare_Data[[#This Row],[Revenue_Generated]])</f>
        <v>0.84344636767260794</v>
      </c>
    </row>
    <row r="534" spans="1:19" x14ac:dyDescent="0.25">
      <c r="A534" t="s">
        <v>581</v>
      </c>
      <c r="B534" t="s">
        <v>39</v>
      </c>
      <c r="C534" t="s">
        <v>36</v>
      </c>
      <c r="D534" t="s">
        <v>32</v>
      </c>
      <c r="E534">
        <v>74</v>
      </c>
      <c r="F534" t="str">
        <f>IF(MediCare_Data[[#This Row],[Patient_Age]]&lt;=18,"0-18",IF(MediCare_Data[[#This Row],[Patient_Age]]&lt;=35,"19-35",IF(MediCare_Data[[#This Row],[Patient_Age]]&lt;=60,"36-60","60+")))</f>
        <v>60+</v>
      </c>
      <c r="G534" t="s">
        <v>22</v>
      </c>
      <c r="H534" t="s">
        <v>18</v>
      </c>
      <c r="I534" s="2">
        <v>84</v>
      </c>
      <c r="J534" s="11">
        <v>1880</v>
      </c>
      <c r="K534" s="3">
        <v>11.604301299999999</v>
      </c>
      <c r="L534" s="3">
        <f t="shared" si="8"/>
        <v>0.116043013</v>
      </c>
      <c r="M534">
        <v>179</v>
      </c>
      <c r="N534" s="6">
        <f>MediCare_Data[[#This Row],[Average_Wait_Time (mins)]]/1440</f>
        <v>0.12430555555555556</v>
      </c>
      <c r="O534" s="2">
        <v>4</v>
      </c>
      <c r="P534" s="10">
        <v>44646</v>
      </c>
      <c r="Q534" s="17" t="str">
        <f>IF(AND(MediCare_Data[[#This Row],[Patient_Gender]]="Male", MediCare_Data[[#This Row],[Treatment_Type]]="Maternity"), "Gender-Treatment Mismatch", "Fine")</f>
        <v>Fine</v>
      </c>
      <c r="R534" s="10">
        <f>MediCare_Data[[#This Row],[Revenue_Generated]]-MediCare_Data[[#This Row],[Average_Treatment_Cost]]</f>
        <v>42766</v>
      </c>
      <c r="S534" s="3">
        <f>(MediCare_Data[[#This Row],[Profit]]/MediCare_Data[[#This Row],[Revenue_Generated]])</f>
        <v>0.95789096447610089</v>
      </c>
    </row>
    <row r="535" spans="1:19" x14ac:dyDescent="0.25">
      <c r="A535" t="s">
        <v>582</v>
      </c>
      <c r="B535" t="s">
        <v>45</v>
      </c>
      <c r="C535" t="s">
        <v>20</v>
      </c>
      <c r="D535" t="s">
        <v>16</v>
      </c>
      <c r="E535">
        <v>26</v>
      </c>
      <c r="F535" t="str">
        <f>IF(MediCare_Data[[#This Row],[Patient_Age]]&lt;=18,"0-18",IF(MediCare_Data[[#This Row],[Patient_Age]]&lt;=35,"19-35",IF(MediCare_Data[[#This Row],[Patient_Age]]&lt;=60,"36-60","60+")))</f>
        <v>19-35</v>
      </c>
      <c r="G535" t="s">
        <v>22</v>
      </c>
      <c r="H535" t="s">
        <v>37</v>
      </c>
      <c r="I535" s="2">
        <v>82</v>
      </c>
      <c r="J535" s="11">
        <v>1790</v>
      </c>
      <c r="K535" s="3">
        <v>20.135030109999999</v>
      </c>
      <c r="L535" s="3">
        <f t="shared" si="8"/>
        <v>0.20135030109999999</v>
      </c>
      <c r="M535">
        <v>41</v>
      </c>
      <c r="N535" s="6">
        <f>MediCare_Data[[#This Row],[Average_Wait_Time (mins)]]/1440</f>
        <v>2.8472222222222222E-2</v>
      </c>
      <c r="O535" s="2">
        <v>1</v>
      </c>
      <c r="P535" s="10">
        <v>12087</v>
      </c>
      <c r="Q535" s="17" t="str">
        <f>IF(AND(MediCare_Data[[#This Row],[Patient_Gender]]="Male", MediCare_Data[[#This Row],[Treatment_Type]]="Maternity"), "Gender-Treatment Mismatch", "Fine")</f>
        <v>Gender-Treatment Mismatch</v>
      </c>
      <c r="R535" s="10">
        <f>MediCare_Data[[#This Row],[Revenue_Generated]]-MediCare_Data[[#This Row],[Average_Treatment_Cost]]</f>
        <v>10297</v>
      </c>
      <c r="S535" s="3">
        <f>(MediCare_Data[[#This Row],[Profit]]/MediCare_Data[[#This Row],[Revenue_Generated]])</f>
        <v>0.85190700752874993</v>
      </c>
    </row>
    <row r="536" spans="1:19" x14ac:dyDescent="0.25">
      <c r="A536" t="s">
        <v>583</v>
      </c>
      <c r="B536" t="s">
        <v>53</v>
      </c>
      <c r="C536" t="s">
        <v>46</v>
      </c>
      <c r="D536" t="s">
        <v>16</v>
      </c>
      <c r="E536">
        <v>4</v>
      </c>
      <c r="F536" t="str">
        <f>IF(MediCare_Data[[#This Row],[Patient_Age]]&lt;=18,"0-18",IF(MediCare_Data[[#This Row],[Patient_Age]]&lt;=35,"19-35",IF(MediCare_Data[[#This Row],[Patient_Age]]&lt;=60,"36-60","60+")))</f>
        <v>0-18</v>
      </c>
      <c r="G536" t="s">
        <v>17</v>
      </c>
      <c r="H536" t="s">
        <v>23</v>
      </c>
      <c r="I536" s="2">
        <v>82</v>
      </c>
      <c r="J536" s="11">
        <v>2140</v>
      </c>
      <c r="K536" s="3">
        <v>15.38771719</v>
      </c>
      <c r="L536" s="3">
        <f t="shared" si="8"/>
        <v>0.1538771719</v>
      </c>
      <c r="M536">
        <v>171</v>
      </c>
      <c r="N536" s="6">
        <f>MediCare_Data[[#This Row],[Average_Wait_Time (mins)]]/1440</f>
        <v>0.11874999999999999</v>
      </c>
      <c r="O536" s="2">
        <v>4</v>
      </c>
      <c r="P536" s="10">
        <v>47435</v>
      </c>
      <c r="Q536" s="17" t="str">
        <f>IF(AND(MediCare_Data[[#This Row],[Patient_Gender]]="Male", MediCare_Data[[#This Row],[Treatment_Type]]="Maternity"), "Gender-Treatment Mismatch", "Fine")</f>
        <v>Fine</v>
      </c>
      <c r="R536" s="10">
        <f>MediCare_Data[[#This Row],[Revenue_Generated]]-MediCare_Data[[#This Row],[Average_Treatment_Cost]]</f>
        <v>45295</v>
      </c>
      <c r="S536" s="3">
        <f>(MediCare_Data[[#This Row],[Profit]]/MediCare_Data[[#This Row],[Revenue_Generated]])</f>
        <v>0.95488563297143458</v>
      </c>
    </row>
    <row r="537" spans="1:19" x14ac:dyDescent="0.25">
      <c r="A537" t="s">
        <v>584</v>
      </c>
      <c r="B537" t="s">
        <v>64</v>
      </c>
      <c r="C537" t="s">
        <v>20</v>
      </c>
      <c r="D537" t="s">
        <v>21</v>
      </c>
      <c r="E537">
        <v>47</v>
      </c>
      <c r="F537" t="str">
        <f>IF(MediCare_Data[[#This Row],[Patient_Age]]&lt;=18,"0-18",IF(MediCare_Data[[#This Row],[Patient_Age]]&lt;=35,"19-35",IF(MediCare_Data[[#This Row],[Patient_Age]]&lt;=60,"36-60","60+")))</f>
        <v>36-60</v>
      </c>
      <c r="G537" t="s">
        <v>43</v>
      </c>
      <c r="H537" t="s">
        <v>47</v>
      </c>
      <c r="I537" s="2">
        <v>92</v>
      </c>
      <c r="J537" s="11">
        <v>7990</v>
      </c>
      <c r="K537" s="3">
        <v>9.0976254829999998</v>
      </c>
      <c r="L537" s="3">
        <f t="shared" si="8"/>
        <v>9.0976254829999992E-2</v>
      </c>
      <c r="M537">
        <v>18</v>
      </c>
      <c r="N537" s="6">
        <f>MediCare_Data[[#This Row],[Average_Wait_Time (mins)]]/1440</f>
        <v>1.2500000000000001E-2</v>
      </c>
      <c r="O537" s="2">
        <v>1</v>
      </c>
      <c r="P537" s="10">
        <v>3776</v>
      </c>
      <c r="Q537" s="17" t="str">
        <f>IF(AND(MediCare_Data[[#This Row],[Patient_Gender]]="Male", MediCare_Data[[#This Row],[Treatment_Type]]="Maternity"), "Gender-Treatment Mismatch", "Fine")</f>
        <v>Fine</v>
      </c>
      <c r="R537" s="10">
        <f>MediCare_Data[[#This Row],[Revenue_Generated]]-MediCare_Data[[#This Row],[Average_Treatment_Cost]]</f>
        <v>-4214</v>
      </c>
      <c r="S537" s="3">
        <f>(MediCare_Data[[#This Row],[Profit]]/MediCare_Data[[#This Row],[Revenue_Generated]])</f>
        <v>-1.1159957627118644</v>
      </c>
    </row>
    <row r="538" spans="1:19" x14ac:dyDescent="0.25">
      <c r="A538" t="s">
        <v>585</v>
      </c>
      <c r="B538" t="s">
        <v>39</v>
      </c>
      <c r="C538" t="s">
        <v>20</v>
      </c>
      <c r="D538" t="s">
        <v>21</v>
      </c>
      <c r="E538">
        <v>83</v>
      </c>
      <c r="F538" t="str">
        <f>IF(MediCare_Data[[#This Row],[Patient_Age]]&lt;=18,"0-18",IF(MediCare_Data[[#This Row],[Patient_Age]]&lt;=35,"19-35",IF(MediCare_Data[[#This Row],[Patient_Age]]&lt;=60,"36-60","60+")))</f>
        <v>60+</v>
      </c>
      <c r="G538" t="s">
        <v>43</v>
      </c>
      <c r="H538" t="s">
        <v>47</v>
      </c>
      <c r="I538" s="2">
        <v>86</v>
      </c>
      <c r="J538" s="11">
        <v>9679</v>
      </c>
      <c r="K538" s="3">
        <v>22.556601560000001</v>
      </c>
      <c r="L538" s="3">
        <f t="shared" si="8"/>
        <v>0.2255660156</v>
      </c>
      <c r="M538">
        <v>148</v>
      </c>
      <c r="N538" s="6">
        <f>MediCare_Data[[#This Row],[Average_Wait_Time (mins)]]/1440</f>
        <v>0.10277777777777777</v>
      </c>
      <c r="O538" s="2">
        <v>1</v>
      </c>
      <c r="P538" s="10">
        <v>43079</v>
      </c>
      <c r="Q538" s="17" t="str">
        <f>IF(AND(MediCare_Data[[#This Row],[Patient_Gender]]="Male", MediCare_Data[[#This Row],[Treatment_Type]]="Maternity"), "Gender-Treatment Mismatch", "Fine")</f>
        <v>Fine</v>
      </c>
      <c r="R538" s="10">
        <f>MediCare_Data[[#This Row],[Revenue_Generated]]-MediCare_Data[[#This Row],[Average_Treatment_Cost]]</f>
        <v>33400</v>
      </c>
      <c r="S538" s="3">
        <f>(MediCare_Data[[#This Row],[Profit]]/MediCare_Data[[#This Row],[Revenue_Generated]])</f>
        <v>0.77531976136864833</v>
      </c>
    </row>
    <row r="539" spans="1:19" x14ac:dyDescent="0.25">
      <c r="A539" t="s">
        <v>586</v>
      </c>
      <c r="B539" t="s">
        <v>82</v>
      </c>
      <c r="C539" t="s">
        <v>36</v>
      </c>
      <c r="D539" t="s">
        <v>16</v>
      </c>
      <c r="E539">
        <v>46</v>
      </c>
      <c r="F539" t="str">
        <f>IF(MediCare_Data[[#This Row],[Patient_Age]]&lt;=18,"0-18",IF(MediCare_Data[[#This Row],[Patient_Age]]&lt;=35,"19-35",IF(MediCare_Data[[#This Row],[Patient_Age]]&lt;=60,"36-60","60+")))</f>
        <v>36-60</v>
      </c>
      <c r="G539" t="s">
        <v>22</v>
      </c>
      <c r="H539" t="s">
        <v>18</v>
      </c>
      <c r="I539" s="2">
        <v>61</v>
      </c>
      <c r="J539" s="11">
        <v>1718</v>
      </c>
      <c r="K539" s="3">
        <v>22.5916371</v>
      </c>
      <c r="L539" s="3">
        <f t="shared" si="8"/>
        <v>0.225916371</v>
      </c>
      <c r="M539">
        <v>19</v>
      </c>
      <c r="N539" s="6">
        <f>MediCare_Data[[#This Row],[Average_Wait_Time (mins)]]/1440</f>
        <v>1.3194444444444444E-2</v>
      </c>
      <c r="O539" s="2">
        <v>4</v>
      </c>
      <c r="P539" s="10">
        <v>28564</v>
      </c>
      <c r="Q539" s="17" t="str">
        <f>IF(AND(MediCare_Data[[#This Row],[Patient_Gender]]="Male", MediCare_Data[[#This Row],[Treatment_Type]]="Maternity"), "Gender-Treatment Mismatch", "Fine")</f>
        <v>Fine</v>
      </c>
      <c r="R539" s="10">
        <f>MediCare_Data[[#This Row],[Revenue_Generated]]-MediCare_Data[[#This Row],[Average_Treatment_Cost]]</f>
        <v>26846</v>
      </c>
      <c r="S539" s="3">
        <f>(MediCare_Data[[#This Row],[Profit]]/MediCare_Data[[#This Row],[Revenue_Generated]])</f>
        <v>0.93985436213415485</v>
      </c>
    </row>
    <row r="540" spans="1:19" x14ac:dyDescent="0.25">
      <c r="A540" t="s">
        <v>587</v>
      </c>
      <c r="B540" t="s">
        <v>56</v>
      </c>
      <c r="C540" t="s">
        <v>46</v>
      </c>
      <c r="D540" t="s">
        <v>16</v>
      </c>
      <c r="E540">
        <v>81</v>
      </c>
      <c r="F540" t="str">
        <f>IF(MediCare_Data[[#This Row],[Patient_Age]]&lt;=18,"0-18",IF(MediCare_Data[[#This Row],[Patient_Age]]&lt;=35,"19-35",IF(MediCare_Data[[#This Row],[Patient_Age]]&lt;=60,"36-60","60+")))</f>
        <v>60+</v>
      </c>
      <c r="G540" t="s">
        <v>22</v>
      </c>
      <c r="H540" t="s">
        <v>47</v>
      </c>
      <c r="I540" s="2">
        <v>52</v>
      </c>
      <c r="J540" s="11">
        <v>5516</v>
      </c>
      <c r="K540" s="3">
        <v>22.411568500000001</v>
      </c>
      <c r="L540" s="3">
        <f t="shared" si="8"/>
        <v>0.22411568500000001</v>
      </c>
      <c r="M540">
        <v>26</v>
      </c>
      <c r="N540" s="6">
        <f>MediCare_Data[[#This Row],[Average_Wait_Time (mins)]]/1440</f>
        <v>1.8055555555555554E-2</v>
      </c>
      <c r="O540" s="2">
        <v>4</v>
      </c>
      <c r="P540" s="10">
        <v>29835</v>
      </c>
      <c r="Q540" s="17" t="str">
        <f>IF(AND(MediCare_Data[[#This Row],[Patient_Gender]]="Male", MediCare_Data[[#This Row],[Treatment_Type]]="Maternity"), "Gender-Treatment Mismatch", "Fine")</f>
        <v>Fine</v>
      </c>
      <c r="R540" s="10">
        <f>MediCare_Data[[#This Row],[Revenue_Generated]]-MediCare_Data[[#This Row],[Average_Treatment_Cost]]</f>
        <v>24319</v>
      </c>
      <c r="S540" s="3">
        <f>(MediCare_Data[[#This Row],[Profit]]/MediCare_Data[[#This Row],[Revenue_Generated]])</f>
        <v>0.81511647394000331</v>
      </c>
    </row>
    <row r="541" spans="1:19" x14ac:dyDescent="0.25">
      <c r="A541" t="s">
        <v>588</v>
      </c>
      <c r="B541" t="s">
        <v>82</v>
      </c>
      <c r="C541" t="s">
        <v>31</v>
      </c>
      <c r="D541" t="s">
        <v>16</v>
      </c>
      <c r="E541">
        <v>13</v>
      </c>
      <c r="F541" t="str">
        <f>IF(MediCare_Data[[#This Row],[Patient_Age]]&lt;=18,"0-18",IF(MediCare_Data[[#This Row],[Patient_Age]]&lt;=35,"19-35",IF(MediCare_Data[[#This Row],[Patient_Age]]&lt;=60,"36-60","60+")))</f>
        <v>0-18</v>
      </c>
      <c r="G541" t="s">
        <v>26</v>
      </c>
      <c r="H541" t="s">
        <v>51</v>
      </c>
      <c r="I541" s="2">
        <v>50</v>
      </c>
      <c r="J541" s="11">
        <v>7381</v>
      </c>
      <c r="K541" s="3">
        <v>9.7759242279999992</v>
      </c>
      <c r="L541" s="3">
        <f t="shared" si="8"/>
        <v>9.7759242279999992E-2</v>
      </c>
      <c r="M541">
        <v>77</v>
      </c>
      <c r="N541" s="6">
        <f>MediCare_Data[[#This Row],[Average_Wait_Time (mins)]]/1440</f>
        <v>5.347222222222222E-2</v>
      </c>
      <c r="O541" s="2">
        <v>1</v>
      </c>
      <c r="P541" s="10">
        <v>8697</v>
      </c>
      <c r="Q541" s="17" t="str">
        <f>IF(AND(MediCare_Data[[#This Row],[Patient_Gender]]="Male", MediCare_Data[[#This Row],[Treatment_Type]]="Maternity"), "Gender-Treatment Mismatch", "Fine")</f>
        <v>Fine</v>
      </c>
      <c r="R541" s="10">
        <f>MediCare_Data[[#This Row],[Revenue_Generated]]-MediCare_Data[[#This Row],[Average_Treatment_Cost]]</f>
        <v>1316</v>
      </c>
      <c r="S541" s="3">
        <f>(MediCare_Data[[#This Row],[Profit]]/MediCare_Data[[#This Row],[Revenue_Generated]])</f>
        <v>0.15131654593538002</v>
      </c>
    </row>
    <row r="542" spans="1:19" x14ac:dyDescent="0.25">
      <c r="A542" t="s">
        <v>589</v>
      </c>
      <c r="B542" t="s">
        <v>28</v>
      </c>
      <c r="C542" t="s">
        <v>42</v>
      </c>
      <c r="D542" t="s">
        <v>16</v>
      </c>
      <c r="E542">
        <v>38</v>
      </c>
      <c r="F542" t="str">
        <f>IF(MediCare_Data[[#This Row],[Patient_Age]]&lt;=18,"0-18",IF(MediCare_Data[[#This Row],[Patient_Age]]&lt;=35,"19-35",IF(MediCare_Data[[#This Row],[Patient_Age]]&lt;=60,"36-60","60+")))</f>
        <v>36-60</v>
      </c>
      <c r="G542" t="s">
        <v>22</v>
      </c>
      <c r="H542" t="s">
        <v>51</v>
      </c>
      <c r="I542" s="2">
        <v>82</v>
      </c>
      <c r="J542" s="11">
        <v>1454</v>
      </c>
      <c r="K542" s="3">
        <v>14.024786880000001</v>
      </c>
      <c r="L542" s="3">
        <f t="shared" si="8"/>
        <v>0.14024786880000001</v>
      </c>
      <c r="M542">
        <v>57</v>
      </c>
      <c r="N542" s="6">
        <f>MediCare_Data[[#This Row],[Average_Wait_Time (mins)]]/1440</f>
        <v>3.9583333333333331E-2</v>
      </c>
      <c r="O542" s="2">
        <v>2</v>
      </c>
      <c r="P542" s="10">
        <v>15629</v>
      </c>
      <c r="Q542" s="17" t="str">
        <f>IF(AND(MediCare_Data[[#This Row],[Patient_Gender]]="Male", MediCare_Data[[#This Row],[Treatment_Type]]="Maternity"), "Gender-Treatment Mismatch", "Fine")</f>
        <v>Fine</v>
      </c>
      <c r="R542" s="10">
        <f>MediCare_Data[[#This Row],[Revenue_Generated]]-MediCare_Data[[#This Row],[Average_Treatment_Cost]]</f>
        <v>14175</v>
      </c>
      <c r="S542" s="3">
        <f>(MediCare_Data[[#This Row],[Profit]]/MediCare_Data[[#This Row],[Revenue_Generated]])</f>
        <v>0.90696781623904277</v>
      </c>
    </row>
    <row r="543" spans="1:19" x14ac:dyDescent="0.25">
      <c r="A543" t="s">
        <v>590</v>
      </c>
      <c r="B543" t="s">
        <v>61</v>
      </c>
      <c r="C543" t="s">
        <v>46</v>
      </c>
      <c r="D543" t="s">
        <v>32</v>
      </c>
      <c r="E543">
        <v>10</v>
      </c>
      <c r="F543" t="str">
        <f>IF(MediCare_Data[[#This Row],[Patient_Age]]&lt;=18,"0-18",IF(MediCare_Data[[#This Row],[Patient_Age]]&lt;=35,"19-35",IF(MediCare_Data[[#This Row],[Patient_Age]]&lt;=60,"36-60","60+")))</f>
        <v>0-18</v>
      </c>
      <c r="G543" t="s">
        <v>43</v>
      </c>
      <c r="H543" t="s">
        <v>18</v>
      </c>
      <c r="I543" s="2">
        <v>89</v>
      </c>
      <c r="J543" s="11">
        <v>9675</v>
      </c>
      <c r="K543" s="3">
        <v>24.699793119999999</v>
      </c>
      <c r="L543" s="3">
        <f t="shared" si="8"/>
        <v>0.24699793119999999</v>
      </c>
      <c r="M543">
        <v>120</v>
      </c>
      <c r="N543" s="6">
        <f>MediCare_Data[[#This Row],[Average_Wait_Time (mins)]]/1440</f>
        <v>8.3333333333333329E-2</v>
      </c>
      <c r="O543" s="2">
        <v>2</v>
      </c>
      <c r="P543" s="10">
        <v>9386</v>
      </c>
      <c r="Q543" s="17" t="str">
        <f>IF(AND(MediCare_Data[[#This Row],[Patient_Gender]]="Male", MediCare_Data[[#This Row],[Treatment_Type]]="Maternity"), "Gender-Treatment Mismatch", "Fine")</f>
        <v>Fine</v>
      </c>
      <c r="R543" s="10">
        <f>MediCare_Data[[#This Row],[Revenue_Generated]]-MediCare_Data[[#This Row],[Average_Treatment_Cost]]</f>
        <v>-289</v>
      </c>
      <c r="S543" s="3">
        <f>(MediCare_Data[[#This Row],[Profit]]/MediCare_Data[[#This Row],[Revenue_Generated]])</f>
        <v>-3.0790539100788408E-2</v>
      </c>
    </row>
    <row r="544" spans="1:19" x14ac:dyDescent="0.25">
      <c r="A544" t="s">
        <v>591</v>
      </c>
      <c r="B544" t="s">
        <v>14</v>
      </c>
      <c r="C544" t="s">
        <v>42</v>
      </c>
      <c r="D544" t="s">
        <v>32</v>
      </c>
      <c r="E544">
        <v>8</v>
      </c>
      <c r="F544" t="str">
        <f>IF(MediCare_Data[[#This Row],[Patient_Age]]&lt;=18,"0-18",IF(MediCare_Data[[#This Row],[Patient_Age]]&lt;=35,"19-35",IF(MediCare_Data[[#This Row],[Patient_Age]]&lt;=60,"36-60","60+")))</f>
        <v>0-18</v>
      </c>
      <c r="G544" t="s">
        <v>26</v>
      </c>
      <c r="H544" t="s">
        <v>23</v>
      </c>
      <c r="I544" s="2">
        <v>59</v>
      </c>
      <c r="J544" s="11">
        <v>7791</v>
      </c>
      <c r="K544" s="3">
        <v>20.440249529999999</v>
      </c>
      <c r="L544" s="3">
        <f t="shared" si="8"/>
        <v>0.20440249529999999</v>
      </c>
      <c r="M544">
        <v>162</v>
      </c>
      <c r="N544" s="6">
        <f>MediCare_Data[[#This Row],[Average_Wait_Time (mins)]]/1440</f>
        <v>0.1125</v>
      </c>
      <c r="O544" s="2">
        <v>4</v>
      </c>
      <c r="P544" s="10">
        <v>18046</v>
      </c>
      <c r="Q544" s="17" t="str">
        <f>IF(AND(MediCare_Data[[#This Row],[Patient_Gender]]="Male", MediCare_Data[[#This Row],[Treatment_Type]]="Maternity"), "Gender-Treatment Mismatch", "Fine")</f>
        <v>Fine</v>
      </c>
      <c r="R544" s="10">
        <f>MediCare_Data[[#This Row],[Revenue_Generated]]-MediCare_Data[[#This Row],[Average_Treatment_Cost]]</f>
        <v>10255</v>
      </c>
      <c r="S544" s="3">
        <f>(MediCare_Data[[#This Row],[Profit]]/MediCare_Data[[#This Row],[Revenue_Generated]])</f>
        <v>0.56826997672614432</v>
      </c>
    </row>
    <row r="545" spans="1:19" x14ac:dyDescent="0.25">
      <c r="A545" t="s">
        <v>592</v>
      </c>
      <c r="B545" t="s">
        <v>25</v>
      </c>
      <c r="C545" t="s">
        <v>36</v>
      </c>
      <c r="D545" t="s">
        <v>32</v>
      </c>
      <c r="E545">
        <v>4</v>
      </c>
      <c r="F545" t="str">
        <f>IF(MediCare_Data[[#This Row],[Patient_Age]]&lt;=18,"0-18",IF(MediCare_Data[[#This Row],[Patient_Age]]&lt;=35,"19-35",IF(MediCare_Data[[#This Row],[Patient_Age]]&lt;=60,"36-60","60+")))</f>
        <v>0-18</v>
      </c>
      <c r="G545" t="s">
        <v>17</v>
      </c>
      <c r="H545" t="s">
        <v>51</v>
      </c>
      <c r="I545" s="2">
        <v>92</v>
      </c>
      <c r="J545" s="11">
        <v>1474</v>
      </c>
      <c r="K545" s="3">
        <v>5.5433484249999996</v>
      </c>
      <c r="L545" s="3">
        <f t="shared" si="8"/>
        <v>5.5433484249999998E-2</v>
      </c>
      <c r="M545">
        <v>132</v>
      </c>
      <c r="N545" s="6">
        <f>MediCare_Data[[#This Row],[Average_Wait_Time (mins)]]/1440</f>
        <v>9.166666666666666E-2</v>
      </c>
      <c r="O545" s="2">
        <v>3</v>
      </c>
      <c r="P545" s="10">
        <v>9044</v>
      </c>
      <c r="Q545" s="17" t="str">
        <f>IF(AND(MediCare_Data[[#This Row],[Patient_Gender]]="Male", MediCare_Data[[#This Row],[Treatment_Type]]="Maternity"), "Gender-Treatment Mismatch", "Fine")</f>
        <v>Fine</v>
      </c>
      <c r="R545" s="10">
        <f>MediCare_Data[[#This Row],[Revenue_Generated]]-MediCare_Data[[#This Row],[Average_Treatment_Cost]]</f>
        <v>7570</v>
      </c>
      <c r="S545" s="3">
        <f>(MediCare_Data[[#This Row],[Profit]]/MediCare_Data[[#This Row],[Revenue_Generated]])</f>
        <v>0.83701901813356927</v>
      </c>
    </row>
    <row r="546" spans="1:19" x14ac:dyDescent="0.25">
      <c r="A546" t="s">
        <v>593</v>
      </c>
      <c r="B546" t="s">
        <v>28</v>
      </c>
      <c r="C546" t="s">
        <v>46</v>
      </c>
      <c r="D546" t="s">
        <v>21</v>
      </c>
      <c r="E546">
        <v>27</v>
      </c>
      <c r="F546" t="str">
        <f>IF(MediCare_Data[[#This Row],[Patient_Age]]&lt;=18,"0-18",IF(MediCare_Data[[#This Row],[Patient_Age]]&lt;=35,"19-35",IF(MediCare_Data[[#This Row],[Patient_Age]]&lt;=60,"36-60","60+")))</f>
        <v>19-35</v>
      </c>
      <c r="G546" t="s">
        <v>17</v>
      </c>
      <c r="H546" t="s">
        <v>23</v>
      </c>
      <c r="I546" s="2">
        <v>93</v>
      </c>
      <c r="J546" s="11">
        <v>4633</v>
      </c>
      <c r="K546" s="3">
        <v>6.3040918250000004</v>
      </c>
      <c r="L546" s="3">
        <f t="shared" si="8"/>
        <v>6.3040918250000008E-2</v>
      </c>
      <c r="M546">
        <v>158</v>
      </c>
      <c r="N546" s="6">
        <f>MediCare_Data[[#This Row],[Average_Wait_Time (mins)]]/1440</f>
        <v>0.10972222222222222</v>
      </c>
      <c r="O546" s="2">
        <v>2</v>
      </c>
      <c r="P546" s="10">
        <v>10615</v>
      </c>
      <c r="Q546" s="17" t="str">
        <f>IF(AND(MediCare_Data[[#This Row],[Patient_Gender]]="Male", MediCare_Data[[#This Row],[Treatment_Type]]="Maternity"), "Gender-Treatment Mismatch", "Fine")</f>
        <v>Fine</v>
      </c>
      <c r="R546" s="10">
        <f>MediCare_Data[[#This Row],[Revenue_Generated]]-MediCare_Data[[#This Row],[Average_Treatment_Cost]]</f>
        <v>5982</v>
      </c>
      <c r="S546" s="3">
        <f>(MediCare_Data[[#This Row],[Profit]]/MediCare_Data[[#This Row],[Revenue_Generated]])</f>
        <v>0.56354215732454072</v>
      </c>
    </row>
    <row r="547" spans="1:19" x14ac:dyDescent="0.25">
      <c r="A547" t="s">
        <v>594</v>
      </c>
      <c r="B547" t="s">
        <v>58</v>
      </c>
      <c r="C547" t="s">
        <v>54</v>
      </c>
      <c r="D547" t="s">
        <v>16</v>
      </c>
      <c r="E547">
        <v>73</v>
      </c>
      <c r="F547" t="str">
        <f>IF(MediCare_Data[[#This Row],[Patient_Age]]&lt;=18,"0-18",IF(MediCare_Data[[#This Row],[Patient_Age]]&lt;=35,"19-35",IF(MediCare_Data[[#This Row],[Patient_Age]]&lt;=60,"36-60","60+")))</f>
        <v>60+</v>
      </c>
      <c r="G547" t="s">
        <v>43</v>
      </c>
      <c r="H547" t="s">
        <v>23</v>
      </c>
      <c r="I547" s="2">
        <v>78</v>
      </c>
      <c r="J547" s="11">
        <v>5870</v>
      </c>
      <c r="K547" s="3">
        <v>14.27862754</v>
      </c>
      <c r="L547" s="3">
        <f t="shared" si="8"/>
        <v>0.1427862754</v>
      </c>
      <c r="M547">
        <v>110</v>
      </c>
      <c r="N547" s="6">
        <f>MediCare_Data[[#This Row],[Average_Wait_Time (mins)]]/1440</f>
        <v>7.6388888888888895E-2</v>
      </c>
      <c r="O547" s="2">
        <v>4</v>
      </c>
      <c r="P547" s="10">
        <v>48802</v>
      </c>
      <c r="Q547" s="17" t="str">
        <f>IF(AND(MediCare_Data[[#This Row],[Patient_Gender]]="Male", MediCare_Data[[#This Row],[Treatment_Type]]="Maternity"), "Gender-Treatment Mismatch", "Fine")</f>
        <v>Fine</v>
      </c>
      <c r="R547" s="10">
        <f>MediCare_Data[[#This Row],[Revenue_Generated]]-MediCare_Data[[#This Row],[Average_Treatment_Cost]]</f>
        <v>42932</v>
      </c>
      <c r="S547" s="3">
        <f>(MediCare_Data[[#This Row],[Profit]]/MediCare_Data[[#This Row],[Revenue_Generated]])</f>
        <v>0.87971804434244494</v>
      </c>
    </row>
    <row r="548" spans="1:19" x14ac:dyDescent="0.25">
      <c r="A548" t="s">
        <v>595</v>
      </c>
      <c r="B548" t="s">
        <v>35</v>
      </c>
      <c r="C548" t="s">
        <v>29</v>
      </c>
      <c r="D548" t="s">
        <v>32</v>
      </c>
      <c r="E548">
        <v>77</v>
      </c>
      <c r="F548" t="str">
        <f>IF(MediCare_Data[[#This Row],[Patient_Age]]&lt;=18,"0-18",IF(MediCare_Data[[#This Row],[Patient_Age]]&lt;=35,"19-35",IF(MediCare_Data[[#This Row],[Patient_Age]]&lt;=60,"36-60","60+")))</f>
        <v>60+</v>
      </c>
      <c r="G548" t="s">
        <v>26</v>
      </c>
      <c r="H548" t="s">
        <v>47</v>
      </c>
      <c r="I548" s="2">
        <v>62</v>
      </c>
      <c r="J548" s="11">
        <v>4472</v>
      </c>
      <c r="K548" s="3">
        <v>23.18440412</v>
      </c>
      <c r="L548" s="3">
        <f t="shared" si="8"/>
        <v>0.23184404119999999</v>
      </c>
      <c r="M548">
        <v>111</v>
      </c>
      <c r="N548" s="6">
        <f>MediCare_Data[[#This Row],[Average_Wait_Time (mins)]]/1440</f>
        <v>7.7083333333333337E-2</v>
      </c>
      <c r="O548" s="2">
        <v>2</v>
      </c>
      <c r="P548" s="10">
        <v>6060</v>
      </c>
      <c r="Q548" s="17" t="str">
        <f>IF(AND(MediCare_Data[[#This Row],[Patient_Gender]]="Male", MediCare_Data[[#This Row],[Treatment_Type]]="Maternity"), "Gender-Treatment Mismatch", "Fine")</f>
        <v>Fine</v>
      </c>
      <c r="R548" s="10">
        <f>MediCare_Data[[#This Row],[Revenue_Generated]]-MediCare_Data[[#This Row],[Average_Treatment_Cost]]</f>
        <v>1588</v>
      </c>
      <c r="S548" s="3">
        <f>(MediCare_Data[[#This Row],[Profit]]/MediCare_Data[[#This Row],[Revenue_Generated]])</f>
        <v>0.26204620462046202</v>
      </c>
    </row>
    <row r="549" spans="1:19" x14ac:dyDescent="0.25">
      <c r="A549" t="s">
        <v>596</v>
      </c>
      <c r="B549" t="s">
        <v>61</v>
      </c>
      <c r="C549" t="s">
        <v>54</v>
      </c>
      <c r="D549" t="s">
        <v>16</v>
      </c>
      <c r="E549">
        <v>6</v>
      </c>
      <c r="F549" t="str">
        <f>IF(MediCare_Data[[#This Row],[Patient_Age]]&lt;=18,"0-18",IF(MediCare_Data[[#This Row],[Patient_Age]]&lt;=35,"19-35",IF(MediCare_Data[[#This Row],[Patient_Age]]&lt;=60,"36-60","60+")))</f>
        <v>0-18</v>
      </c>
      <c r="G549" t="s">
        <v>22</v>
      </c>
      <c r="H549" t="s">
        <v>33</v>
      </c>
      <c r="I549" s="2">
        <v>61</v>
      </c>
      <c r="J549" s="11">
        <v>5795</v>
      </c>
      <c r="K549" s="3">
        <v>15.774035960000001</v>
      </c>
      <c r="L549" s="3">
        <f t="shared" si="8"/>
        <v>0.15774035960000002</v>
      </c>
      <c r="M549">
        <v>74</v>
      </c>
      <c r="N549" s="6">
        <f>MediCare_Data[[#This Row],[Average_Wait_Time (mins)]]/1440</f>
        <v>5.1388888888888887E-2</v>
      </c>
      <c r="O549" s="2">
        <v>3</v>
      </c>
      <c r="P549" s="10">
        <v>11900</v>
      </c>
      <c r="Q549" s="17" t="str">
        <f>IF(AND(MediCare_Data[[#This Row],[Patient_Gender]]="Male", MediCare_Data[[#This Row],[Treatment_Type]]="Maternity"), "Gender-Treatment Mismatch", "Fine")</f>
        <v>Fine</v>
      </c>
      <c r="R549" s="10">
        <f>MediCare_Data[[#This Row],[Revenue_Generated]]-MediCare_Data[[#This Row],[Average_Treatment_Cost]]</f>
        <v>6105</v>
      </c>
      <c r="S549" s="3">
        <f>(MediCare_Data[[#This Row],[Profit]]/MediCare_Data[[#This Row],[Revenue_Generated]])</f>
        <v>0.51302521008403357</v>
      </c>
    </row>
    <row r="550" spans="1:19" x14ac:dyDescent="0.25">
      <c r="A550" t="s">
        <v>597</v>
      </c>
      <c r="B550" t="s">
        <v>56</v>
      </c>
      <c r="C550" t="s">
        <v>54</v>
      </c>
      <c r="D550" t="s">
        <v>16</v>
      </c>
      <c r="E550">
        <v>39</v>
      </c>
      <c r="F550" t="str">
        <f>IF(MediCare_Data[[#This Row],[Patient_Age]]&lt;=18,"0-18",IF(MediCare_Data[[#This Row],[Patient_Age]]&lt;=35,"19-35",IF(MediCare_Data[[#This Row],[Patient_Age]]&lt;=60,"36-60","60+")))</f>
        <v>36-60</v>
      </c>
      <c r="G550" t="s">
        <v>22</v>
      </c>
      <c r="H550" t="s">
        <v>51</v>
      </c>
      <c r="I550" s="2">
        <v>80</v>
      </c>
      <c r="J550" s="11">
        <v>9605</v>
      </c>
      <c r="K550" s="3">
        <v>14.95625016</v>
      </c>
      <c r="L550" s="3">
        <f t="shared" si="8"/>
        <v>0.14956250160000001</v>
      </c>
      <c r="M550">
        <v>60</v>
      </c>
      <c r="N550" s="6">
        <f>MediCare_Data[[#This Row],[Average_Wait_Time (mins)]]/1440</f>
        <v>4.1666666666666664E-2</v>
      </c>
      <c r="O550" s="2">
        <v>4</v>
      </c>
      <c r="P550" s="10">
        <v>6581</v>
      </c>
      <c r="Q550" s="17" t="str">
        <f>IF(AND(MediCare_Data[[#This Row],[Patient_Gender]]="Male", MediCare_Data[[#This Row],[Treatment_Type]]="Maternity"), "Gender-Treatment Mismatch", "Fine")</f>
        <v>Fine</v>
      </c>
      <c r="R550" s="10">
        <f>MediCare_Data[[#This Row],[Revenue_Generated]]-MediCare_Data[[#This Row],[Average_Treatment_Cost]]</f>
        <v>-3024</v>
      </c>
      <c r="S550" s="3">
        <f>(MediCare_Data[[#This Row],[Profit]]/MediCare_Data[[#This Row],[Revenue_Generated]])</f>
        <v>-0.45950463455401913</v>
      </c>
    </row>
    <row r="551" spans="1:19" x14ac:dyDescent="0.25">
      <c r="A551" t="s">
        <v>598</v>
      </c>
      <c r="B551" t="s">
        <v>28</v>
      </c>
      <c r="C551" t="s">
        <v>36</v>
      </c>
      <c r="D551" t="s">
        <v>21</v>
      </c>
      <c r="E551">
        <v>26</v>
      </c>
      <c r="F551" t="str">
        <f>IF(MediCare_Data[[#This Row],[Patient_Age]]&lt;=18,"0-18",IF(MediCare_Data[[#This Row],[Patient_Age]]&lt;=35,"19-35",IF(MediCare_Data[[#This Row],[Patient_Age]]&lt;=60,"36-60","60+")))</f>
        <v>19-35</v>
      </c>
      <c r="G551" t="s">
        <v>26</v>
      </c>
      <c r="H551" t="s">
        <v>33</v>
      </c>
      <c r="I551" s="2">
        <v>95</v>
      </c>
      <c r="J551" s="11">
        <v>8728</v>
      </c>
      <c r="K551" s="3">
        <v>7.1094739990000004</v>
      </c>
      <c r="L551" s="3">
        <f t="shared" si="8"/>
        <v>7.1094739990000003E-2</v>
      </c>
      <c r="M551">
        <v>45</v>
      </c>
      <c r="N551" s="6">
        <f>MediCare_Data[[#This Row],[Average_Wait_Time (mins)]]/1440</f>
        <v>3.125E-2</v>
      </c>
      <c r="O551" s="2">
        <v>3</v>
      </c>
      <c r="P551" s="10">
        <v>35782</v>
      </c>
      <c r="Q551" s="17" t="str">
        <f>IF(AND(MediCare_Data[[#This Row],[Patient_Gender]]="Male", MediCare_Data[[#This Row],[Treatment_Type]]="Maternity"), "Gender-Treatment Mismatch", "Fine")</f>
        <v>Fine</v>
      </c>
      <c r="R551" s="10">
        <f>MediCare_Data[[#This Row],[Revenue_Generated]]-MediCare_Data[[#This Row],[Average_Treatment_Cost]]</f>
        <v>27054</v>
      </c>
      <c r="S551" s="3">
        <f>(MediCare_Data[[#This Row],[Profit]]/MediCare_Data[[#This Row],[Revenue_Generated]])</f>
        <v>0.75607847521099991</v>
      </c>
    </row>
    <row r="552" spans="1:19" x14ac:dyDescent="0.25">
      <c r="A552" t="s">
        <v>599</v>
      </c>
      <c r="B552" t="s">
        <v>35</v>
      </c>
      <c r="C552" t="s">
        <v>15</v>
      </c>
      <c r="D552" t="s">
        <v>32</v>
      </c>
      <c r="E552">
        <v>49</v>
      </c>
      <c r="F552" t="str">
        <f>IF(MediCare_Data[[#This Row],[Patient_Age]]&lt;=18,"0-18",IF(MediCare_Data[[#This Row],[Patient_Age]]&lt;=35,"19-35",IF(MediCare_Data[[#This Row],[Patient_Age]]&lt;=60,"36-60","60+")))</f>
        <v>36-60</v>
      </c>
      <c r="G552" t="s">
        <v>26</v>
      </c>
      <c r="H552" t="s">
        <v>47</v>
      </c>
      <c r="I552" s="2">
        <v>51</v>
      </c>
      <c r="J552" s="11">
        <v>3520</v>
      </c>
      <c r="K552" s="3">
        <v>18.135602089999999</v>
      </c>
      <c r="L552" s="3">
        <f t="shared" si="8"/>
        <v>0.1813560209</v>
      </c>
      <c r="M552">
        <v>90</v>
      </c>
      <c r="N552" s="6">
        <f>MediCare_Data[[#This Row],[Average_Wait_Time (mins)]]/1440</f>
        <v>6.25E-2</v>
      </c>
      <c r="O552" s="2">
        <v>4</v>
      </c>
      <c r="P552" s="10">
        <v>21173</v>
      </c>
      <c r="Q552" s="17" t="str">
        <f>IF(AND(MediCare_Data[[#This Row],[Patient_Gender]]="Male", MediCare_Data[[#This Row],[Treatment_Type]]="Maternity"), "Gender-Treatment Mismatch", "Fine")</f>
        <v>Fine</v>
      </c>
      <c r="R552" s="10">
        <f>MediCare_Data[[#This Row],[Revenue_Generated]]-MediCare_Data[[#This Row],[Average_Treatment_Cost]]</f>
        <v>17653</v>
      </c>
      <c r="S552" s="3">
        <f>(MediCare_Data[[#This Row],[Profit]]/MediCare_Data[[#This Row],[Revenue_Generated]])</f>
        <v>0.83375053133708021</v>
      </c>
    </row>
    <row r="553" spans="1:19" x14ac:dyDescent="0.25">
      <c r="A553" t="s">
        <v>600</v>
      </c>
      <c r="B553" t="s">
        <v>35</v>
      </c>
      <c r="C553" t="s">
        <v>20</v>
      </c>
      <c r="D553" t="s">
        <v>32</v>
      </c>
      <c r="E553">
        <v>16</v>
      </c>
      <c r="F553" t="str">
        <f>IF(MediCare_Data[[#This Row],[Patient_Age]]&lt;=18,"0-18",IF(MediCare_Data[[#This Row],[Patient_Age]]&lt;=35,"19-35",IF(MediCare_Data[[#This Row],[Patient_Age]]&lt;=60,"36-60","60+")))</f>
        <v>0-18</v>
      </c>
      <c r="G553" t="s">
        <v>17</v>
      </c>
      <c r="H553" t="s">
        <v>18</v>
      </c>
      <c r="I553" s="2">
        <v>99</v>
      </c>
      <c r="J553" s="11">
        <v>9487</v>
      </c>
      <c r="K553" s="3">
        <v>21.442063210000001</v>
      </c>
      <c r="L553" s="3">
        <f t="shared" si="8"/>
        <v>0.21442063210000001</v>
      </c>
      <c r="M553">
        <v>136</v>
      </c>
      <c r="N553" s="6">
        <f>MediCare_Data[[#This Row],[Average_Wait_Time (mins)]]/1440</f>
        <v>9.4444444444444442E-2</v>
      </c>
      <c r="O553" s="2">
        <v>3</v>
      </c>
      <c r="P553" s="10">
        <v>13997</v>
      </c>
      <c r="Q553" s="17" t="str">
        <f>IF(AND(MediCare_Data[[#This Row],[Patient_Gender]]="Male", MediCare_Data[[#This Row],[Treatment_Type]]="Maternity"), "Gender-Treatment Mismatch", "Fine")</f>
        <v>Fine</v>
      </c>
      <c r="R553" s="10">
        <f>MediCare_Data[[#This Row],[Revenue_Generated]]-MediCare_Data[[#This Row],[Average_Treatment_Cost]]</f>
        <v>4510</v>
      </c>
      <c r="S553" s="3">
        <f>(MediCare_Data[[#This Row],[Profit]]/MediCare_Data[[#This Row],[Revenue_Generated]])</f>
        <v>0.32221190255054655</v>
      </c>
    </row>
    <row r="554" spans="1:19" x14ac:dyDescent="0.25">
      <c r="A554" t="s">
        <v>601</v>
      </c>
      <c r="B554" t="s">
        <v>61</v>
      </c>
      <c r="C554" t="s">
        <v>29</v>
      </c>
      <c r="D554" t="s">
        <v>16</v>
      </c>
      <c r="E554">
        <v>56</v>
      </c>
      <c r="F554" t="str">
        <f>IF(MediCare_Data[[#This Row],[Patient_Age]]&lt;=18,"0-18",IF(MediCare_Data[[#This Row],[Patient_Age]]&lt;=35,"19-35",IF(MediCare_Data[[#This Row],[Patient_Age]]&lt;=60,"36-60","60+")))</f>
        <v>36-60</v>
      </c>
      <c r="G554" t="s">
        <v>22</v>
      </c>
      <c r="H554" t="s">
        <v>51</v>
      </c>
      <c r="I554" s="2">
        <v>84</v>
      </c>
      <c r="J554" s="11">
        <v>4536</v>
      </c>
      <c r="K554" s="3">
        <v>12.60840015</v>
      </c>
      <c r="L554" s="3">
        <f t="shared" si="8"/>
        <v>0.12608400149999999</v>
      </c>
      <c r="M554">
        <v>97</v>
      </c>
      <c r="N554" s="6">
        <f>MediCare_Data[[#This Row],[Average_Wait_Time (mins)]]/1440</f>
        <v>6.7361111111111108E-2</v>
      </c>
      <c r="O554" s="2">
        <v>2</v>
      </c>
      <c r="P554" s="10">
        <v>44403</v>
      </c>
      <c r="Q554" s="17" t="str">
        <f>IF(AND(MediCare_Data[[#This Row],[Patient_Gender]]="Male", MediCare_Data[[#This Row],[Treatment_Type]]="Maternity"), "Gender-Treatment Mismatch", "Fine")</f>
        <v>Fine</v>
      </c>
      <c r="R554" s="10">
        <f>MediCare_Data[[#This Row],[Revenue_Generated]]-MediCare_Data[[#This Row],[Average_Treatment_Cost]]</f>
        <v>39867</v>
      </c>
      <c r="S554" s="3">
        <f>(MediCare_Data[[#This Row],[Profit]]/MediCare_Data[[#This Row],[Revenue_Generated]])</f>
        <v>0.8978447402202554</v>
      </c>
    </row>
    <row r="555" spans="1:19" x14ac:dyDescent="0.25">
      <c r="A555" t="s">
        <v>602</v>
      </c>
      <c r="B555" t="s">
        <v>61</v>
      </c>
      <c r="C555" t="s">
        <v>15</v>
      </c>
      <c r="D555" t="s">
        <v>32</v>
      </c>
      <c r="E555">
        <v>69</v>
      </c>
      <c r="F555" t="str">
        <f>IF(MediCare_Data[[#This Row],[Patient_Age]]&lt;=18,"0-18",IF(MediCare_Data[[#This Row],[Patient_Age]]&lt;=35,"19-35",IF(MediCare_Data[[#This Row],[Patient_Age]]&lt;=60,"36-60","60+")))</f>
        <v>60+</v>
      </c>
      <c r="G555" t="s">
        <v>43</v>
      </c>
      <c r="H555" t="s">
        <v>18</v>
      </c>
      <c r="I555" s="2">
        <v>72</v>
      </c>
      <c r="J555" s="11">
        <v>5568</v>
      </c>
      <c r="K555" s="3">
        <v>20.512237020000001</v>
      </c>
      <c r="L555" s="3">
        <f t="shared" si="8"/>
        <v>0.20512237020000001</v>
      </c>
      <c r="M555">
        <v>113</v>
      </c>
      <c r="N555" s="6">
        <f>MediCare_Data[[#This Row],[Average_Wait_Time (mins)]]/1440</f>
        <v>7.8472222222222221E-2</v>
      </c>
      <c r="O555" s="2">
        <v>2</v>
      </c>
      <c r="P555" s="10">
        <v>47416</v>
      </c>
      <c r="Q555" s="17" t="str">
        <f>IF(AND(MediCare_Data[[#This Row],[Patient_Gender]]="Male", MediCare_Data[[#This Row],[Treatment_Type]]="Maternity"), "Gender-Treatment Mismatch", "Fine")</f>
        <v>Fine</v>
      </c>
      <c r="R555" s="10">
        <f>MediCare_Data[[#This Row],[Revenue_Generated]]-MediCare_Data[[#This Row],[Average_Treatment_Cost]]</f>
        <v>41848</v>
      </c>
      <c r="S555" s="3">
        <f>(MediCare_Data[[#This Row],[Profit]]/MediCare_Data[[#This Row],[Revenue_Generated]])</f>
        <v>0.88257128395478324</v>
      </c>
    </row>
    <row r="556" spans="1:19" x14ac:dyDescent="0.25">
      <c r="A556" t="s">
        <v>603</v>
      </c>
      <c r="B556" t="s">
        <v>28</v>
      </c>
      <c r="C556" t="s">
        <v>54</v>
      </c>
      <c r="D556" t="s">
        <v>32</v>
      </c>
      <c r="E556">
        <v>8</v>
      </c>
      <c r="F556" t="str">
        <f>IF(MediCare_Data[[#This Row],[Patient_Age]]&lt;=18,"0-18",IF(MediCare_Data[[#This Row],[Patient_Age]]&lt;=35,"19-35",IF(MediCare_Data[[#This Row],[Patient_Age]]&lt;=60,"36-60","60+")))</f>
        <v>0-18</v>
      </c>
      <c r="G556" t="s">
        <v>22</v>
      </c>
      <c r="H556" t="s">
        <v>47</v>
      </c>
      <c r="I556" s="2">
        <v>66</v>
      </c>
      <c r="J556" s="11">
        <v>5733</v>
      </c>
      <c r="K556" s="3">
        <v>24.289533080000002</v>
      </c>
      <c r="L556" s="3">
        <f t="shared" si="8"/>
        <v>0.24289533080000003</v>
      </c>
      <c r="M556">
        <v>24</v>
      </c>
      <c r="N556" s="6">
        <f>MediCare_Data[[#This Row],[Average_Wait_Time (mins)]]/1440</f>
        <v>1.6666666666666666E-2</v>
      </c>
      <c r="O556" s="2">
        <v>3</v>
      </c>
      <c r="P556" s="10">
        <v>8148</v>
      </c>
      <c r="Q556" s="17" t="str">
        <f>IF(AND(MediCare_Data[[#This Row],[Patient_Gender]]="Male", MediCare_Data[[#This Row],[Treatment_Type]]="Maternity"), "Gender-Treatment Mismatch", "Fine")</f>
        <v>Fine</v>
      </c>
      <c r="R556" s="10">
        <f>MediCare_Data[[#This Row],[Revenue_Generated]]-MediCare_Data[[#This Row],[Average_Treatment_Cost]]</f>
        <v>2415</v>
      </c>
      <c r="S556" s="3">
        <f>(MediCare_Data[[#This Row],[Profit]]/MediCare_Data[[#This Row],[Revenue_Generated]])</f>
        <v>0.29639175257731959</v>
      </c>
    </row>
    <row r="557" spans="1:19" x14ac:dyDescent="0.25">
      <c r="A557" t="s">
        <v>604</v>
      </c>
      <c r="B557" t="s">
        <v>25</v>
      </c>
      <c r="C557" t="s">
        <v>54</v>
      </c>
      <c r="D557" t="s">
        <v>16</v>
      </c>
      <c r="E557">
        <v>84</v>
      </c>
      <c r="F557" t="str">
        <f>IF(MediCare_Data[[#This Row],[Patient_Age]]&lt;=18,"0-18",IF(MediCare_Data[[#This Row],[Patient_Age]]&lt;=35,"19-35",IF(MediCare_Data[[#This Row],[Patient_Age]]&lt;=60,"36-60","60+")))</f>
        <v>60+</v>
      </c>
      <c r="G557" t="s">
        <v>17</v>
      </c>
      <c r="H557" t="s">
        <v>47</v>
      </c>
      <c r="I557" s="2">
        <v>75</v>
      </c>
      <c r="J557" s="11">
        <v>817</v>
      </c>
      <c r="K557" s="3">
        <v>9.0753291829999991</v>
      </c>
      <c r="L557" s="3">
        <f t="shared" si="8"/>
        <v>9.0753291829999985E-2</v>
      </c>
      <c r="M557">
        <v>105</v>
      </c>
      <c r="N557" s="6">
        <f>MediCare_Data[[#This Row],[Average_Wait_Time (mins)]]/1440</f>
        <v>7.2916666666666671E-2</v>
      </c>
      <c r="O557" s="2">
        <v>3</v>
      </c>
      <c r="P557" s="10">
        <v>19748</v>
      </c>
      <c r="Q557" s="17" t="str">
        <f>IF(AND(MediCare_Data[[#This Row],[Patient_Gender]]="Male", MediCare_Data[[#This Row],[Treatment_Type]]="Maternity"), "Gender-Treatment Mismatch", "Fine")</f>
        <v>Fine</v>
      </c>
      <c r="R557" s="10">
        <f>MediCare_Data[[#This Row],[Revenue_Generated]]-MediCare_Data[[#This Row],[Average_Treatment_Cost]]</f>
        <v>18931</v>
      </c>
      <c r="S557" s="3">
        <f>(MediCare_Data[[#This Row],[Profit]]/MediCare_Data[[#This Row],[Revenue_Generated]])</f>
        <v>0.95862872189588821</v>
      </c>
    </row>
    <row r="558" spans="1:19" x14ac:dyDescent="0.25">
      <c r="A558" t="s">
        <v>605</v>
      </c>
      <c r="B558" t="s">
        <v>14</v>
      </c>
      <c r="C558" t="s">
        <v>15</v>
      </c>
      <c r="D558" t="s">
        <v>16</v>
      </c>
      <c r="E558">
        <v>16</v>
      </c>
      <c r="F558" t="str">
        <f>IF(MediCare_Data[[#This Row],[Patient_Age]]&lt;=18,"0-18",IF(MediCare_Data[[#This Row],[Patient_Age]]&lt;=35,"19-35",IF(MediCare_Data[[#This Row],[Patient_Age]]&lt;=60,"36-60","60+")))</f>
        <v>0-18</v>
      </c>
      <c r="G558" t="s">
        <v>26</v>
      </c>
      <c r="H558" t="s">
        <v>33</v>
      </c>
      <c r="I558" s="2">
        <v>57</v>
      </c>
      <c r="J558" s="11">
        <v>2896</v>
      </c>
      <c r="K558" s="3">
        <v>15.46659262</v>
      </c>
      <c r="L558" s="3">
        <f t="shared" si="8"/>
        <v>0.1546659262</v>
      </c>
      <c r="M558">
        <v>176</v>
      </c>
      <c r="N558" s="6">
        <f>MediCare_Data[[#This Row],[Average_Wait_Time (mins)]]/1440</f>
        <v>0.12222222222222222</v>
      </c>
      <c r="O558" s="2">
        <v>3</v>
      </c>
      <c r="P558" s="10">
        <v>15022</v>
      </c>
      <c r="Q558" s="17" t="str">
        <f>IF(AND(MediCare_Data[[#This Row],[Patient_Gender]]="Male", MediCare_Data[[#This Row],[Treatment_Type]]="Maternity"), "Gender-Treatment Mismatch", "Fine")</f>
        <v>Fine</v>
      </c>
      <c r="R558" s="10">
        <f>MediCare_Data[[#This Row],[Revenue_Generated]]-MediCare_Data[[#This Row],[Average_Treatment_Cost]]</f>
        <v>12126</v>
      </c>
      <c r="S558" s="3">
        <f>(MediCare_Data[[#This Row],[Profit]]/MediCare_Data[[#This Row],[Revenue_Generated]])</f>
        <v>0.80721608307815207</v>
      </c>
    </row>
    <row r="559" spans="1:19" x14ac:dyDescent="0.25">
      <c r="A559" t="s">
        <v>606</v>
      </c>
      <c r="B559" t="s">
        <v>14</v>
      </c>
      <c r="C559" t="s">
        <v>15</v>
      </c>
      <c r="D559" t="s">
        <v>21</v>
      </c>
      <c r="E559">
        <v>46</v>
      </c>
      <c r="F559" t="str">
        <f>IF(MediCare_Data[[#This Row],[Patient_Age]]&lt;=18,"0-18",IF(MediCare_Data[[#This Row],[Patient_Age]]&lt;=35,"19-35",IF(MediCare_Data[[#This Row],[Patient_Age]]&lt;=60,"36-60","60+")))</f>
        <v>36-60</v>
      </c>
      <c r="G559" t="s">
        <v>22</v>
      </c>
      <c r="H559" t="s">
        <v>47</v>
      </c>
      <c r="I559" s="2">
        <v>78</v>
      </c>
      <c r="J559" s="11">
        <v>2662</v>
      </c>
      <c r="K559" s="3">
        <v>10.74275916</v>
      </c>
      <c r="L559" s="3">
        <f t="shared" si="8"/>
        <v>0.1074275916</v>
      </c>
      <c r="M559">
        <v>132</v>
      </c>
      <c r="N559" s="6">
        <f>MediCare_Data[[#This Row],[Average_Wait_Time (mins)]]/1440</f>
        <v>9.166666666666666E-2</v>
      </c>
      <c r="O559" s="2">
        <v>4</v>
      </c>
      <c r="P559" s="10">
        <v>21013</v>
      </c>
      <c r="Q559" s="17" t="str">
        <f>IF(AND(MediCare_Data[[#This Row],[Patient_Gender]]="Male", MediCare_Data[[#This Row],[Treatment_Type]]="Maternity"), "Gender-Treatment Mismatch", "Fine")</f>
        <v>Fine</v>
      </c>
      <c r="R559" s="10">
        <f>MediCare_Data[[#This Row],[Revenue_Generated]]-MediCare_Data[[#This Row],[Average_Treatment_Cost]]</f>
        <v>18351</v>
      </c>
      <c r="S559" s="3">
        <f>(MediCare_Data[[#This Row],[Profit]]/MediCare_Data[[#This Row],[Revenue_Generated]])</f>
        <v>0.87331651834578594</v>
      </c>
    </row>
    <row r="560" spans="1:19" x14ac:dyDescent="0.25">
      <c r="A560" t="s">
        <v>607</v>
      </c>
      <c r="B560" t="s">
        <v>25</v>
      </c>
      <c r="C560" t="s">
        <v>42</v>
      </c>
      <c r="D560" t="s">
        <v>32</v>
      </c>
      <c r="E560">
        <v>38</v>
      </c>
      <c r="F560" t="str">
        <f>IF(MediCare_Data[[#This Row],[Patient_Age]]&lt;=18,"0-18",IF(MediCare_Data[[#This Row],[Patient_Age]]&lt;=35,"19-35",IF(MediCare_Data[[#This Row],[Patient_Age]]&lt;=60,"36-60","60+")))</f>
        <v>36-60</v>
      </c>
      <c r="G560" t="s">
        <v>26</v>
      </c>
      <c r="H560" t="s">
        <v>51</v>
      </c>
      <c r="I560" s="2">
        <v>75</v>
      </c>
      <c r="J560" s="11">
        <v>3245</v>
      </c>
      <c r="K560" s="3">
        <v>20.85708838</v>
      </c>
      <c r="L560" s="3">
        <f t="shared" si="8"/>
        <v>0.2085708838</v>
      </c>
      <c r="M560">
        <v>10</v>
      </c>
      <c r="N560" s="6">
        <f>MediCare_Data[[#This Row],[Average_Wait_Time (mins)]]/1440</f>
        <v>6.9444444444444441E-3</v>
      </c>
      <c r="O560" s="2">
        <v>2</v>
      </c>
      <c r="P560" s="10">
        <v>39687</v>
      </c>
      <c r="Q560" s="17" t="str">
        <f>IF(AND(MediCare_Data[[#This Row],[Patient_Gender]]="Male", MediCare_Data[[#This Row],[Treatment_Type]]="Maternity"), "Gender-Treatment Mismatch", "Fine")</f>
        <v>Fine</v>
      </c>
      <c r="R560" s="10">
        <f>MediCare_Data[[#This Row],[Revenue_Generated]]-MediCare_Data[[#This Row],[Average_Treatment_Cost]]</f>
        <v>36442</v>
      </c>
      <c r="S560" s="3">
        <f>(MediCare_Data[[#This Row],[Profit]]/MediCare_Data[[#This Row],[Revenue_Generated]])</f>
        <v>0.91823519036460299</v>
      </c>
    </row>
    <row r="561" spans="1:19" x14ac:dyDescent="0.25">
      <c r="A561" t="s">
        <v>608</v>
      </c>
      <c r="B561" t="s">
        <v>49</v>
      </c>
      <c r="C561" t="s">
        <v>29</v>
      </c>
      <c r="D561" t="s">
        <v>16</v>
      </c>
      <c r="E561">
        <v>14</v>
      </c>
      <c r="F561" t="str">
        <f>IF(MediCare_Data[[#This Row],[Patient_Age]]&lt;=18,"0-18",IF(MediCare_Data[[#This Row],[Patient_Age]]&lt;=35,"19-35",IF(MediCare_Data[[#This Row],[Patient_Age]]&lt;=60,"36-60","60+")))</f>
        <v>0-18</v>
      </c>
      <c r="G561" t="s">
        <v>22</v>
      </c>
      <c r="H561" t="s">
        <v>33</v>
      </c>
      <c r="I561" s="2">
        <v>59</v>
      </c>
      <c r="J561" s="11">
        <v>2091</v>
      </c>
      <c r="K561" s="3">
        <v>16.551867319999999</v>
      </c>
      <c r="L561" s="3">
        <f t="shared" si="8"/>
        <v>0.16551867319999999</v>
      </c>
      <c r="M561">
        <v>160</v>
      </c>
      <c r="N561" s="6">
        <f>MediCare_Data[[#This Row],[Average_Wait_Time (mins)]]/1440</f>
        <v>0.1111111111111111</v>
      </c>
      <c r="O561" s="2">
        <v>4</v>
      </c>
      <c r="P561" s="10">
        <v>16886</v>
      </c>
      <c r="Q561" s="17" t="str">
        <f>IF(AND(MediCare_Data[[#This Row],[Patient_Gender]]="Male", MediCare_Data[[#This Row],[Treatment_Type]]="Maternity"), "Gender-Treatment Mismatch", "Fine")</f>
        <v>Fine</v>
      </c>
      <c r="R561" s="10">
        <f>MediCare_Data[[#This Row],[Revenue_Generated]]-MediCare_Data[[#This Row],[Average_Treatment_Cost]]</f>
        <v>14795</v>
      </c>
      <c r="S561" s="3">
        <f>(MediCare_Data[[#This Row],[Profit]]/MediCare_Data[[#This Row],[Revenue_Generated]])</f>
        <v>0.87616960795925614</v>
      </c>
    </row>
    <row r="562" spans="1:19" x14ac:dyDescent="0.25">
      <c r="A562" t="s">
        <v>609</v>
      </c>
      <c r="B562" t="s">
        <v>45</v>
      </c>
      <c r="C562" t="s">
        <v>20</v>
      </c>
      <c r="D562" t="s">
        <v>32</v>
      </c>
      <c r="E562">
        <v>27</v>
      </c>
      <c r="F562" t="str">
        <f>IF(MediCare_Data[[#This Row],[Patient_Age]]&lt;=18,"0-18",IF(MediCare_Data[[#This Row],[Patient_Age]]&lt;=35,"19-35",IF(MediCare_Data[[#This Row],[Patient_Age]]&lt;=60,"36-60","60+")))</f>
        <v>19-35</v>
      </c>
      <c r="G562" t="s">
        <v>43</v>
      </c>
      <c r="H562" t="s">
        <v>47</v>
      </c>
      <c r="I562" s="2">
        <v>75</v>
      </c>
      <c r="J562" s="11">
        <v>6683</v>
      </c>
      <c r="K562" s="3">
        <v>17.691648350000001</v>
      </c>
      <c r="L562" s="3">
        <f t="shared" si="8"/>
        <v>0.1769164835</v>
      </c>
      <c r="M562">
        <v>131</v>
      </c>
      <c r="N562" s="6">
        <f>MediCare_Data[[#This Row],[Average_Wait_Time (mins)]]/1440</f>
        <v>9.0972222222222218E-2</v>
      </c>
      <c r="O562" s="2">
        <v>2</v>
      </c>
      <c r="P562" s="10">
        <v>26256</v>
      </c>
      <c r="Q562" s="17" t="str">
        <f>IF(AND(MediCare_Data[[#This Row],[Patient_Gender]]="Male", MediCare_Data[[#This Row],[Treatment_Type]]="Maternity"), "Gender-Treatment Mismatch", "Fine")</f>
        <v>Fine</v>
      </c>
      <c r="R562" s="10">
        <f>MediCare_Data[[#This Row],[Revenue_Generated]]-MediCare_Data[[#This Row],[Average_Treatment_Cost]]</f>
        <v>19573</v>
      </c>
      <c r="S562" s="3">
        <f>(MediCare_Data[[#This Row],[Profit]]/MediCare_Data[[#This Row],[Revenue_Generated]])</f>
        <v>0.74546770262035345</v>
      </c>
    </row>
    <row r="563" spans="1:19" x14ac:dyDescent="0.25">
      <c r="A563" t="s">
        <v>610</v>
      </c>
      <c r="B563" t="s">
        <v>25</v>
      </c>
      <c r="C563" t="s">
        <v>15</v>
      </c>
      <c r="D563" t="s">
        <v>32</v>
      </c>
      <c r="E563">
        <v>71</v>
      </c>
      <c r="F563" t="str">
        <f>IF(MediCare_Data[[#This Row],[Patient_Age]]&lt;=18,"0-18",IF(MediCare_Data[[#This Row],[Patient_Age]]&lt;=35,"19-35",IF(MediCare_Data[[#This Row],[Patient_Age]]&lt;=60,"36-60","60+")))</f>
        <v>60+</v>
      </c>
      <c r="G563" t="s">
        <v>43</v>
      </c>
      <c r="H563" t="s">
        <v>18</v>
      </c>
      <c r="I563" s="2">
        <v>83</v>
      </c>
      <c r="J563" s="11">
        <v>4430</v>
      </c>
      <c r="K563" s="3">
        <v>20.95828319</v>
      </c>
      <c r="L563" s="3">
        <f t="shared" si="8"/>
        <v>0.20958283189999999</v>
      </c>
      <c r="M563">
        <v>176</v>
      </c>
      <c r="N563" s="6">
        <f>MediCare_Data[[#This Row],[Average_Wait_Time (mins)]]/1440</f>
        <v>0.12222222222222222</v>
      </c>
      <c r="O563" s="2">
        <v>1</v>
      </c>
      <c r="P563" s="10">
        <v>31005</v>
      </c>
      <c r="Q563" s="17" t="str">
        <f>IF(AND(MediCare_Data[[#This Row],[Patient_Gender]]="Male", MediCare_Data[[#This Row],[Treatment_Type]]="Maternity"), "Gender-Treatment Mismatch", "Fine")</f>
        <v>Fine</v>
      </c>
      <c r="R563" s="10">
        <f>MediCare_Data[[#This Row],[Revenue_Generated]]-MediCare_Data[[#This Row],[Average_Treatment_Cost]]</f>
        <v>26575</v>
      </c>
      <c r="S563" s="3">
        <f>(MediCare_Data[[#This Row],[Profit]]/MediCare_Data[[#This Row],[Revenue_Generated]])</f>
        <v>0.85711981938397031</v>
      </c>
    </row>
    <row r="564" spans="1:19" x14ac:dyDescent="0.25">
      <c r="A564" t="s">
        <v>611</v>
      </c>
      <c r="B564" t="s">
        <v>39</v>
      </c>
      <c r="C564" t="s">
        <v>15</v>
      </c>
      <c r="D564" t="s">
        <v>16</v>
      </c>
      <c r="E564">
        <v>57</v>
      </c>
      <c r="F564" t="str">
        <f>IF(MediCare_Data[[#This Row],[Patient_Age]]&lt;=18,"0-18",IF(MediCare_Data[[#This Row],[Patient_Age]]&lt;=35,"19-35",IF(MediCare_Data[[#This Row],[Patient_Age]]&lt;=60,"36-60","60+")))</f>
        <v>36-60</v>
      </c>
      <c r="G564" t="s">
        <v>22</v>
      </c>
      <c r="H564" t="s">
        <v>23</v>
      </c>
      <c r="I564" s="2">
        <v>90</v>
      </c>
      <c r="J564" s="11">
        <v>1812</v>
      </c>
      <c r="K564" s="3">
        <v>12.91940945</v>
      </c>
      <c r="L564" s="3">
        <f t="shared" si="8"/>
        <v>0.1291940945</v>
      </c>
      <c r="M564">
        <v>135</v>
      </c>
      <c r="N564" s="6">
        <f>MediCare_Data[[#This Row],[Average_Wait_Time (mins)]]/1440</f>
        <v>9.375E-2</v>
      </c>
      <c r="O564" s="2">
        <v>4</v>
      </c>
      <c r="P564" s="10">
        <v>7638</v>
      </c>
      <c r="Q564" s="17" t="str">
        <f>IF(AND(MediCare_Data[[#This Row],[Patient_Gender]]="Male", MediCare_Data[[#This Row],[Treatment_Type]]="Maternity"), "Gender-Treatment Mismatch", "Fine")</f>
        <v>Fine</v>
      </c>
      <c r="R564" s="10">
        <f>MediCare_Data[[#This Row],[Revenue_Generated]]-MediCare_Data[[#This Row],[Average_Treatment_Cost]]</f>
        <v>5826</v>
      </c>
      <c r="S564" s="3">
        <f>(MediCare_Data[[#This Row],[Profit]]/MediCare_Data[[#This Row],[Revenue_Generated]])</f>
        <v>0.76276512175962297</v>
      </c>
    </row>
    <row r="565" spans="1:19" x14ac:dyDescent="0.25">
      <c r="A565" t="s">
        <v>612</v>
      </c>
      <c r="B565" t="s">
        <v>58</v>
      </c>
      <c r="C565" t="s">
        <v>42</v>
      </c>
      <c r="D565" t="s">
        <v>32</v>
      </c>
      <c r="E565">
        <v>35</v>
      </c>
      <c r="F565" t="str">
        <f>IF(MediCare_Data[[#This Row],[Patient_Age]]&lt;=18,"0-18",IF(MediCare_Data[[#This Row],[Patient_Age]]&lt;=35,"19-35",IF(MediCare_Data[[#This Row],[Patient_Age]]&lt;=60,"36-60","60+")))</f>
        <v>19-35</v>
      </c>
      <c r="G565" t="s">
        <v>22</v>
      </c>
      <c r="H565" t="s">
        <v>33</v>
      </c>
      <c r="I565" s="2">
        <v>56</v>
      </c>
      <c r="J565" s="11">
        <v>9977</v>
      </c>
      <c r="K565" s="3">
        <v>23.30180137</v>
      </c>
      <c r="L565" s="3">
        <f t="shared" si="8"/>
        <v>0.2330180137</v>
      </c>
      <c r="M565">
        <v>66</v>
      </c>
      <c r="N565" s="6">
        <f>MediCare_Data[[#This Row],[Average_Wait_Time (mins)]]/1440</f>
        <v>4.583333333333333E-2</v>
      </c>
      <c r="O565" s="2">
        <v>2</v>
      </c>
      <c r="P565" s="10">
        <v>38419</v>
      </c>
      <c r="Q565" s="17" t="str">
        <f>IF(AND(MediCare_Data[[#This Row],[Patient_Gender]]="Male", MediCare_Data[[#This Row],[Treatment_Type]]="Maternity"), "Gender-Treatment Mismatch", "Fine")</f>
        <v>Fine</v>
      </c>
      <c r="R565" s="10">
        <f>MediCare_Data[[#This Row],[Revenue_Generated]]-MediCare_Data[[#This Row],[Average_Treatment_Cost]]</f>
        <v>28442</v>
      </c>
      <c r="S565" s="3">
        <f>(MediCare_Data[[#This Row],[Profit]]/MediCare_Data[[#This Row],[Revenue_Generated]])</f>
        <v>0.74031078372680181</v>
      </c>
    </row>
    <row r="566" spans="1:19" x14ac:dyDescent="0.25">
      <c r="A566" t="s">
        <v>613</v>
      </c>
      <c r="B566" t="s">
        <v>25</v>
      </c>
      <c r="C566" t="s">
        <v>29</v>
      </c>
      <c r="D566" t="s">
        <v>32</v>
      </c>
      <c r="E566">
        <v>50</v>
      </c>
      <c r="F566" t="str">
        <f>IF(MediCare_Data[[#This Row],[Patient_Age]]&lt;=18,"0-18",IF(MediCare_Data[[#This Row],[Patient_Age]]&lt;=35,"19-35",IF(MediCare_Data[[#This Row],[Patient_Age]]&lt;=60,"36-60","60+")))</f>
        <v>36-60</v>
      </c>
      <c r="G566" t="s">
        <v>26</v>
      </c>
      <c r="H566" t="s">
        <v>51</v>
      </c>
      <c r="I566" s="2">
        <v>53</v>
      </c>
      <c r="J566" s="11">
        <v>4811</v>
      </c>
      <c r="K566" s="3">
        <v>15.66057734</v>
      </c>
      <c r="L566" s="3">
        <f t="shared" si="8"/>
        <v>0.15660577340000001</v>
      </c>
      <c r="M566">
        <v>90</v>
      </c>
      <c r="N566" s="6">
        <f>MediCare_Data[[#This Row],[Average_Wait_Time (mins)]]/1440</f>
        <v>6.25E-2</v>
      </c>
      <c r="O566" s="2">
        <v>2</v>
      </c>
      <c r="P566" s="10">
        <v>34377</v>
      </c>
      <c r="Q566" s="17" t="str">
        <f>IF(AND(MediCare_Data[[#This Row],[Patient_Gender]]="Male", MediCare_Data[[#This Row],[Treatment_Type]]="Maternity"), "Gender-Treatment Mismatch", "Fine")</f>
        <v>Fine</v>
      </c>
      <c r="R566" s="10">
        <f>MediCare_Data[[#This Row],[Revenue_Generated]]-MediCare_Data[[#This Row],[Average_Treatment_Cost]]</f>
        <v>29566</v>
      </c>
      <c r="S566" s="3">
        <f>(MediCare_Data[[#This Row],[Profit]]/MediCare_Data[[#This Row],[Revenue_Generated]])</f>
        <v>0.8600517788055968</v>
      </c>
    </row>
    <row r="567" spans="1:19" x14ac:dyDescent="0.25">
      <c r="A567" t="s">
        <v>614</v>
      </c>
      <c r="B567" t="s">
        <v>28</v>
      </c>
      <c r="C567" t="s">
        <v>29</v>
      </c>
      <c r="D567" t="s">
        <v>21</v>
      </c>
      <c r="E567">
        <v>27</v>
      </c>
      <c r="F567" t="str">
        <f>IF(MediCare_Data[[#This Row],[Patient_Age]]&lt;=18,"0-18",IF(MediCare_Data[[#This Row],[Patient_Age]]&lt;=35,"19-35",IF(MediCare_Data[[#This Row],[Patient_Age]]&lt;=60,"36-60","60+")))</f>
        <v>19-35</v>
      </c>
      <c r="G567" t="s">
        <v>26</v>
      </c>
      <c r="H567" t="s">
        <v>37</v>
      </c>
      <c r="I567" s="2">
        <v>99</v>
      </c>
      <c r="J567" s="11">
        <v>7814</v>
      </c>
      <c r="K567" s="3">
        <v>8.1590964570000004</v>
      </c>
      <c r="L567" s="3">
        <f t="shared" si="8"/>
        <v>8.1590964570000007E-2</v>
      </c>
      <c r="M567">
        <v>171</v>
      </c>
      <c r="N567" s="6">
        <f>MediCare_Data[[#This Row],[Average_Wait_Time (mins)]]/1440</f>
        <v>0.11874999999999999</v>
      </c>
      <c r="O567" s="2">
        <v>4</v>
      </c>
      <c r="P567" s="10">
        <v>41708</v>
      </c>
      <c r="Q567" s="17" t="str">
        <f>IF(AND(MediCare_Data[[#This Row],[Patient_Gender]]="Male", MediCare_Data[[#This Row],[Treatment_Type]]="Maternity"), "Gender-Treatment Mismatch", "Fine")</f>
        <v>Fine</v>
      </c>
      <c r="R567" s="10">
        <f>MediCare_Data[[#This Row],[Revenue_Generated]]-MediCare_Data[[#This Row],[Average_Treatment_Cost]]</f>
        <v>33894</v>
      </c>
      <c r="S567" s="3">
        <f>(MediCare_Data[[#This Row],[Profit]]/MediCare_Data[[#This Row],[Revenue_Generated]])</f>
        <v>0.81264985134746337</v>
      </c>
    </row>
    <row r="568" spans="1:19" x14ac:dyDescent="0.25">
      <c r="A568" t="s">
        <v>615</v>
      </c>
      <c r="B568" t="s">
        <v>45</v>
      </c>
      <c r="C568" t="s">
        <v>31</v>
      </c>
      <c r="D568" t="s">
        <v>32</v>
      </c>
      <c r="E568">
        <v>70</v>
      </c>
      <c r="F568" t="str">
        <f>IF(MediCare_Data[[#This Row],[Patient_Age]]&lt;=18,"0-18",IF(MediCare_Data[[#This Row],[Patient_Age]]&lt;=35,"19-35",IF(MediCare_Data[[#This Row],[Patient_Age]]&lt;=60,"36-60","60+")))</f>
        <v>60+</v>
      </c>
      <c r="G568" t="s">
        <v>17</v>
      </c>
      <c r="H568" t="s">
        <v>18</v>
      </c>
      <c r="I568" s="2">
        <v>94</v>
      </c>
      <c r="J568" s="11">
        <v>2883</v>
      </c>
      <c r="K568" s="3">
        <v>18.91798236</v>
      </c>
      <c r="L568" s="3">
        <f t="shared" si="8"/>
        <v>0.18917982359999999</v>
      </c>
      <c r="M568">
        <v>178</v>
      </c>
      <c r="N568" s="6">
        <f>MediCare_Data[[#This Row],[Average_Wait_Time (mins)]]/1440</f>
        <v>0.12361111111111112</v>
      </c>
      <c r="O568" s="2">
        <v>4</v>
      </c>
      <c r="P568" s="10">
        <v>44116</v>
      </c>
      <c r="Q568" s="17" t="str">
        <f>IF(AND(MediCare_Data[[#This Row],[Patient_Gender]]="Male", MediCare_Data[[#This Row],[Treatment_Type]]="Maternity"), "Gender-Treatment Mismatch", "Fine")</f>
        <v>Fine</v>
      </c>
      <c r="R568" s="10">
        <f>MediCare_Data[[#This Row],[Revenue_Generated]]-MediCare_Data[[#This Row],[Average_Treatment_Cost]]</f>
        <v>41233</v>
      </c>
      <c r="S568" s="3">
        <f>(MediCare_Data[[#This Row],[Profit]]/MediCare_Data[[#This Row],[Revenue_Generated]])</f>
        <v>0.93464956025024937</v>
      </c>
    </row>
    <row r="569" spans="1:19" x14ac:dyDescent="0.25">
      <c r="A569" t="s">
        <v>616</v>
      </c>
      <c r="B569" t="s">
        <v>25</v>
      </c>
      <c r="C569" t="s">
        <v>46</v>
      </c>
      <c r="D569" t="s">
        <v>21</v>
      </c>
      <c r="E569">
        <v>28</v>
      </c>
      <c r="F569" t="str">
        <f>IF(MediCare_Data[[#This Row],[Patient_Age]]&lt;=18,"0-18",IF(MediCare_Data[[#This Row],[Patient_Age]]&lt;=35,"19-35",IF(MediCare_Data[[#This Row],[Patient_Age]]&lt;=60,"36-60","60+")))</f>
        <v>19-35</v>
      </c>
      <c r="G569" t="s">
        <v>17</v>
      </c>
      <c r="H569" t="s">
        <v>51</v>
      </c>
      <c r="I569" s="2">
        <v>60</v>
      </c>
      <c r="J569" s="11">
        <v>3739</v>
      </c>
      <c r="K569" s="3">
        <v>20.865227010000002</v>
      </c>
      <c r="L569" s="3">
        <f t="shared" si="8"/>
        <v>0.20865227010000001</v>
      </c>
      <c r="M569">
        <v>82</v>
      </c>
      <c r="N569" s="6">
        <f>MediCare_Data[[#This Row],[Average_Wait_Time (mins)]]/1440</f>
        <v>5.6944444444444443E-2</v>
      </c>
      <c r="O569" s="2">
        <v>2</v>
      </c>
      <c r="P569" s="10">
        <v>37634</v>
      </c>
      <c r="Q569" s="17" t="str">
        <f>IF(AND(MediCare_Data[[#This Row],[Patient_Gender]]="Male", MediCare_Data[[#This Row],[Treatment_Type]]="Maternity"), "Gender-Treatment Mismatch", "Fine")</f>
        <v>Fine</v>
      </c>
      <c r="R569" s="10">
        <f>MediCare_Data[[#This Row],[Revenue_Generated]]-MediCare_Data[[#This Row],[Average_Treatment_Cost]]</f>
        <v>33895</v>
      </c>
      <c r="S569" s="3">
        <f>(MediCare_Data[[#This Row],[Profit]]/MediCare_Data[[#This Row],[Revenue_Generated]])</f>
        <v>0.90064834989637033</v>
      </c>
    </row>
    <row r="570" spans="1:19" x14ac:dyDescent="0.25">
      <c r="A570" t="s">
        <v>617</v>
      </c>
      <c r="B570" t="s">
        <v>14</v>
      </c>
      <c r="C570" t="s">
        <v>46</v>
      </c>
      <c r="D570" t="s">
        <v>21</v>
      </c>
      <c r="E570">
        <v>8</v>
      </c>
      <c r="F570" t="str">
        <f>IF(MediCare_Data[[#This Row],[Patient_Age]]&lt;=18,"0-18",IF(MediCare_Data[[#This Row],[Patient_Age]]&lt;=35,"19-35",IF(MediCare_Data[[#This Row],[Patient_Age]]&lt;=60,"36-60","60+")))</f>
        <v>0-18</v>
      </c>
      <c r="G570" t="s">
        <v>22</v>
      </c>
      <c r="H570" t="s">
        <v>47</v>
      </c>
      <c r="I570" s="2">
        <v>78</v>
      </c>
      <c r="J570" s="11">
        <v>2639</v>
      </c>
      <c r="K570" s="3">
        <v>11.335233540000001</v>
      </c>
      <c r="L570" s="3">
        <f t="shared" si="8"/>
        <v>0.1133523354</v>
      </c>
      <c r="M570">
        <v>150</v>
      </c>
      <c r="N570" s="6">
        <f>MediCare_Data[[#This Row],[Average_Wait_Time (mins)]]/1440</f>
        <v>0.10416666666666667</v>
      </c>
      <c r="O570" s="2">
        <v>4</v>
      </c>
      <c r="P570" s="10">
        <v>17755</v>
      </c>
      <c r="Q570" s="17" t="str">
        <f>IF(AND(MediCare_Data[[#This Row],[Patient_Gender]]="Male", MediCare_Data[[#This Row],[Treatment_Type]]="Maternity"), "Gender-Treatment Mismatch", "Fine")</f>
        <v>Fine</v>
      </c>
      <c r="R570" s="10">
        <f>MediCare_Data[[#This Row],[Revenue_Generated]]-MediCare_Data[[#This Row],[Average_Treatment_Cost]]</f>
        <v>15116</v>
      </c>
      <c r="S570" s="3">
        <f>(MediCare_Data[[#This Row],[Profit]]/MediCare_Data[[#This Row],[Revenue_Generated]])</f>
        <v>0.851365812447198</v>
      </c>
    </row>
    <row r="571" spans="1:19" x14ac:dyDescent="0.25">
      <c r="A571" t="s">
        <v>618</v>
      </c>
      <c r="B571" t="s">
        <v>14</v>
      </c>
      <c r="C571" t="s">
        <v>54</v>
      </c>
      <c r="D571" t="s">
        <v>16</v>
      </c>
      <c r="E571">
        <v>73</v>
      </c>
      <c r="F571" t="str">
        <f>IF(MediCare_Data[[#This Row],[Patient_Age]]&lt;=18,"0-18",IF(MediCare_Data[[#This Row],[Patient_Age]]&lt;=35,"19-35",IF(MediCare_Data[[#This Row],[Patient_Age]]&lt;=60,"36-60","60+")))</f>
        <v>60+</v>
      </c>
      <c r="G571" t="s">
        <v>43</v>
      </c>
      <c r="H571" t="s">
        <v>37</v>
      </c>
      <c r="I571" s="2">
        <v>85</v>
      </c>
      <c r="J571" s="11">
        <v>2204</v>
      </c>
      <c r="K571" s="3">
        <v>22.143585139999999</v>
      </c>
      <c r="L571" s="3">
        <f t="shared" si="8"/>
        <v>0.22143585139999999</v>
      </c>
      <c r="M571">
        <v>79</v>
      </c>
      <c r="N571" s="6">
        <f>MediCare_Data[[#This Row],[Average_Wait_Time (mins)]]/1440</f>
        <v>5.486111111111111E-2</v>
      </c>
      <c r="O571" s="2">
        <v>3</v>
      </c>
      <c r="P571" s="10">
        <v>24382</v>
      </c>
      <c r="Q571" s="17" t="str">
        <f>IF(AND(MediCare_Data[[#This Row],[Patient_Gender]]="Male", MediCare_Data[[#This Row],[Treatment_Type]]="Maternity"), "Gender-Treatment Mismatch", "Fine")</f>
        <v>Gender-Treatment Mismatch</v>
      </c>
      <c r="R571" s="10">
        <f>MediCare_Data[[#This Row],[Revenue_Generated]]-MediCare_Data[[#This Row],[Average_Treatment_Cost]]</f>
        <v>22178</v>
      </c>
      <c r="S571" s="3">
        <f>(MediCare_Data[[#This Row],[Profit]]/MediCare_Data[[#This Row],[Revenue_Generated]])</f>
        <v>0.90960544664096465</v>
      </c>
    </row>
    <row r="572" spans="1:19" x14ac:dyDescent="0.25">
      <c r="A572" t="s">
        <v>619</v>
      </c>
      <c r="B572" t="s">
        <v>64</v>
      </c>
      <c r="C572" t="s">
        <v>36</v>
      </c>
      <c r="D572" t="s">
        <v>32</v>
      </c>
      <c r="E572">
        <v>2</v>
      </c>
      <c r="F572" t="str">
        <f>IF(MediCare_Data[[#This Row],[Patient_Age]]&lt;=18,"0-18",IF(MediCare_Data[[#This Row],[Patient_Age]]&lt;=35,"19-35",IF(MediCare_Data[[#This Row],[Patient_Age]]&lt;=60,"36-60","60+")))</f>
        <v>0-18</v>
      </c>
      <c r="G572" t="s">
        <v>17</v>
      </c>
      <c r="H572" t="s">
        <v>33</v>
      </c>
      <c r="I572" s="2">
        <v>74</v>
      </c>
      <c r="J572" s="11">
        <v>7424</v>
      </c>
      <c r="K572" s="3">
        <v>23.122865099999999</v>
      </c>
      <c r="L572" s="3">
        <f t="shared" si="8"/>
        <v>0.23122865099999998</v>
      </c>
      <c r="M572">
        <v>15</v>
      </c>
      <c r="N572" s="6">
        <f>MediCare_Data[[#This Row],[Average_Wait_Time (mins)]]/1440</f>
        <v>1.0416666666666666E-2</v>
      </c>
      <c r="O572" s="2">
        <v>4</v>
      </c>
      <c r="P572" s="10">
        <v>23394</v>
      </c>
      <c r="Q572" s="17" t="str">
        <f>IF(AND(MediCare_Data[[#This Row],[Patient_Gender]]="Male", MediCare_Data[[#This Row],[Treatment_Type]]="Maternity"), "Gender-Treatment Mismatch", "Fine")</f>
        <v>Fine</v>
      </c>
      <c r="R572" s="10">
        <f>MediCare_Data[[#This Row],[Revenue_Generated]]-MediCare_Data[[#This Row],[Average_Treatment_Cost]]</f>
        <v>15970</v>
      </c>
      <c r="S572" s="3">
        <f>(MediCare_Data[[#This Row],[Profit]]/MediCare_Data[[#This Row],[Revenue_Generated]])</f>
        <v>0.68265367188167903</v>
      </c>
    </row>
    <row r="573" spans="1:19" x14ac:dyDescent="0.25">
      <c r="A573" t="s">
        <v>620</v>
      </c>
      <c r="B573" t="s">
        <v>39</v>
      </c>
      <c r="C573" t="s">
        <v>36</v>
      </c>
      <c r="D573" t="s">
        <v>32</v>
      </c>
      <c r="E573">
        <v>38</v>
      </c>
      <c r="F573" t="str">
        <f>IF(MediCare_Data[[#This Row],[Patient_Age]]&lt;=18,"0-18",IF(MediCare_Data[[#This Row],[Patient_Age]]&lt;=35,"19-35",IF(MediCare_Data[[#This Row],[Patient_Age]]&lt;=60,"36-60","60+")))</f>
        <v>36-60</v>
      </c>
      <c r="G573" t="s">
        <v>17</v>
      </c>
      <c r="H573" t="s">
        <v>37</v>
      </c>
      <c r="I573" s="2">
        <v>70</v>
      </c>
      <c r="J573" s="11">
        <v>862</v>
      </c>
      <c r="K573" s="3">
        <v>10.538089749999999</v>
      </c>
      <c r="L573" s="3">
        <f t="shared" si="8"/>
        <v>0.10538089749999999</v>
      </c>
      <c r="M573">
        <v>93</v>
      </c>
      <c r="N573" s="6">
        <f>MediCare_Data[[#This Row],[Average_Wait_Time (mins)]]/1440</f>
        <v>6.458333333333334E-2</v>
      </c>
      <c r="O573" s="2">
        <v>4</v>
      </c>
      <c r="P573" s="10">
        <v>3253</v>
      </c>
      <c r="Q573" s="17" t="str">
        <f>IF(AND(MediCare_Data[[#This Row],[Patient_Gender]]="Male", MediCare_Data[[#This Row],[Treatment_Type]]="Maternity"), "Gender-Treatment Mismatch", "Fine")</f>
        <v>Fine</v>
      </c>
      <c r="R573" s="10">
        <f>MediCare_Data[[#This Row],[Revenue_Generated]]-MediCare_Data[[#This Row],[Average_Treatment_Cost]]</f>
        <v>2391</v>
      </c>
      <c r="S573" s="3">
        <f>(MediCare_Data[[#This Row],[Profit]]/MediCare_Data[[#This Row],[Revenue_Generated]])</f>
        <v>0.73501383338456805</v>
      </c>
    </row>
    <row r="574" spans="1:19" x14ac:dyDescent="0.25">
      <c r="A574" t="s">
        <v>621</v>
      </c>
      <c r="B574" t="s">
        <v>74</v>
      </c>
      <c r="C574" t="s">
        <v>29</v>
      </c>
      <c r="D574" t="s">
        <v>21</v>
      </c>
      <c r="E574">
        <v>85</v>
      </c>
      <c r="F574" t="str">
        <f>IF(MediCare_Data[[#This Row],[Patient_Age]]&lt;=18,"0-18",IF(MediCare_Data[[#This Row],[Patient_Age]]&lt;=35,"19-35",IF(MediCare_Data[[#This Row],[Patient_Age]]&lt;=60,"36-60","60+")))</f>
        <v>60+</v>
      </c>
      <c r="G574" t="s">
        <v>43</v>
      </c>
      <c r="H574" t="s">
        <v>33</v>
      </c>
      <c r="I574" s="2">
        <v>85</v>
      </c>
      <c r="J574" s="11">
        <v>3104</v>
      </c>
      <c r="K574" s="3">
        <v>24.67042945</v>
      </c>
      <c r="L574" s="3">
        <f t="shared" si="8"/>
        <v>0.2467042945</v>
      </c>
      <c r="M574">
        <v>61</v>
      </c>
      <c r="N574" s="6">
        <f>MediCare_Data[[#This Row],[Average_Wait_Time (mins)]]/1440</f>
        <v>4.2361111111111113E-2</v>
      </c>
      <c r="O574" s="2">
        <v>4</v>
      </c>
      <c r="P574" s="10">
        <v>38710</v>
      </c>
      <c r="Q574" s="17" t="str">
        <f>IF(AND(MediCare_Data[[#This Row],[Patient_Gender]]="Male", MediCare_Data[[#This Row],[Treatment_Type]]="Maternity"), "Gender-Treatment Mismatch", "Fine")</f>
        <v>Fine</v>
      </c>
      <c r="R574" s="10">
        <f>MediCare_Data[[#This Row],[Revenue_Generated]]-MediCare_Data[[#This Row],[Average_Treatment_Cost]]</f>
        <v>35606</v>
      </c>
      <c r="S574" s="3">
        <f>(MediCare_Data[[#This Row],[Profit]]/MediCare_Data[[#This Row],[Revenue_Generated]])</f>
        <v>0.91981400154998705</v>
      </c>
    </row>
    <row r="575" spans="1:19" x14ac:dyDescent="0.25">
      <c r="A575" t="s">
        <v>622</v>
      </c>
      <c r="B575" t="s">
        <v>35</v>
      </c>
      <c r="C575" t="s">
        <v>20</v>
      </c>
      <c r="D575" t="s">
        <v>16</v>
      </c>
      <c r="E575">
        <v>73</v>
      </c>
      <c r="F575" t="str">
        <f>IF(MediCare_Data[[#This Row],[Patient_Age]]&lt;=18,"0-18",IF(MediCare_Data[[#This Row],[Patient_Age]]&lt;=35,"19-35",IF(MediCare_Data[[#This Row],[Patient_Age]]&lt;=60,"36-60","60+")))</f>
        <v>60+</v>
      </c>
      <c r="G575" t="s">
        <v>26</v>
      </c>
      <c r="H575" t="s">
        <v>51</v>
      </c>
      <c r="I575" s="2">
        <v>59</v>
      </c>
      <c r="J575" s="11">
        <v>4786</v>
      </c>
      <c r="K575" s="3">
        <v>7.8142305609999996</v>
      </c>
      <c r="L575" s="3">
        <f t="shared" si="8"/>
        <v>7.814230560999999E-2</v>
      </c>
      <c r="M575">
        <v>12</v>
      </c>
      <c r="N575" s="6">
        <f>MediCare_Data[[#This Row],[Average_Wait_Time (mins)]]/1440</f>
        <v>8.3333333333333332E-3</v>
      </c>
      <c r="O575" s="2">
        <v>2</v>
      </c>
      <c r="P575" s="10">
        <v>46098</v>
      </c>
      <c r="Q575" s="17" t="str">
        <f>IF(AND(MediCare_Data[[#This Row],[Patient_Gender]]="Male", MediCare_Data[[#This Row],[Treatment_Type]]="Maternity"), "Gender-Treatment Mismatch", "Fine")</f>
        <v>Fine</v>
      </c>
      <c r="R575" s="10">
        <f>MediCare_Data[[#This Row],[Revenue_Generated]]-MediCare_Data[[#This Row],[Average_Treatment_Cost]]</f>
        <v>41312</v>
      </c>
      <c r="S575" s="3">
        <f>(MediCare_Data[[#This Row],[Profit]]/MediCare_Data[[#This Row],[Revenue_Generated]])</f>
        <v>0.89617770836044952</v>
      </c>
    </row>
    <row r="576" spans="1:19" x14ac:dyDescent="0.25">
      <c r="A576" t="s">
        <v>623</v>
      </c>
      <c r="B576" t="s">
        <v>58</v>
      </c>
      <c r="C576" t="s">
        <v>46</v>
      </c>
      <c r="D576" t="s">
        <v>21</v>
      </c>
      <c r="E576">
        <v>57</v>
      </c>
      <c r="F576" t="str">
        <f>IF(MediCare_Data[[#This Row],[Patient_Age]]&lt;=18,"0-18",IF(MediCare_Data[[#This Row],[Patient_Age]]&lt;=35,"19-35",IF(MediCare_Data[[#This Row],[Patient_Age]]&lt;=60,"36-60","60+")))</f>
        <v>36-60</v>
      </c>
      <c r="G576" t="s">
        <v>26</v>
      </c>
      <c r="H576" t="s">
        <v>47</v>
      </c>
      <c r="I576" s="2">
        <v>86</v>
      </c>
      <c r="J576" s="11">
        <v>4238</v>
      </c>
      <c r="K576" s="3">
        <v>9.0403133679999996</v>
      </c>
      <c r="L576" s="3">
        <f t="shared" si="8"/>
        <v>9.0403133679999997E-2</v>
      </c>
      <c r="M576">
        <v>90</v>
      </c>
      <c r="N576" s="6">
        <f>MediCare_Data[[#This Row],[Average_Wait_Time (mins)]]/1440</f>
        <v>6.25E-2</v>
      </c>
      <c r="O576" s="2">
        <v>3</v>
      </c>
      <c r="P576" s="10">
        <v>1864</v>
      </c>
      <c r="Q576" s="17" t="str">
        <f>IF(AND(MediCare_Data[[#This Row],[Patient_Gender]]="Male", MediCare_Data[[#This Row],[Treatment_Type]]="Maternity"), "Gender-Treatment Mismatch", "Fine")</f>
        <v>Fine</v>
      </c>
      <c r="R576" s="10">
        <f>MediCare_Data[[#This Row],[Revenue_Generated]]-MediCare_Data[[#This Row],[Average_Treatment_Cost]]</f>
        <v>-2374</v>
      </c>
      <c r="S576" s="3">
        <f>(MediCare_Data[[#This Row],[Profit]]/MediCare_Data[[#This Row],[Revenue_Generated]])</f>
        <v>-1.2736051502145922</v>
      </c>
    </row>
    <row r="577" spans="1:19" x14ac:dyDescent="0.25">
      <c r="A577" t="s">
        <v>624</v>
      </c>
      <c r="B577" t="s">
        <v>41</v>
      </c>
      <c r="C577" t="s">
        <v>31</v>
      </c>
      <c r="D577" t="s">
        <v>21</v>
      </c>
      <c r="E577">
        <v>53</v>
      </c>
      <c r="F577" t="str">
        <f>IF(MediCare_Data[[#This Row],[Patient_Age]]&lt;=18,"0-18",IF(MediCare_Data[[#This Row],[Patient_Age]]&lt;=35,"19-35",IF(MediCare_Data[[#This Row],[Patient_Age]]&lt;=60,"36-60","60+")))</f>
        <v>36-60</v>
      </c>
      <c r="G577" t="s">
        <v>26</v>
      </c>
      <c r="H577" t="s">
        <v>33</v>
      </c>
      <c r="I577" s="2">
        <v>58</v>
      </c>
      <c r="J577" s="11">
        <v>2969</v>
      </c>
      <c r="K577" s="3">
        <v>8.6844967850000003</v>
      </c>
      <c r="L577" s="3">
        <f t="shared" si="8"/>
        <v>8.684496785000001E-2</v>
      </c>
      <c r="M577">
        <v>72</v>
      </c>
      <c r="N577" s="6">
        <f>MediCare_Data[[#This Row],[Average_Wait_Time (mins)]]/1440</f>
        <v>0.05</v>
      </c>
      <c r="O577" s="2">
        <v>1</v>
      </c>
      <c r="P577" s="10">
        <v>35036</v>
      </c>
      <c r="Q577" s="17" t="str">
        <f>IF(AND(MediCare_Data[[#This Row],[Patient_Gender]]="Male", MediCare_Data[[#This Row],[Treatment_Type]]="Maternity"), "Gender-Treatment Mismatch", "Fine")</f>
        <v>Fine</v>
      </c>
      <c r="R577" s="10">
        <f>MediCare_Data[[#This Row],[Revenue_Generated]]-MediCare_Data[[#This Row],[Average_Treatment_Cost]]</f>
        <v>32067</v>
      </c>
      <c r="S577" s="3">
        <f>(MediCare_Data[[#This Row],[Profit]]/MediCare_Data[[#This Row],[Revenue_Generated]])</f>
        <v>0.91525859116337482</v>
      </c>
    </row>
    <row r="578" spans="1:19" x14ac:dyDescent="0.25">
      <c r="A578" t="s">
        <v>625</v>
      </c>
      <c r="B578" t="s">
        <v>35</v>
      </c>
      <c r="C578" t="s">
        <v>20</v>
      </c>
      <c r="D578" t="s">
        <v>21</v>
      </c>
      <c r="E578">
        <v>24</v>
      </c>
      <c r="F578" t="str">
        <f>IF(MediCare_Data[[#This Row],[Patient_Age]]&lt;=18,"0-18",IF(MediCare_Data[[#This Row],[Patient_Age]]&lt;=35,"19-35",IF(MediCare_Data[[#This Row],[Patient_Age]]&lt;=60,"36-60","60+")))</f>
        <v>19-35</v>
      </c>
      <c r="G578" t="s">
        <v>22</v>
      </c>
      <c r="H578" t="s">
        <v>18</v>
      </c>
      <c r="I578" s="2">
        <v>73</v>
      </c>
      <c r="J578" s="11">
        <v>5295</v>
      </c>
      <c r="K578" s="3">
        <v>22.879794199999999</v>
      </c>
      <c r="L578" s="3">
        <f t="shared" ref="L578:L641" si="9">K578/100</f>
        <v>0.228797942</v>
      </c>
      <c r="M578">
        <v>58</v>
      </c>
      <c r="N578" s="6">
        <f>MediCare_Data[[#This Row],[Average_Wait_Time (mins)]]/1440</f>
        <v>4.027777777777778E-2</v>
      </c>
      <c r="O578" s="2">
        <v>1</v>
      </c>
      <c r="P578" s="10">
        <v>41222</v>
      </c>
      <c r="Q578" s="17" t="str">
        <f>IF(AND(MediCare_Data[[#This Row],[Patient_Gender]]="Male", MediCare_Data[[#This Row],[Treatment_Type]]="Maternity"), "Gender-Treatment Mismatch", "Fine")</f>
        <v>Fine</v>
      </c>
      <c r="R578" s="10">
        <f>MediCare_Data[[#This Row],[Revenue_Generated]]-MediCare_Data[[#This Row],[Average_Treatment_Cost]]</f>
        <v>35927</v>
      </c>
      <c r="S578" s="3">
        <f>(MediCare_Data[[#This Row],[Profit]]/MediCare_Data[[#This Row],[Revenue_Generated]])</f>
        <v>0.87154917277182087</v>
      </c>
    </row>
    <row r="579" spans="1:19" x14ac:dyDescent="0.25">
      <c r="A579" t="s">
        <v>626</v>
      </c>
      <c r="B579" t="s">
        <v>64</v>
      </c>
      <c r="C579" t="s">
        <v>36</v>
      </c>
      <c r="D579" t="s">
        <v>32</v>
      </c>
      <c r="E579">
        <v>81</v>
      </c>
      <c r="F579" t="str">
        <f>IF(MediCare_Data[[#This Row],[Patient_Age]]&lt;=18,"0-18",IF(MediCare_Data[[#This Row],[Patient_Age]]&lt;=35,"19-35",IF(MediCare_Data[[#This Row],[Patient_Age]]&lt;=60,"36-60","60+")))</f>
        <v>60+</v>
      </c>
      <c r="G579" t="s">
        <v>22</v>
      </c>
      <c r="H579" t="s">
        <v>18</v>
      </c>
      <c r="I579" s="2">
        <v>84</v>
      </c>
      <c r="J579" s="11">
        <v>6650</v>
      </c>
      <c r="K579" s="3">
        <v>18.085851049999999</v>
      </c>
      <c r="L579" s="3">
        <f t="shared" si="9"/>
        <v>0.18085851049999999</v>
      </c>
      <c r="M579">
        <v>85</v>
      </c>
      <c r="N579" s="6">
        <f>MediCare_Data[[#This Row],[Average_Wait_Time (mins)]]/1440</f>
        <v>5.9027777777777776E-2</v>
      </c>
      <c r="O579" s="2">
        <v>3</v>
      </c>
      <c r="P579" s="10">
        <v>14666</v>
      </c>
      <c r="Q579" s="17" t="str">
        <f>IF(AND(MediCare_Data[[#This Row],[Patient_Gender]]="Male", MediCare_Data[[#This Row],[Treatment_Type]]="Maternity"), "Gender-Treatment Mismatch", "Fine")</f>
        <v>Fine</v>
      </c>
      <c r="R579" s="10">
        <f>MediCare_Data[[#This Row],[Revenue_Generated]]-MediCare_Data[[#This Row],[Average_Treatment_Cost]]</f>
        <v>8016</v>
      </c>
      <c r="S579" s="3">
        <f>(MediCare_Data[[#This Row],[Profit]]/MediCare_Data[[#This Row],[Revenue_Generated]])</f>
        <v>0.54657029864993867</v>
      </c>
    </row>
    <row r="580" spans="1:19" x14ac:dyDescent="0.25">
      <c r="A580" t="s">
        <v>627</v>
      </c>
      <c r="B580" t="s">
        <v>53</v>
      </c>
      <c r="C580" t="s">
        <v>15</v>
      </c>
      <c r="D580" t="s">
        <v>32</v>
      </c>
      <c r="E580">
        <v>5</v>
      </c>
      <c r="F580" t="str">
        <f>IF(MediCare_Data[[#This Row],[Patient_Age]]&lt;=18,"0-18",IF(MediCare_Data[[#This Row],[Patient_Age]]&lt;=35,"19-35",IF(MediCare_Data[[#This Row],[Patient_Age]]&lt;=60,"36-60","60+")))</f>
        <v>0-18</v>
      </c>
      <c r="G580" t="s">
        <v>26</v>
      </c>
      <c r="H580" t="s">
        <v>33</v>
      </c>
      <c r="I580" s="2">
        <v>98</v>
      </c>
      <c r="J580" s="11">
        <v>1056</v>
      </c>
      <c r="K580" s="3">
        <v>8.042085664</v>
      </c>
      <c r="L580" s="3">
        <f t="shared" si="9"/>
        <v>8.0420856639999996E-2</v>
      </c>
      <c r="M580">
        <v>121</v>
      </c>
      <c r="N580" s="6">
        <f>MediCare_Data[[#This Row],[Average_Wait_Time (mins)]]/1440</f>
        <v>8.4027777777777785E-2</v>
      </c>
      <c r="O580" s="2">
        <v>3</v>
      </c>
      <c r="P580" s="10">
        <v>21955</v>
      </c>
      <c r="Q580" s="17" t="str">
        <f>IF(AND(MediCare_Data[[#This Row],[Patient_Gender]]="Male", MediCare_Data[[#This Row],[Treatment_Type]]="Maternity"), "Gender-Treatment Mismatch", "Fine")</f>
        <v>Fine</v>
      </c>
      <c r="R580" s="10">
        <f>MediCare_Data[[#This Row],[Revenue_Generated]]-MediCare_Data[[#This Row],[Average_Treatment_Cost]]</f>
        <v>20899</v>
      </c>
      <c r="S580" s="3">
        <f>(MediCare_Data[[#This Row],[Profit]]/MediCare_Data[[#This Row],[Revenue_Generated]])</f>
        <v>0.95190161694374853</v>
      </c>
    </row>
    <row r="581" spans="1:19" x14ac:dyDescent="0.25">
      <c r="A581" t="s">
        <v>628</v>
      </c>
      <c r="B581" t="s">
        <v>53</v>
      </c>
      <c r="C581" t="s">
        <v>15</v>
      </c>
      <c r="D581" t="s">
        <v>32</v>
      </c>
      <c r="E581">
        <v>30</v>
      </c>
      <c r="F581" t="str">
        <f>IF(MediCare_Data[[#This Row],[Patient_Age]]&lt;=18,"0-18",IF(MediCare_Data[[#This Row],[Patient_Age]]&lt;=35,"19-35",IF(MediCare_Data[[#This Row],[Patient_Age]]&lt;=60,"36-60","60+")))</f>
        <v>19-35</v>
      </c>
      <c r="G581" t="s">
        <v>43</v>
      </c>
      <c r="H581" t="s">
        <v>33</v>
      </c>
      <c r="I581" s="2">
        <v>84</v>
      </c>
      <c r="J581" s="11">
        <v>9517</v>
      </c>
      <c r="K581" s="3">
        <v>13.806468369999999</v>
      </c>
      <c r="L581" s="3">
        <f t="shared" si="9"/>
        <v>0.1380646837</v>
      </c>
      <c r="M581">
        <v>118</v>
      </c>
      <c r="N581" s="6">
        <f>MediCare_Data[[#This Row],[Average_Wait_Time (mins)]]/1440</f>
        <v>8.1944444444444445E-2</v>
      </c>
      <c r="O581" s="2">
        <v>3</v>
      </c>
      <c r="P581" s="10">
        <v>46138</v>
      </c>
      <c r="Q581" s="17" t="str">
        <f>IF(AND(MediCare_Data[[#This Row],[Patient_Gender]]="Male", MediCare_Data[[#This Row],[Treatment_Type]]="Maternity"), "Gender-Treatment Mismatch", "Fine")</f>
        <v>Fine</v>
      </c>
      <c r="R581" s="10">
        <f>MediCare_Data[[#This Row],[Revenue_Generated]]-MediCare_Data[[#This Row],[Average_Treatment_Cost]]</f>
        <v>36621</v>
      </c>
      <c r="S581" s="3">
        <f>(MediCare_Data[[#This Row],[Profit]]/MediCare_Data[[#This Row],[Revenue_Generated]])</f>
        <v>0.7937275131128354</v>
      </c>
    </row>
    <row r="582" spans="1:19" x14ac:dyDescent="0.25">
      <c r="A582" t="s">
        <v>629</v>
      </c>
      <c r="B582" t="s">
        <v>53</v>
      </c>
      <c r="C582" t="s">
        <v>46</v>
      </c>
      <c r="D582" t="s">
        <v>32</v>
      </c>
      <c r="E582">
        <v>46</v>
      </c>
      <c r="F582" t="str">
        <f>IF(MediCare_Data[[#This Row],[Patient_Age]]&lt;=18,"0-18",IF(MediCare_Data[[#This Row],[Patient_Age]]&lt;=35,"19-35",IF(MediCare_Data[[#This Row],[Patient_Age]]&lt;=60,"36-60","60+")))</f>
        <v>36-60</v>
      </c>
      <c r="G582" t="s">
        <v>26</v>
      </c>
      <c r="H582" t="s">
        <v>23</v>
      </c>
      <c r="I582" s="2">
        <v>97</v>
      </c>
      <c r="J582" s="11">
        <v>3308</v>
      </c>
      <c r="K582" s="3">
        <v>17.305960500000001</v>
      </c>
      <c r="L582" s="3">
        <f t="shared" si="9"/>
        <v>0.17305960500000001</v>
      </c>
      <c r="M582">
        <v>74</v>
      </c>
      <c r="N582" s="6">
        <f>MediCare_Data[[#This Row],[Average_Wait_Time (mins)]]/1440</f>
        <v>5.1388888888888887E-2</v>
      </c>
      <c r="O582" s="2">
        <v>2</v>
      </c>
      <c r="P582" s="10">
        <v>38997</v>
      </c>
      <c r="Q582" s="17" t="str">
        <f>IF(AND(MediCare_Data[[#This Row],[Patient_Gender]]="Male", MediCare_Data[[#This Row],[Treatment_Type]]="Maternity"), "Gender-Treatment Mismatch", "Fine")</f>
        <v>Fine</v>
      </c>
      <c r="R582" s="10">
        <f>MediCare_Data[[#This Row],[Revenue_Generated]]-MediCare_Data[[#This Row],[Average_Treatment_Cost]]</f>
        <v>35689</v>
      </c>
      <c r="S582" s="3">
        <f>(MediCare_Data[[#This Row],[Profit]]/MediCare_Data[[#This Row],[Revenue_Generated]])</f>
        <v>0.91517296202271969</v>
      </c>
    </row>
    <row r="583" spans="1:19" x14ac:dyDescent="0.25">
      <c r="A583" t="s">
        <v>630</v>
      </c>
      <c r="B583" t="s">
        <v>28</v>
      </c>
      <c r="C583" t="s">
        <v>36</v>
      </c>
      <c r="D583" t="s">
        <v>16</v>
      </c>
      <c r="E583">
        <v>65</v>
      </c>
      <c r="F583" t="str">
        <f>IF(MediCare_Data[[#This Row],[Patient_Age]]&lt;=18,"0-18",IF(MediCare_Data[[#This Row],[Patient_Age]]&lt;=35,"19-35",IF(MediCare_Data[[#This Row],[Patient_Age]]&lt;=60,"36-60","60+")))</f>
        <v>60+</v>
      </c>
      <c r="G583" t="s">
        <v>26</v>
      </c>
      <c r="H583" t="s">
        <v>33</v>
      </c>
      <c r="I583" s="2">
        <v>85</v>
      </c>
      <c r="J583" s="11">
        <v>5650</v>
      </c>
      <c r="K583" s="3">
        <v>6.6692817</v>
      </c>
      <c r="L583" s="3">
        <f t="shared" si="9"/>
        <v>6.6692817000000001E-2</v>
      </c>
      <c r="M583">
        <v>90</v>
      </c>
      <c r="N583" s="6">
        <f>MediCare_Data[[#This Row],[Average_Wait_Time (mins)]]/1440</f>
        <v>6.25E-2</v>
      </c>
      <c r="O583" s="2">
        <v>1</v>
      </c>
      <c r="P583" s="10">
        <v>17309</v>
      </c>
      <c r="Q583" s="17" t="str">
        <f>IF(AND(MediCare_Data[[#This Row],[Patient_Gender]]="Male", MediCare_Data[[#This Row],[Treatment_Type]]="Maternity"), "Gender-Treatment Mismatch", "Fine")</f>
        <v>Fine</v>
      </c>
      <c r="R583" s="10">
        <f>MediCare_Data[[#This Row],[Revenue_Generated]]-MediCare_Data[[#This Row],[Average_Treatment_Cost]]</f>
        <v>11659</v>
      </c>
      <c r="S583" s="3">
        <f>(MediCare_Data[[#This Row],[Profit]]/MediCare_Data[[#This Row],[Revenue_Generated]])</f>
        <v>0.67358021838349991</v>
      </c>
    </row>
    <row r="584" spans="1:19" x14ac:dyDescent="0.25">
      <c r="A584" t="s">
        <v>631</v>
      </c>
      <c r="B584" t="s">
        <v>25</v>
      </c>
      <c r="C584" t="s">
        <v>36</v>
      </c>
      <c r="D584" t="s">
        <v>21</v>
      </c>
      <c r="E584">
        <v>48</v>
      </c>
      <c r="F584" t="str">
        <f>IF(MediCare_Data[[#This Row],[Patient_Age]]&lt;=18,"0-18",IF(MediCare_Data[[#This Row],[Patient_Age]]&lt;=35,"19-35",IF(MediCare_Data[[#This Row],[Patient_Age]]&lt;=60,"36-60","60+")))</f>
        <v>36-60</v>
      </c>
      <c r="G584" t="s">
        <v>22</v>
      </c>
      <c r="H584" t="s">
        <v>47</v>
      </c>
      <c r="I584" s="2">
        <v>67</v>
      </c>
      <c r="J584" s="11">
        <v>8061</v>
      </c>
      <c r="K584" s="3">
        <v>22.648327370000001</v>
      </c>
      <c r="L584" s="3">
        <f t="shared" si="9"/>
        <v>0.22648327370000002</v>
      </c>
      <c r="M584">
        <v>24</v>
      </c>
      <c r="N584" s="6">
        <f>MediCare_Data[[#This Row],[Average_Wait_Time (mins)]]/1440</f>
        <v>1.6666666666666666E-2</v>
      </c>
      <c r="O584" s="2">
        <v>3</v>
      </c>
      <c r="P584" s="10">
        <v>5054</v>
      </c>
      <c r="Q584" s="17" t="str">
        <f>IF(AND(MediCare_Data[[#This Row],[Patient_Gender]]="Male", MediCare_Data[[#This Row],[Treatment_Type]]="Maternity"), "Gender-Treatment Mismatch", "Fine")</f>
        <v>Fine</v>
      </c>
      <c r="R584" s="10">
        <f>MediCare_Data[[#This Row],[Revenue_Generated]]-MediCare_Data[[#This Row],[Average_Treatment_Cost]]</f>
        <v>-3007</v>
      </c>
      <c r="S584" s="3">
        <f>(MediCare_Data[[#This Row],[Profit]]/MediCare_Data[[#This Row],[Revenue_Generated]])</f>
        <v>-0.59497427779976253</v>
      </c>
    </row>
    <row r="585" spans="1:19" x14ac:dyDescent="0.25">
      <c r="A585" t="s">
        <v>632</v>
      </c>
      <c r="B585" t="s">
        <v>45</v>
      </c>
      <c r="C585" t="s">
        <v>20</v>
      </c>
      <c r="D585" t="s">
        <v>16</v>
      </c>
      <c r="E585">
        <v>4</v>
      </c>
      <c r="F585" t="str">
        <f>IF(MediCare_Data[[#This Row],[Patient_Age]]&lt;=18,"0-18",IF(MediCare_Data[[#This Row],[Patient_Age]]&lt;=35,"19-35",IF(MediCare_Data[[#This Row],[Patient_Age]]&lt;=60,"36-60","60+")))</f>
        <v>0-18</v>
      </c>
      <c r="G585" t="s">
        <v>43</v>
      </c>
      <c r="H585" t="s">
        <v>33</v>
      </c>
      <c r="I585" s="2">
        <v>98</v>
      </c>
      <c r="J585" s="11">
        <v>3219</v>
      </c>
      <c r="K585" s="3">
        <v>21.072070709999998</v>
      </c>
      <c r="L585" s="3">
        <f t="shared" si="9"/>
        <v>0.21072070709999999</v>
      </c>
      <c r="M585">
        <v>109</v>
      </c>
      <c r="N585" s="6">
        <f>MediCare_Data[[#This Row],[Average_Wait_Time (mins)]]/1440</f>
        <v>7.5694444444444439E-2</v>
      </c>
      <c r="O585" s="2">
        <v>2</v>
      </c>
      <c r="P585" s="10">
        <v>1935</v>
      </c>
      <c r="Q585" s="17" t="str">
        <f>IF(AND(MediCare_Data[[#This Row],[Patient_Gender]]="Male", MediCare_Data[[#This Row],[Treatment_Type]]="Maternity"), "Gender-Treatment Mismatch", "Fine")</f>
        <v>Fine</v>
      </c>
      <c r="R585" s="10">
        <f>MediCare_Data[[#This Row],[Revenue_Generated]]-MediCare_Data[[#This Row],[Average_Treatment_Cost]]</f>
        <v>-1284</v>
      </c>
      <c r="S585" s="3">
        <f>(MediCare_Data[[#This Row],[Profit]]/MediCare_Data[[#This Row],[Revenue_Generated]])</f>
        <v>-0.66356589147286826</v>
      </c>
    </row>
    <row r="586" spans="1:19" x14ac:dyDescent="0.25">
      <c r="A586" t="s">
        <v>633</v>
      </c>
      <c r="B586" t="s">
        <v>74</v>
      </c>
      <c r="C586" t="s">
        <v>54</v>
      </c>
      <c r="D586" t="s">
        <v>21</v>
      </c>
      <c r="E586">
        <v>38</v>
      </c>
      <c r="F586" t="str">
        <f>IF(MediCare_Data[[#This Row],[Patient_Age]]&lt;=18,"0-18",IF(MediCare_Data[[#This Row],[Patient_Age]]&lt;=35,"19-35",IF(MediCare_Data[[#This Row],[Patient_Age]]&lt;=60,"36-60","60+")))</f>
        <v>36-60</v>
      </c>
      <c r="G586" t="s">
        <v>17</v>
      </c>
      <c r="H586" t="s">
        <v>23</v>
      </c>
      <c r="I586" s="2">
        <v>88</v>
      </c>
      <c r="J586" s="11">
        <v>7006</v>
      </c>
      <c r="K586" s="3">
        <v>15.104135469999999</v>
      </c>
      <c r="L586" s="3">
        <f t="shared" si="9"/>
        <v>0.15104135469999999</v>
      </c>
      <c r="M586">
        <v>41</v>
      </c>
      <c r="N586" s="6">
        <f>MediCare_Data[[#This Row],[Average_Wait_Time (mins)]]/1440</f>
        <v>2.8472222222222222E-2</v>
      </c>
      <c r="O586" s="2">
        <v>1</v>
      </c>
      <c r="P586" s="10">
        <v>45940</v>
      </c>
      <c r="Q586" s="17" t="str">
        <f>IF(AND(MediCare_Data[[#This Row],[Patient_Gender]]="Male", MediCare_Data[[#This Row],[Treatment_Type]]="Maternity"), "Gender-Treatment Mismatch", "Fine")</f>
        <v>Fine</v>
      </c>
      <c r="R586" s="10">
        <f>MediCare_Data[[#This Row],[Revenue_Generated]]-MediCare_Data[[#This Row],[Average_Treatment_Cost]]</f>
        <v>38934</v>
      </c>
      <c r="S586" s="3">
        <f>(MediCare_Data[[#This Row],[Profit]]/MediCare_Data[[#This Row],[Revenue_Generated]])</f>
        <v>0.84749673487157162</v>
      </c>
    </row>
    <row r="587" spans="1:19" x14ac:dyDescent="0.25">
      <c r="A587" t="s">
        <v>634</v>
      </c>
      <c r="B587" t="s">
        <v>39</v>
      </c>
      <c r="C587" t="s">
        <v>31</v>
      </c>
      <c r="D587" t="s">
        <v>21</v>
      </c>
      <c r="E587">
        <v>4</v>
      </c>
      <c r="F587" t="str">
        <f>IF(MediCare_Data[[#This Row],[Patient_Age]]&lt;=18,"0-18",IF(MediCare_Data[[#This Row],[Patient_Age]]&lt;=35,"19-35",IF(MediCare_Data[[#This Row],[Patient_Age]]&lt;=60,"36-60","60+")))</f>
        <v>0-18</v>
      </c>
      <c r="G587" t="s">
        <v>43</v>
      </c>
      <c r="H587" t="s">
        <v>18</v>
      </c>
      <c r="I587" s="2">
        <v>81</v>
      </c>
      <c r="J587" s="11">
        <v>4241</v>
      </c>
      <c r="K587" s="3">
        <v>24.342532309999999</v>
      </c>
      <c r="L587" s="3">
        <f t="shared" si="9"/>
        <v>0.24342532309999998</v>
      </c>
      <c r="M587">
        <v>105</v>
      </c>
      <c r="N587" s="6">
        <f>MediCare_Data[[#This Row],[Average_Wait_Time (mins)]]/1440</f>
        <v>7.2916666666666671E-2</v>
      </c>
      <c r="O587" s="2">
        <v>4</v>
      </c>
      <c r="P587" s="10">
        <v>23778</v>
      </c>
      <c r="Q587" s="17" t="str">
        <f>IF(AND(MediCare_Data[[#This Row],[Patient_Gender]]="Male", MediCare_Data[[#This Row],[Treatment_Type]]="Maternity"), "Gender-Treatment Mismatch", "Fine")</f>
        <v>Fine</v>
      </c>
      <c r="R587" s="10">
        <f>MediCare_Data[[#This Row],[Revenue_Generated]]-MediCare_Data[[#This Row],[Average_Treatment_Cost]]</f>
        <v>19537</v>
      </c>
      <c r="S587" s="3">
        <f>(MediCare_Data[[#This Row],[Profit]]/MediCare_Data[[#This Row],[Revenue_Generated]])</f>
        <v>0.82164185381445032</v>
      </c>
    </row>
    <row r="588" spans="1:19" x14ac:dyDescent="0.25">
      <c r="A588" t="s">
        <v>635</v>
      </c>
      <c r="B588" t="s">
        <v>61</v>
      </c>
      <c r="C588" t="s">
        <v>46</v>
      </c>
      <c r="D588" t="s">
        <v>16</v>
      </c>
      <c r="E588">
        <v>75</v>
      </c>
      <c r="F588" t="str">
        <f>IF(MediCare_Data[[#This Row],[Patient_Age]]&lt;=18,"0-18",IF(MediCare_Data[[#This Row],[Patient_Age]]&lt;=35,"19-35",IF(MediCare_Data[[#This Row],[Patient_Age]]&lt;=60,"36-60","60+")))</f>
        <v>60+</v>
      </c>
      <c r="G588" t="s">
        <v>22</v>
      </c>
      <c r="H588" t="s">
        <v>47</v>
      </c>
      <c r="I588" s="2">
        <v>73</v>
      </c>
      <c r="J588" s="11">
        <v>4498</v>
      </c>
      <c r="K588" s="3">
        <v>13.355219590000001</v>
      </c>
      <c r="L588" s="3">
        <f t="shared" si="9"/>
        <v>0.1335521959</v>
      </c>
      <c r="M588">
        <v>137</v>
      </c>
      <c r="N588" s="6">
        <f>MediCare_Data[[#This Row],[Average_Wait_Time (mins)]]/1440</f>
        <v>9.5138888888888884E-2</v>
      </c>
      <c r="O588" s="2">
        <v>2</v>
      </c>
      <c r="P588" s="10">
        <v>44298</v>
      </c>
      <c r="Q588" s="17" t="str">
        <f>IF(AND(MediCare_Data[[#This Row],[Patient_Gender]]="Male", MediCare_Data[[#This Row],[Treatment_Type]]="Maternity"), "Gender-Treatment Mismatch", "Fine")</f>
        <v>Fine</v>
      </c>
      <c r="R588" s="10">
        <f>MediCare_Data[[#This Row],[Revenue_Generated]]-MediCare_Data[[#This Row],[Average_Treatment_Cost]]</f>
        <v>39800</v>
      </c>
      <c r="S588" s="3">
        <f>(MediCare_Data[[#This Row],[Profit]]/MediCare_Data[[#This Row],[Revenue_Generated]])</f>
        <v>0.89846042710731866</v>
      </c>
    </row>
    <row r="589" spans="1:19" x14ac:dyDescent="0.25">
      <c r="A589" t="s">
        <v>636</v>
      </c>
      <c r="B589" t="s">
        <v>28</v>
      </c>
      <c r="C589" t="s">
        <v>54</v>
      </c>
      <c r="D589" t="s">
        <v>16</v>
      </c>
      <c r="E589">
        <v>73</v>
      </c>
      <c r="F589" t="str">
        <f>IF(MediCare_Data[[#This Row],[Patient_Age]]&lt;=18,"0-18",IF(MediCare_Data[[#This Row],[Patient_Age]]&lt;=35,"19-35",IF(MediCare_Data[[#This Row],[Patient_Age]]&lt;=60,"36-60","60+")))</f>
        <v>60+</v>
      </c>
      <c r="G589" t="s">
        <v>17</v>
      </c>
      <c r="H589" t="s">
        <v>23</v>
      </c>
      <c r="I589" s="2">
        <v>72</v>
      </c>
      <c r="J589" s="11">
        <v>2903</v>
      </c>
      <c r="K589" s="3">
        <v>24.68220638</v>
      </c>
      <c r="L589" s="3">
        <f t="shared" si="9"/>
        <v>0.24682206379999999</v>
      </c>
      <c r="M589">
        <v>155</v>
      </c>
      <c r="N589" s="6">
        <f>MediCare_Data[[#This Row],[Average_Wait_Time (mins)]]/1440</f>
        <v>0.1076388888888889</v>
      </c>
      <c r="O589" s="2">
        <v>1</v>
      </c>
      <c r="P589" s="10">
        <v>49328</v>
      </c>
      <c r="Q589" s="17" t="str">
        <f>IF(AND(MediCare_Data[[#This Row],[Patient_Gender]]="Male", MediCare_Data[[#This Row],[Treatment_Type]]="Maternity"), "Gender-Treatment Mismatch", "Fine")</f>
        <v>Fine</v>
      </c>
      <c r="R589" s="10">
        <f>MediCare_Data[[#This Row],[Revenue_Generated]]-MediCare_Data[[#This Row],[Average_Treatment_Cost]]</f>
        <v>46425</v>
      </c>
      <c r="S589" s="3">
        <f>(MediCare_Data[[#This Row],[Profit]]/MediCare_Data[[#This Row],[Revenue_Generated]])</f>
        <v>0.94114904313979886</v>
      </c>
    </row>
    <row r="590" spans="1:19" x14ac:dyDescent="0.25">
      <c r="A590" t="s">
        <v>637</v>
      </c>
      <c r="B590" t="s">
        <v>49</v>
      </c>
      <c r="C590" t="s">
        <v>36</v>
      </c>
      <c r="D590" t="s">
        <v>21</v>
      </c>
      <c r="E590">
        <v>16</v>
      </c>
      <c r="F590" t="str">
        <f>IF(MediCare_Data[[#This Row],[Patient_Age]]&lt;=18,"0-18",IF(MediCare_Data[[#This Row],[Patient_Age]]&lt;=35,"19-35",IF(MediCare_Data[[#This Row],[Patient_Age]]&lt;=60,"36-60","60+")))</f>
        <v>0-18</v>
      </c>
      <c r="G590" t="s">
        <v>22</v>
      </c>
      <c r="H590" t="s">
        <v>33</v>
      </c>
      <c r="I590" s="2">
        <v>81</v>
      </c>
      <c r="J590" s="11">
        <v>9280</v>
      </c>
      <c r="K590" s="3">
        <v>18.358399980000002</v>
      </c>
      <c r="L590" s="3">
        <f t="shared" si="9"/>
        <v>0.18358399980000001</v>
      </c>
      <c r="M590">
        <v>122</v>
      </c>
      <c r="N590" s="6">
        <f>MediCare_Data[[#This Row],[Average_Wait_Time (mins)]]/1440</f>
        <v>8.4722222222222227E-2</v>
      </c>
      <c r="O590" s="2">
        <v>2</v>
      </c>
      <c r="P590" s="10">
        <v>49924</v>
      </c>
      <c r="Q590" s="17" t="str">
        <f>IF(AND(MediCare_Data[[#This Row],[Patient_Gender]]="Male", MediCare_Data[[#This Row],[Treatment_Type]]="Maternity"), "Gender-Treatment Mismatch", "Fine")</f>
        <v>Fine</v>
      </c>
      <c r="R590" s="10">
        <f>MediCare_Data[[#This Row],[Revenue_Generated]]-MediCare_Data[[#This Row],[Average_Treatment_Cost]]</f>
        <v>40644</v>
      </c>
      <c r="S590" s="3">
        <f>(MediCare_Data[[#This Row],[Profit]]/MediCare_Data[[#This Row],[Revenue_Generated]])</f>
        <v>0.81411745853697626</v>
      </c>
    </row>
    <row r="591" spans="1:19" x14ac:dyDescent="0.25">
      <c r="A591" t="s">
        <v>638</v>
      </c>
      <c r="B591" t="s">
        <v>49</v>
      </c>
      <c r="C591" t="s">
        <v>46</v>
      </c>
      <c r="D591" t="s">
        <v>32</v>
      </c>
      <c r="E591">
        <v>57</v>
      </c>
      <c r="F591" t="str">
        <f>IF(MediCare_Data[[#This Row],[Patient_Age]]&lt;=18,"0-18",IF(MediCare_Data[[#This Row],[Patient_Age]]&lt;=35,"19-35",IF(MediCare_Data[[#This Row],[Patient_Age]]&lt;=60,"36-60","60+")))</f>
        <v>36-60</v>
      </c>
      <c r="G591" t="s">
        <v>26</v>
      </c>
      <c r="H591" t="s">
        <v>51</v>
      </c>
      <c r="I591" s="2">
        <v>86</v>
      </c>
      <c r="J591" s="11">
        <v>794</v>
      </c>
      <c r="K591" s="3">
        <v>17.693425470000001</v>
      </c>
      <c r="L591" s="3">
        <f t="shared" si="9"/>
        <v>0.17693425470000002</v>
      </c>
      <c r="M591">
        <v>92</v>
      </c>
      <c r="N591" s="6">
        <f>MediCare_Data[[#This Row],[Average_Wait_Time (mins)]]/1440</f>
        <v>6.3888888888888884E-2</v>
      </c>
      <c r="O591" s="2">
        <v>1</v>
      </c>
      <c r="P591" s="10">
        <v>17709</v>
      </c>
      <c r="Q591" s="17" t="str">
        <f>IF(AND(MediCare_Data[[#This Row],[Patient_Gender]]="Male", MediCare_Data[[#This Row],[Treatment_Type]]="Maternity"), "Gender-Treatment Mismatch", "Fine")</f>
        <v>Fine</v>
      </c>
      <c r="R591" s="10">
        <f>MediCare_Data[[#This Row],[Revenue_Generated]]-MediCare_Data[[#This Row],[Average_Treatment_Cost]]</f>
        <v>16915</v>
      </c>
      <c r="S591" s="3">
        <f>(MediCare_Data[[#This Row],[Profit]]/MediCare_Data[[#This Row],[Revenue_Generated]])</f>
        <v>0.95516404088316675</v>
      </c>
    </row>
    <row r="592" spans="1:19" x14ac:dyDescent="0.25">
      <c r="A592" t="s">
        <v>639</v>
      </c>
      <c r="B592" t="s">
        <v>61</v>
      </c>
      <c r="C592" t="s">
        <v>29</v>
      </c>
      <c r="D592" t="s">
        <v>32</v>
      </c>
      <c r="E592">
        <v>32</v>
      </c>
      <c r="F592" t="str">
        <f>IF(MediCare_Data[[#This Row],[Patient_Age]]&lt;=18,"0-18",IF(MediCare_Data[[#This Row],[Patient_Age]]&lt;=35,"19-35",IF(MediCare_Data[[#This Row],[Patient_Age]]&lt;=60,"36-60","60+")))</f>
        <v>19-35</v>
      </c>
      <c r="G592" t="s">
        <v>17</v>
      </c>
      <c r="H592" t="s">
        <v>51</v>
      </c>
      <c r="I592" s="2">
        <v>61</v>
      </c>
      <c r="J592" s="11">
        <v>5843</v>
      </c>
      <c r="K592" s="3">
        <v>8.3190979059999997</v>
      </c>
      <c r="L592" s="3">
        <f t="shared" si="9"/>
        <v>8.3190979060000003E-2</v>
      </c>
      <c r="M592">
        <v>52</v>
      </c>
      <c r="N592" s="6">
        <f>MediCare_Data[[#This Row],[Average_Wait_Time (mins)]]/1440</f>
        <v>3.6111111111111108E-2</v>
      </c>
      <c r="O592" s="2">
        <v>1</v>
      </c>
      <c r="P592" s="10">
        <v>10726</v>
      </c>
      <c r="Q592" s="17" t="str">
        <f>IF(AND(MediCare_Data[[#This Row],[Patient_Gender]]="Male", MediCare_Data[[#This Row],[Treatment_Type]]="Maternity"), "Gender-Treatment Mismatch", "Fine")</f>
        <v>Fine</v>
      </c>
      <c r="R592" s="10">
        <f>MediCare_Data[[#This Row],[Revenue_Generated]]-MediCare_Data[[#This Row],[Average_Treatment_Cost]]</f>
        <v>4883</v>
      </c>
      <c r="S592" s="3">
        <f>(MediCare_Data[[#This Row],[Profit]]/MediCare_Data[[#This Row],[Revenue_Generated]])</f>
        <v>0.45524892783889614</v>
      </c>
    </row>
    <row r="593" spans="1:19" x14ac:dyDescent="0.25">
      <c r="A593" t="s">
        <v>640</v>
      </c>
      <c r="B593" t="s">
        <v>25</v>
      </c>
      <c r="C593" t="s">
        <v>31</v>
      </c>
      <c r="D593" t="s">
        <v>21</v>
      </c>
      <c r="E593">
        <v>15</v>
      </c>
      <c r="F593" t="str">
        <f>IF(MediCare_Data[[#This Row],[Patient_Age]]&lt;=18,"0-18",IF(MediCare_Data[[#This Row],[Patient_Age]]&lt;=35,"19-35",IF(MediCare_Data[[#This Row],[Patient_Age]]&lt;=60,"36-60","60+")))</f>
        <v>0-18</v>
      </c>
      <c r="G593" t="s">
        <v>22</v>
      </c>
      <c r="H593" t="s">
        <v>37</v>
      </c>
      <c r="I593" s="2">
        <v>98</v>
      </c>
      <c r="J593" s="11">
        <v>1636</v>
      </c>
      <c r="K593" s="3">
        <v>22.63855517</v>
      </c>
      <c r="L593" s="3">
        <f t="shared" si="9"/>
        <v>0.22638555169999999</v>
      </c>
      <c r="M593">
        <v>125</v>
      </c>
      <c r="N593" s="6">
        <f>MediCare_Data[[#This Row],[Average_Wait_Time (mins)]]/1440</f>
        <v>8.6805555555555552E-2</v>
      </c>
      <c r="O593" s="2">
        <v>4</v>
      </c>
      <c r="P593" s="10">
        <v>41542</v>
      </c>
      <c r="Q593" s="17" t="str">
        <f>IF(AND(MediCare_Data[[#This Row],[Patient_Gender]]="Male", MediCare_Data[[#This Row],[Treatment_Type]]="Maternity"), "Gender-Treatment Mismatch", "Fine")</f>
        <v>Fine</v>
      </c>
      <c r="R593" s="10">
        <f>MediCare_Data[[#This Row],[Revenue_Generated]]-MediCare_Data[[#This Row],[Average_Treatment_Cost]]</f>
        <v>39906</v>
      </c>
      <c r="S593" s="3">
        <f>(MediCare_Data[[#This Row],[Profit]]/MediCare_Data[[#This Row],[Revenue_Generated]])</f>
        <v>0.96061816956333346</v>
      </c>
    </row>
    <row r="594" spans="1:19" x14ac:dyDescent="0.25">
      <c r="A594" t="s">
        <v>641</v>
      </c>
      <c r="B594" t="s">
        <v>35</v>
      </c>
      <c r="C594" t="s">
        <v>46</v>
      </c>
      <c r="D594" t="s">
        <v>21</v>
      </c>
      <c r="E594">
        <v>72</v>
      </c>
      <c r="F594" t="str">
        <f>IF(MediCare_Data[[#This Row],[Patient_Age]]&lt;=18,"0-18",IF(MediCare_Data[[#This Row],[Patient_Age]]&lt;=35,"19-35",IF(MediCare_Data[[#This Row],[Patient_Age]]&lt;=60,"36-60","60+")))</f>
        <v>60+</v>
      </c>
      <c r="G594" t="s">
        <v>26</v>
      </c>
      <c r="H594" t="s">
        <v>18</v>
      </c>
      <c r="I594" s="2">
        <v>62</v>
      </c>
      <c r="J594" s="11">
        <v>2564</v>
      </c>
      <c r="K594" s="3">
        <v>13.54979376</v>
      </c>
      <c r="L594" s="3">
        <f t="shared" si="9"/>
        <v>0.13549793760000001</v>
      </c>
      <c r="M594">
        <v>172</v>
      </c>
      <c r="N594" s="6">
        <f>MediCare_Data[[#This Row],[Average_Wait_Time (mins)]]/1440</f>
        <v>0.11944444444444445</v>
      </c>
      <c r="O594" s="2">
        <v>2</v>
      </c>
      <c r="P594" s="10">
        <v>21245</v>
      </c>
      <c r="Q594" s="17" t="str">
        <f>IF(AND(MediCare_Data[[#This Row],[Patient_Gender]]="Male", MediCare_Data[[#This Row],[Treatment_Type]]="Maternity"), "Gender-Treatment Mismatch", "Fine")</f>
        <v>Fine</v>
      </c>
      <c r="R594" s="10">
        <f>MediCare_Data[[#This Row],[Revenue_Generated]]-MediCare_Data[[#This Row],[Average_Treatment_Cost]]</f>
        <v>18681</v>
      </c>
      <c r="S594" s="3">
        <f>(MediCare_Data[[#This Row],[Profit]]/MediCare_Data[[#This Row],[Revenue_Generated]])</f>
        <v>0.87931277947752418</v>
      </c>
    </row>
    <row r="595" spans="1:19" x14ac:dyDescent="0.25">
      <c r="A595" t="s">
        <v>642</v>
      </c>
      <c r="B595" t="s">
        <v>56</v>
      </c>
      <c r="C595" t="s">
        <v>54</v>
      </c>
      <c r="D595" t="s">
        <v>16</v>
      </c>
      <c r="E595">
        <v>30</v>
      </c>
      <c r="F595" t="str">
        <f>IF(MediCare_Data[[#This Row],[Patient_Age]]&lt;=18,"0-18",IF(MediCare_Data[[#This Row],[Patient_Age]]&lt;=35,"19-35",IF(MediCare_Data[[#This Row],[Patient_Age]]&lt;=60,"36-60","60+")))</f>
        <v>19-35</v>
      </c>
      <c r="G595" t="s">
        <v>22</v>
      </c>
      <c r="H595" t="s">
        <v>18</v>
      </c>
      <c r="I595" s="2">
        <v>72</v>
      </c>
      <c r="J595" s="11">
        <v>7509</v>
      </c>
      <c r="K595" s="3">
        <v>8.2446681159999997</v>
      </c>
      <c r="L595" s="3">
        <f t="shared" si="9"/>
        <v>8.2446681159999993E-2</v>
      </c>
      <c r="M595">
        <v>87</v>
      </c>
      <c r="N595" s="6">
        <f>MediCare_Data[[#This Row],[Average_Wait_Time (mins)]]/1440</f>
        <v>6.0416666666666667E-2</v>
      </c>
      <c r="O595" s="2">
        <v>3</v>
      </c>
      <c r="P595" s="10">
        <v>35753</v>
      </c>
      <c r="Q595" s="17" t="str">
        <f>IF(AND(MediCare_Data[[#This Row],[Patient_Gender]]="Male", MediCare_Data[[#This Row],[Treatment_Type]]="Maternity"), "Gender-Treatment Mismatch", "Fine")</f>
        <v>Fine</v>
      </c>
      <c r="R595" s="10">
        <f>MediCare_Data[[#This Row],[Revenue_Generated]]-MediCare_Data[[#This Row],[Average_Treatment_Cost]]</f>
        <v>28244</v>
      </c>
      <c r="S595" s="3">
        <f>(MediCare_Data[[#This Row],[Profit]]/MediCare_Data[[#This Row],[Revenue_Generated]])</f>
        <v>0.7899756663776466</v>
      </c>
    </row>
    <row r="596" spans="1:19" x14ac:dyDescent="0.25">
      <c r="A596" t="s">
        <v>643</v>
      </c>
      <c r="B596" t="s">
        <v>14</v>
      </c>
      <c r="C596" t="s">
        <v>36</v>
      </c>
      <c r="D596" t="s">
        <v>16</v>
      </c>
      <c r="E596">
        <v>75</v>
      </c>
      <c r="F596" t="str">
        <f>IF(MediCare_Data[[#This Row],[Patient_Age]]&lt;=18,"0-18",IF(MediCare_Data[[#This Row],[Patient_Age]]&lt;=35,"19-35",IF(MediCare_Data[[#This Row],[Patient_Age]]&lt;=60,"36-60","60+")))</f>
        <v>60+</v>
      </c>
      <c r="G596" t="s">
        <v>43</v>
      </c>
      <c r="H596" t="s">
        <v>23</v>
      </c>
      <c r="I596" s="2">
        <v>74</v>
      </c>
      <c r="J596" s="11">
        <v>5043</v>
      </c>
      <c r="K596" s="3">
        <v>5.2521503999999997</v>
      </c>
      <c r="L596" s="3">
        <f t="shared" si="9"/>
        <v>5.2521503999999997E-2</v>
      </c>
      <c r="M596">
        <v>67</v>
      </c>
      <c r="N596" s="6">
        <f>MediCare_Data[[#This Row],[Average_Wait_Time (mins)]]/1440</f>
        <v>4.6527777777777779E-2</v>
      </c>
      <c r="O596" s="2">
        <v>4</v>
      </c>
      <c r="P596" s="10">
        <v>15252</v>
      </c>
      <c r="Q596" s="17" t="str">
        <f>IF(AND(MediCare_Data[[#This Row],[Patient_Gender]]="Male", MediCare_Data[[#This Row],[Treatment_Type]]="Maternity"), "Gender-Treatment Mismatch", "Fine")</f>
        <v>Fine</v>
      </c>
      <c r="R596" s="10">
        <f>MediCare_Data[[#This Row],[Revenue_Generated]]-MediCare_Data[[#This Row],[Average_Treatment_Cost]]</f>
        <v>10209</v>
      </c>
      <c r="S596" s="3">
        <f>(MediCare_Data[[#This Row],[Profit]]/MediCare_Data[[#This Row],[Revenue_Generated]])</f>
        <v>0.66935483870967738</v>
      </c>
    </row>
    <row r="597" spans="1:19" x14ac:dyDescent="0.25">
      <c r="A597" t="s">
        <v>644</v>
      </c>
      <c r="B597" t="s">
        <v>45</v>
      </c>
      <c r="C597" t="s">
        <v>54</v>
      </c>
      <c r="D597" t="s">
        <v>32</v>
      </c>
      <c r="E597">
        <v>11</v>
      </c>
      <c r="F597" t="str">
        <f>IF(MediCare_Data[[#This Row],[Patient_Age]]&lt;=18,"0-18",IF(MediCare_Data[[#This Row],[Patient_Age]]&lt;=35,"19-35",IF(MediCare_Data[[#This Row],[Patient_Age]]&lt;=60,"36-60","60+")))</f>
        <v>0-18</v>
      </c>
      <c r="G597" t="s">
        <v>22</v>
      </c>
      <c r="H597" t="s">
        <v>23</v>
      </c>
      <c r="I597" s="2">
        <v>84</v>
      </c>
      <c r="J597" s="11">
        <v>1507</v>
      </c>
      <c r="K597" s="3">
        <v>16.195113670000001</v>
      </c>
      <c r="L597" s="3">
        <f t="shared" si="9"/>
        <v>0.16195113670000003</v>
      </c>
      <c r="M597">
        <v>42</v>
      </c>
      <c r="N597" s="6">
        <f>MediCare_Data[[#This Row],[Average_Wait_Time (mins)]]/1440</f>
        <v>2.9166666666666667E-2</v>
      </c>
      <c r="O597" s="2">
        <v>4</v>
      </c>
      <c r="P597" s="10">
        <v>22316</v>
      </c>
      <c r="Q597" s="17" t="str">
        <f>IF(AND(MediCare_Data[[#This Row],[Patient_Gender]]="Male", MediCare_Data[[#This Row],[Treatment_Type]]="Maternity"), "Gender-Treatment Mismatch", "Fine")</f>
        <v>Fine</v>
      </c>
      <c r="R597" s="10">
        <f>MediCare_Data[[#This Row],[Revenue_Generated]]-MediCare_Data[[#This Row],[Average_Treatment_Cost]]</f>
        <v>20809</v>
      </c>
      <c r="S597" s="3">
        <f>(MediCare_Data[[#This Row],[Profit]]/MediCare_Data[[#This Row],[Revenue_Generated]])</f>
        <v>0.93246997669833298</v>
      </c>
    </row>
    <row r="598" spans="1:19" x14ac:dyDescent="0.25">
      <c r="A598" t="s">
        <v>645</v>
      </c>
      <c r="B598" t="s">
        <v>64</v>
      </c>
      <c r="C598" t="s">
        <v>15</v>
      </c>
      <c r="D598" t="s">
        <v>32</v>
      </c>
      <c r="E598">
        <v>59</v>
      </c>
      <c r="F598" t="str">
        <f>IF(MediCare_Data[[#This Row],[Patient_Age]]&lt;=18,"0-18",IF(MediCare_Data[[#This Row],[Patient_Age]]&lt;=35,"19-35",IF(MediCare_Data[[#This Row],[Patient_Age]]&lt;=60,"36-60","60+")))</f>
        <v>36-60</v>
      </c>
      <c r="G598" t="s">
        <v>43</v>
      </c>
      <c r="H598" t="s">
        <v>37</v>
      </c>
      <c r="I598" s="2">
        <v>90</v>
      </c>
      <c r="J598" s="11">
        <v>5945</v>
      </c>
      <c r="K598" s="3">
        <v>15.54799244</v>
      </c>
      <c r="L598" s="3">
        <f t="shared" si="9"/>
        <v>0.1554799244</v>
      </c>
      <c r="M598">
        <v>23</v>
      </c>
      <c r="N598" s="6">
        <f>MediCare_Data[[#This Row],[Average_Wait_Time (mins)]]/1440</f>
        <v>1.5972222222222221E-2</v>
      </c>
      <c r="O598" s="2">
        <v>1</v>
      </c>
      <c r="P598" s="10">
        <v>38371</v>
      </c>
      <c r="Q598" s="17" t="str">
        <f>IF(AND(MediCare_Data[[#This Row],[Patient_Gender]]="Male", MediCare_Data[[#This Row],[Treatment_Type]]="Maternity"), "Gender-Treatment Mismatch", "Fine")</f>
        <v>Fine</v>
      </c>
      <c r="R598" s="10">
        <f>MediCare_Data[[#This Row],[Revenue_Generated]]-MediCare_Data[[#This Row],[Average_Treatment_Cost]]</f>
        <v>32426</v>
      </c>
      <c r="S598" s="3">
        <f>(MediCare_Data[[#This Row],[Profit]]/MediCare_Data[[#This Row],[Revenue_Generated]])</f>
        <v>0.84506528367777745</v>
      </c>
    </row>
    <row r="599" spans="1:19" x14ac:dyDescent="0.25">
      <c r="A599" t="s">
        <v>646</v>
      </c>
      <c r="B599" t="s">
        <v>28</v>
      </c>
      <c r="C599" t="s">
        <v>15</v>
      </c>
      <c r="D599" t="s">
        <v>16</v>
      </c>
      <c r="E599">
        <v>5</v>
      </c>
      <c r="F599" t="str">
        <f>IF(MediCare_Data[[#This Row],[Patient_Age]]&lt;=18,"0-18",IF(MediCare_Data[[#This Row],[Patient_Age]]&lt;=35,"19-35",IF(MediCare_Data[[#This Row],[Patient_Age]]&lt;=60,"36-60","60+")))</f>
        <v>0-18</v>
      </c>
      <c r="G599" t="s">
        <v>22</v>
      </c>
      <c r="H599" t="s">
        <v>33</v>
      </c>
      <c r="I599" s="2">
        <v>79</v>
      </c>
      <c r="J599" s="11">
        <v>5852</v>
      </c>
      <c r="K599" s="3">
        <v>19.387072450000002</v>
      </c>
      <c r="L599" s="3">
        <f t="shared" si="9"/>
        <v>0.19387072450000001</v>
      </c>
      <c r="M599">
        <v>171</v>
      </c>
      <c r="N599" s="6">
        <f>MediCare_Data[[#This Row],[Average_Wait_Time (mins)]]/1440</f>
        <v>0.11874999999999999</v>
      </c>
      <c r="O599" s="2">
        <v>3</v>
      </c>
      <c r="P599" s="10">
        <v>20162</v>
      </c>
      <c r="Q599" s="17" t="str">
        <f>IF(AND(MediCare_Data[[#This Row],[Patient_Gender]]="Male", MediCare_Data[[#This Row],[Treatment_Type]]="Maternity"), "Gender-Treatment Mismatch", "Fine")</f>
        <v>Fine</v>
      </c>
      <c r="R599" s="10">
        <f>MediCare_Data[[#This Row],[Revenue_Generated]]-MediCare_Data[[#This Row],[Average_Treatment_Cost]]</f>
        <v>14310</v>
      </c>
      <c r="S599" s="3">
        <f>(MediCare_Data[[#This Row],[Profit]]/MediCare_Data[[#This Row],[Revenue_Generated]])</f>
        <v>0.70975101676420993</v>
      </c>
    </row>
    <row r="600" spans="1:19" x14ac:dyDescent="0.25">
      <c r="A600" t="s">
        <v>647</v>
      </c>
      <c r="B600" t="s">
        <v>39</v>
      </c>
      <c r="C600" t="s">
        <v>54</v>
      </c>
      <c r="D600" t="s">
        <v>32</v>
      </c>
      <c r="E600">
        <v>68</v>
      </c>
      <c r="F600" t="str">
        <f>IF(MediCare_Data[[#This Row],[Patient_Age]]&lt;=18,"0-18",IF(MediCare_Data[[#This Row],[Patient_Age]]&lt;=35,"19-35",IF(MediCare_Data[[#This Row],[Patient_Age]]&lt;=60,"36-60","60+")))</f>
        <v>60+</v>
      </c>
      <c r="G600" t="s">
        <v>26</v>
      </c>
      <c r="H600" t="s">
        <v>33</v>
      </c>
      <c r="I600" s="2">
        <v>66</v>
      </c>
      <c r="J600" s="11">
        <v>9939</v>
      </c>
      <c r="K600" s="3">
        <v>22.80516106</v>
      </c>
      <c r="L600" s="3">
        <f t="shared" si="9"/>
        <v>0.22805161060000001</v>
      </c>
      <c r="M600">
        <v>141</v>
      </c>
      <c r="N600" s="6">
        <f>MediCare_Data[[#This Row],[Average_Wait_Time (mins)]]/1440</f>
        <v>9.7916666666666666E-2</v>
      </c>
      <c r="O600" s="2">
        <v>2</v>
      </c>
      <c r="P600" s="10">
        <v>16960</v>
      </c>
      <c r="Q600" s="17" t="str">
        <f>IF(AND(MediCare_Data[[#This Row],[Patient_Gender]]="Male", MediCare_Data[[#This Row],[Treatment_Type]]="Maternity"), "Gender-Treatment Mismatch", "Fine")</f>
        <v>Fine</v>
      </c>
      <c r="R600" s="10">
        <f>MediCare_Data[[#This Row],[Revenue_Generated]]-MediCare_Data[[#This Row],[Average_Treatment_Cost]]</f>
        <v>7021</v>
      </c>
      <c r="S600" s="3">
        <f>(MediCare_Data[[#This Row],[Profit]]/MediCare_Data[[#This Row],[Revenue_Generated]])</f>
        <v>0.41397405660377357</v>
      </c>
    </row>
    <row r="601" spans="1:19" x14ac:dyDescent="0.25">
      <c r="A601" t="s">
        <v>648</v>
      </c>
      <c r="B601" t="s">
        <v>14</v>
      </c>
      <c r="C601" t="s">
        <v>15</v>
      </c>
      <c r="D601" t="s">
        <v>32</v>
      </c>
      <c r="E601">
        <v>72</v>
      </c>
      <c r="F601" t="str">
        <f>IF(MediCare_Data[[#This Row],[Patient_Age]]&lt;=18,"0-18",IF(MediCare_Data[[#This Row],[Patient_Age]]&lt;=35,"19-35",IF(MediCare_Data[[#This Row],[Patient_Age]]&lt;=60,"36-60","60+")))</f>
        <v>60+</v>
      </c>
      <c r="G601" t="s">
        <v>43</v>
      </c>
      <c r="H601" t="s">
        <v>23</v>
      </c>
      <c r="I601" s="2">
        <v>98</v>
      </c>
      <c r="J601" s="11">
        <v>1935</v>
      </c>
      <c r="K601" s="3">
        <v>6.5881316930000002</v>
      </c>
      <c r="L601" s="3">
        <f t="shared" si="9"/>
        <v>6.5881316930000003E-2</v>
      </c>
      <c r="M601">
        <v>68</v>
      </c>
      <c r="N601" s="6">
        <f>MediCare_Data[[#This Row],[Average_Wait_Time (mins)]]/1440</f>
        <v>4.7222222222222221E-2</v>
      </c>
      <c r="O601" s="2">
        <v>3</v>
      </c>
      <c r="P601" s="10">
        <v>31791</v>
      </c>
      <c r="Q601" s="17" t="str">
        <f>IF(AND(MediCare_Data[[#This Row],[Patient_Gender]]="Male", MediCare_Data[[#This Row],[Treatment_Type]]="Maternity"), "Gender-Treatment Mismatch", "Fine")</f>
        <v>Fine</v>
      </c>
      <c r="R601" s="10">
        <f>MediCare_Data[[#This Row],[Revenue_Generated]]-MediCare_Data[[#This Row],[Average_Treatment_Cost]]</f>
        <v>29856</v>
      </c>
      <c r="S601" s="3">
        <f>(MediCare_Data[[#This Row],[Profit]]/MediCare_Data[[#This Row],[Revenue_Generated]])</f>
        <v>0.93913371708974236</v>
      </c>
    </row>
    <row r="602" spans="1:19" x14ac:dyDescent="0.25">
      <c r="A602" t="s">
        <v>649</v>
      </c>
      <c r="B602" t="s">
        <v>49</v>
      </c>
      <c r="C602" t="s">
        <v>15</v>
      </c>
      <c r="D602" t="s">
        <v>16</v>
      </c>
      <c r="E602">
        <v>79</v>
      </c>
      <c r="F602" t="str">
        <f>IF(MediCare_Data[[#This Row],[Patient_Age]]&lt;=18,"0-18",IF(MediCare_Data[[#This Row],[Patient_Age]]&lt;=35,"19-35",IF(MediCare_Data[[#This Row],[Patient_Age]]&lt;=60,"36-60","60+")))</f>
        <v>60+</v>
      </c>
      <c r="G602" t="s">
        <v>43</v>
      </c>
      <c r="H602" t="s">
        <v>37</v>
      </c>
      <c r="I602" s="2">
        <v>69</v>
      </c>
      <c r="J602" s="11">
        <v>1071</v>
      </c>
      <c r="K602" s="3">
        <v>19.62992981</v>
      </c>
      <c r="L602" s="3">
        <f t="shared" si="9"/>
        <v>0.19629929809999999</v>
      </c>
      <c r="M602">
        <v>166</v>
      </c>
      <c r="N602" s="6">
        <f>MediCare_Data[[#This Row],[Average_Wait_Time (mins)]]/1440</f>
        <v>0.11527777777777778</v>
      </c>
      <c r="O602" s="2">
        <v>3</v>
      </c>
      <c r="P602" s="10">
        <v>43230</v>
      </c>
      <c r="Q602" s="17" t="str">
        <f>IF(AND(MediCare_Data[[#This Row],[Patient_Gender]]="Male", MediCare_Data[[#This Row],[Treatment_Type]]="Maternity"), "Gender-Treatment Mismatch", "Fine")</f>
        <v>Gender-Treatment Mismatch</v>
      </c>
      <c r="R602" s="10">
        <f>MediCare_Data[[#This Row],[Revenue_Generated]]-MediCare_Data[[#This Row],[Average_Treatment_Cost]]</f>
        <v>42159</v>
      </c>
      <c r="S602" s="3">
        <f>(MediCare_Data[[#This Row],[Profit]]/MediCare_Data[[#This Row],[Revenue_Generated]])</f>
        <v>0.97522553782095767</v>
      </c>
    </row>
    <row r="603" spans="1:19" x14ac:dyDescent="0.25">
      <c r="A603" t="s">
        <v>650</v>
      </c>
      <c r="B603" t="s">
        <v>56</v>
      </c>
      <c r="C603" t="s">
        <v>54</v>
      </c>
      <c r="D603" t="s">
        <v>32</v>
      </c>
      <c r="E603">
        <v>81</v>
      </c>
      <c r="F603" t="str">
        <f>IF(MediCare_Data[[#This Row],[Patient_Age]]&lt;=18,"0-18",IF(MediCare_Data[[#This Row],[Patient_Age]]&lt;=35,"19-35",IF(MediCare_Data[[#This Row],[Patient_Age]]&lt;=60,"36-60","60+")))</f>
        <v>60+</v>
      </c>
      <c r="G603" t="s">
        <v>26</v>
      </c>
      <c r="H603" t="s">
        <v>33</v>
      </c>
      <c r="I603" s="2">
        <v>97</v>
      </c>
      <c r="J603" s="11">
        <v>2882</v>
      </c>
      <c r="K603" s="3">
        <v>8.7482388820000008</v>
      </c>
      <c r="L603" s="3">
        <f t="shared" si="9"/>
        <v>8.7482388820000007E-2</v>
      </c>
      <c r="M603">
        <v>92</v>
      </c>
      <c r="N603" s="6">
        <f>MediCare_Data[[#This Row],[Average_Wait_Time (mins)]]/1440</f>
        <v>6.3888888888888884E-2</v>
      </c>
      <c r="O603" s="2">
        <v>3</v>
      </c>
      <c r="P603" s="10">
        <v>26216</v>
      </c>
      <c r="Q603" s="17" t="str">
        <f>IF(AND(MediCare_Data[[#This Row],[Patient_Gender]]="Male", MediCare_Data[[#This Row],[Treatment_Type]]="Maternity"), "Gender-Treatment Mismatch", "Fine")</f>
        <v>Fine</v>
      </c>
      <c r="R603" s="10">
        <f>MediCare_Data[[#This Row],[Revenue_Generated]]-MediCare_Data[[#This Row],[Average_Treatment_Cost]]</f>
        <v>23334</v>
      </c>
      <c r="S603" s="3">
        <f>(MediCare_Data[[#This Row],[Profit]]/MediCare_Data[[#This Row],[Revenue_Generated]])</f>
        <v>0.89006713457430575</v>
      </c>
    </row>
    <row r="604" spans="1:19" x14ac:dyDescent="0.25">
      <c r="A604" t="s">
        <v>651</v>
      </c>
      <c r="B604" t="s">
        <v>39</v>
      </c>
      <c r="C604" t="s">
        <v>20</v>
      </c>
      <c r="D604" t="s">
        <v>16</v>
      </c>
      <c r="E604">
        <v>24</v>
      </c>
      <c r="F604" t="str">
        <f>IF(MediCare_Data[[#This Row],[Patient_Age]]&lt;=18,"0-18",IF(MediCare_Data[[#This Row],[Patient_Age]]&lt;=35,"19-35",IF(MediCare_Data[[#This Row],[Patient_Age]]&lt;=60,"36-60","60+")))</f>
        <v>19-35</v>
      </c>
      <c r="G604" t="s">
        <v>43</v>
      </c>
      <c r="H604" t="s">
        <v>47</v>
      </c>
      <c r="I604" s="2">
        <v>74</v>
      </c>
      <c r="J604" s="11">
        <v>9937</v>
      </c>
      <c r="K604" s="3">
        <v>22.16354106</v>
      </c>
      <c r="L604" s="3">
        <f t="shared" si="9"/>
        <v>0.2216354106</v>
      </c>
      <c r="M604">
        <v>143</v>
      </c>
      <c r="N604" s="6">
        <f>MediCare_Data[[#This Row],[Average_Wait_Time (mins)]]/1440</f>
        <v>9.930555555555555E-2</v>
      </c>
      <c r="O604" s="2">
        <v>3</v>
      </c>
      <c r="P604" s="10">
        <v>33467</v>
      </c>
      <c r="Q604" s="17" t="str">
        <f>IF(AND(MediCare_Data[[#This Row],[Patient_Gender]]="Male", MediCare_Data[[#This Row],[Treatment_Type]]="Maternity"), "Gender-Treatment Mismatch", "Fine")</f>
        <v>Fine</v>
      </c>
      <c r="R604" s="10">
        <f>MediCare_Data[[#This Row],[Revenue_Generated]]-MediCare_Data[[#This Row],[Average_Treatment_Cost]]</f>
        <v>23530</v>
      </c>
      <c r="S604" s="3">
        <f>(MediCare_Data[[#This Row],[Profit]]/MediCare_Data[[#This Row],[Revenue_Generated]])</f>
        <v>0.70308064660710545</v>
      </c>
    </row>
    <row r="605" spans="1:19" x14ac:dyDescent="0.25">
      <c r="A605" t="s">
        <v>652</v>
      </c>
      <c r="B605" t="s">
        <v>64</v>
      </c>
      <c r="C605" t="s">
        <v>54</v>
      </c>
      <c r="D605" t="s">
        <v>21</v>
      </c>
      <c r="E605">
        <v>76</v>
      </c>
      <c r="F605" t="str">
        <f>IF(MediCare_Data[[#This Row],[Patient_Age]]&lt;=18,"0-18",IF(MediCare_Data[[#This Row],[Patient_Age]]&lt;=35,"19-35",IF(MediCare_Data[[#This Row],[Patient_Age]]&lt;=60,"36-60","60+")))</f>
        <v>60+</v>
      </c>
      <c r="G605" t="s">
        <v>22</v>
      </c>
      <c r="H605" t="s">
        <v>51</v>
      </c>
      <c r="I605" s="2">
        <v>71</v>
      </c>
      <c r="J605" s="11">
        <v>5584</v>
      </c>
      <c r="K605" s="3">
        <v>21.381270279999999</v>
      </c>
      <c r="L605" s="3">
        <f t="shared" si="9"/>
        <v>0.21381270279999998</v>
      </c>
      <c r="M605">
        <v>130</v>
      </c>
      <c r="N605" s="6">
        <f>MediCare_Data[[#This Row],[Average_Wait_Time (mins)]]/1440</f>
        <v>9.0277777777777776E-2</v>
      </c>
      <c r="O605" s="2">
        <v>3</v>
      </c>
      <c r="P605" s="10">
        <v>47934</v>
      </c>
      <c r="Q605" s="17" t="str">
        <f>IF(AND(MediCare_Data[[#This Row],[Patient_Gender]]="Male", MediCare_Data[[#This Row],[Treatment_Type]]="Maternity"), "Gender-Treatment Mismatch", "Fine")</f>
        <v>Fine</v>
      </c>
      <c r="R605" s="10">
        <f>MediCare_Data[[#This Row],[Revenue_Generated]]-MediCare_Data[[#This Row],[Average_Treatment_Cost]]</f>
        <v>42350</v>
      </c>
      <c r="S605" s="3">
        <f>(MediCare_Data[[#This Row],[Profit]]/MediCare_Data[[#This Row],[Revenue_Generated]])</f>
        <v>0.88350648808778742</v>
      </c>
    </row>
    <row r="606" spans="1:19" x14ac:dyDescent="0.25">
      <c r="A606" t="s">
        <v>653</v>
      </c>
      <c r="B606" t="s">
        <v>74</v>
      </c>
      <c r="C606" t="s">
        <v>54</v>
      </c>
      <c r="D606" t="s">
        <v>32</v>
      </c>
      <c r="E606">
        <v>23</v>
      </c>
      <c r="F606" t="str">
        <f>IF(MediCare_Data[[#This Row],[Patient_Age]]&lt;=18,"0-18",IF(MediCare_Data[[#This Row],[Patient_Age]]&lt;=35,"19-35",IF(MediCare_Data[[#This Row],[Patient_Age]]&lt;=60,"36-60","60+")))</f>
        <v>19-35</v>
      </c>
      <c r="G606" t="s">
        <v>22</v>
      </c>
      <c r="H606" t="s">
        <v>47</v>
      </c>
      <c r="I606" s="2">
        <v>62</v>
      </c>
      <c r="J606" s="11">
        <v>777</v>
      </c>
      <c r="K606" s="3">
        <v>15.8158751</v>
      </c>
      <c r="L606" s="3">
        <f t="shared" si="9"/>
        <v>0.15815875099999999</v>
      </c>
      <c r="M606">
        <v>177</v>
      </c>
      <c r="N606" s="6">
        <f>MediCare_Data[[#This Row],[Average_Wait_Time (mins)]]/1440</f>
        <v>0.12291666666666666</v>
      </c>
      <c r="O606" s="2">
        <v>1</v>
      </c>
      <c r="P606" s="10">
        <v>8754</v>
      </c>
      <c r="Q606" s="17" t="str">
        <f>IF(AND(MediCare_Data[[#This Row],[Patient_Gender]]="Male", MediCare_Data[[#This Row],[Treatment_Type]]="Maternity"), "Gender-Treatment Mismatch", "Fine")</f>
        <v>Fine</v>
      </c>
      <c r="R606" s="10">
        <f>MediCare_Data[[#This Row],[Revenue_Generated]]-MediCare_Data[[#This Row],[Average_Treatment_Cost]]</f>
        <v>7977</v>
      </c>
      <c r="S606" s="3">
        <f>(MediCare_Data[[#This Row],[Profit]]/MediCare_Data[[#This Row],[Revenue_Generated]])</f>
        <v>0.91124057573680606</v>
      </c>
    </row>
    <row r="607" spans="1:19" x14ac:dyDescent="0.25">
      <c r="A607" t="s">
        <v>654</v>
      </c>
      <c r="B607" t="s">
        <v>74</v>
      </c>
      <c r="C607" t="s">
        <v>20</v>
      </c>
      <c r="D607" t="s">
        <v>16</v>
      </c>
      <c r="E607">
        <v>44</v>
      </c>
      <c r="F607" t="str">
        <f>IF(MediCare_Data[[#This Row],[Patient_Age]]&lt;=18,"0-18",IF(MediCare_Data[[#This Row],[Patient_Age]]&lt;=35,"19-35",IF(MediCare_Data[[#This Row],[Patient_Age]]&lt;=60,"36-60","60+")))</f>
        <v>36-60</v>
      </c>
      <c r="G607" t="s">
        <v>43</v>
      </c>
      <c r="H607" t="s">
        <v>47</v>
      </c>
      <c r="I607" s="2">
        <v>68</v>
      </c>
      <c r="J607" s="11">
        <v>7559</v>
      </c>
      <c r="K607" s="3">
        <v>19.204855970000001</v>
      </c>
      <c r="L607" s="3">
        <f t="shared" si="9"/>
        <v>0.19204855970000001</v>
      </c>
      <c r="M607">
        <v>92</v>
      </c>
      <c r="N607" s="6">
        <f>MediCare_Data[[#This Row],[Average_Wait_Time (mins)]]/1440</f>
        <v>6.3888888888888884E-2</v>
      </c>
      <c r="O607" s="2">
        <v>1</v>
      </c>
      <c r="P607" s="10">
        <v>48014</v>
      </c>
      <c r="Q607" s="17" t="str">
        <f>IF(AND(MediCare_Data[[#This Row],[Patient_Gender]]="Male", MediCare_Data[[#This Row],[Treatment_Type]]="Maternity"), "Gender-Treatment Mismatch", "Fine")</f>
        <v>Fine</v>
      </c>
      <c r="R607" s="10">
        <f>MediCare_Data[[#This Row],[Revenue_Generated]]-MediCare_Data[[#This Row],[Average_Treatment_Cost]]</f>
        <v>40455</v>
      </c>
      <c r="S607" s="3">
        <f>(MediCare_Data[[#This Row],[Profit]]/MediCare_Data[[#This Row],[Revenue_Generated]])</f>
        <v>0.84256675136418546</v>
      </c>
    </row>
    <row r="608" spans="1:19" x14ac:dyDescent="0.25">
      <c r="A608" t="s">
        <v>655</v>
      </c>
      <c r="B608" t="s">
        <v>74</v>
      </c>
      <c r="C608" t="s">
        <v>31</v>
      </c>
      <c r="D608" t="s">
        <v>32</v>
      </c>
      <c r="E608">
        <v>50</v>
      </c>
      <c r="F608" t="str">
        <f>IF(MediCare_Data[[#This Row],[Patient_Age]]&lt;=18,"0-18",IF(MediCare_Data[[#This Row],[Patient_Age]]&lt;=35,"19-35",IF(MediCare_Data[[#This Row],[Patient_Age]]&lt;=60,"36-60","60+")))</f>
        <v>36-60</v>
      </c>
      <c r="G608" t="s">
        <v>22</v>
      </c>
      <c r="H608" t="s">
        <v>33</v>
      </c>
      <c r="I608" s="2">
        <v>98</v>
      </c>
      <c r="J608" s="11">
        <v>2387</v>
      </c>
      <c r="K608" s="3">
        <v>11.28700226</v>
      </c>
      <c r="L608" s="3">
        <f t="shared" si="9"/>
        <v>0.11287002259999999</v>
      </c>
      <c r="M608">
        <v>36</v>
      </c>
      <c r="N608" s="6">
        <f>MediCare_Data[[#This Row],[Average_Wait_Time (mins)]]/1440</f>
        <v>2.5000000000000001E-2</v>
      </c>
      <c r="O608" s="2">
        <v>4</v>
      </c>
      <c r="P608" s="10">
        <v>5078</v>
      </c>
      <c r="Q608" s="17" t="str">
        <f>IF(AND(MediCare_Data[[#This Row],[Patient_Gender]]="Male", MediCare_Data[[#This Row],[Treatment_Type]]="Maternity"), "Gender-Treatment Mismatch", "Fine")</f>
        <v>Fine</v>
      </c>
      <c r="R608" s="10">
        <f>MediCare_Data[[#This Row],[Revenue_Generated]]-MediCare_Data[[#This Row],[Average_Treatment_Cost]]</f>
        <v>2691</v>
      </c>
      <c r="S608" s="3">
        <f>(MediCare_Data[[#This Row],[Profit]]/MediCare_Data[[#This Row],[Revenue_Generated]])</f>
        <v>0.52993304450571088</v>
      </c>
    </row>
    <row r="609" spans="1:19" x14ac:dyDescent="0.25">
      <c r="A609" t="s">
        <v>656</v>
      </c>
      <c r="B609" t="s">
        <v>61</v>
      </c>
      <c r="C609" t="s">
        <v>54</v>
      </c>
      <c r="D609" t="s">
        <v>21</v>
      </c>
      <c r="E609">
        <v>67</v>
      </c>
      <c r="F609" t="str">
        <f>IF(MediCare_Data[[#This Row],[Patient_Age]]&lt;=18,"0-18",IF(MediCare_Data[[#This Row],[Patient_Age]]&lt;=35,"19-35",IF(MediCare_Data[[#This Row],[Patient_Age]]&lt;=60,"36-60","60+")))</f>
        <v>60+</v>
      </c>
      <c r="G609" t="s">
        <v>43</v>
      </c>
      <c r="H609" t="s">
        <v>23</v>
      </c>
      <c r="I609" s="2">
        <v>85</v>
      </c>
      <c r="J609" s="11">
        <v>1765</v>
      </c>
      <c r="K609" s="3">
        <v>14.42335798</v>
      </c>
      <c r="L609" s="3">
        <f t="shared" si="9"/>
        <v>0.14423357980000001</v>
      </c>
      <c r="M609">
        <v>89</v>
      </c>
      <c r="N609" s="6">
        <f>MediCare_Data[[#This Row],[Average_Wait_Time (mins)]]/1440</f>
        <v>6.1805555555555558E-2</v>
      </c>
      <c r="O609" s="2">
        <v>1</v>
      </c>
      <c r="P609" s="10">
        <v>13853</v>
      </c>
      <c r="Q609" s="17" t="str">
        <f>IF(AND(MediCare_Data[[#This Row],[Patient_Gender]]="Male", MediCare_Data[[#This Row],[Treatment_Type]]="Maternity"), "Gender-Treatment Mismatch", "Fine")</f>
        <v>Fine</v>
      </c>
      <c r="R609" s="10">
        <f>MediCare_Data[[#This Row],[Revenue_Generated]]-MediCare_Data[[#This Row],[Average_Treatment_Cost]]</f>
        <v>12088</v>
      </c>
      <c r="S609" s="3">
        <f>(MediCare_Data[[#This Row],[Profit]]/MediCare_Data[[#This Row],[Revenue_Generated]])</f>
        <v>0.87259077456146683</v>
      </c>
    </row>
    <row r="610" spans="1:19" x14ac:dyDescent="0.25">
      <c r="A610" t="s">
        <v>657</v>
      </c>
      <c r="B610" t="s">
        <v>74</v>
      </c>
      <c r="C610" t="s">
        <v>54</v>
      </c>
      <c r="D610" t="s">
        <v>21</v>
      </c>
      <c r="E610">
        <v>22</v>
      </c>
      <c r="F610" t="str">
        <f>IF(MediCare_Data[[#This Row],[Patient_Age]]&lt;=18,"0-18",IF(MediCare_Data[[#This Row],[Patient_Age]]&lt;=35,"19-35",IF(MediCare_Data[[#This Row],[Patient_Age]]&lt;=60,"36-60","60+")))</f>
        <v>19-35</v>
      </c>
      <c r="G610" t="s">
        <v>17</v>
      </c>
      <c r="H610" t="s">
        <v>51</v>
      </c>
      <c r="I610" s="2">
        <v>61</v>
      </c>
      <c r="J610" s="11">
        <v>7991</v>
      </c>
      <c r="K610" s="3">
        <v>21.43273795</v>
      </c>
      <c r="L610" s="3">
        <f t="shared" si="9"/>
        <v>0.2143273795</v>
      </c>
      <c r="M610">
        <v>143</v>
      </c>
      <c r="N610" s="6">
        <f>MediCare_Data[[#This Row],[Average_Wait_Time (mins)]]/1440</f>
        <v>9.930555555555555E-2</v>
      </c>
      <c r="O610" s="2">
        <v>4</v>
      </c>
      <c r="P610" s="10">
        <v>5042</v>
      </c>
      <c r="Q610" s="17" t="str">
        <f>IF(AND(MediCare_Data[[#This Row],[Patient_Gender]]="Male", MediCare_Data[[#This Row],[Treatment_Type]]="Maternity"), "Gender-Treatment Mismatch", "Fine")</f>
        <v>Fine</v>
      </c>
      <c r="R610" s="10">
        <f>MediCare_Data[[#This Row],[Revenue_Generated]]-MediCare_Data[[#This Row],[Average_Treatment_Cost]]</f>
        <v>-2949</v>
      </c>
      <c r="S610" s="3">
        <f>(MediCare_Data[[#This Row],[Profit]]/MediCare_Data[[#This Row],[Revenue_Generated]])</f>
        <v>-0.58488694962316545</v>
      </c>
    </row>
    <row r="611" spans="1:19" x14ac:dyDescent="0.25">
      <c r="A611" t="s">
        <v>658</v>
      </c>
      <c r="B611" t="s">
        <v>61</v>
      </c>
      <c r="C611" t="s">
        <v>36</v>
      </c>
      <c r="D611" t="s">
        <v>21</v>
      </c>
      <c r="E611">
        <v>34</v>
      </c>
      <c r="F611" t="str">
        <f>IF(MediCare_Data[[#This Row],[Patient_Age]]&lt;=18,"0-18",IF(MediCare_Data[[#This Row],[Patient_Age]]&lt;=35,"19-35",IF(MediCare_Data[[#This Row],[Patient_Age]]&lt;=60,"36-60","60+")))</f>
        <v>19-35</v>
      </c>
      <c r="G611" t="s">
        <v>22</v>
      </c>
      <c r="H611" t="s">
        <v>23</v>
      </c>
      <c r="I611" s="2">
        <v>90</v>
      </c>
      <c r="J611" s="11">
        <v>1540</v>
      </c>
      <c r="K611" s="3">
        <v>14.185303940000001</v>
      </c>
      <c r="L611" s="3">
        <f t="shared" si="9"/>
        <v>0.14185303940000002</v>
      </c>
      <c r="M611">
        <v>22</v>
      </c>
      <c r="N611" s="6">
        <f>MediCare_Data[[#This Row],[Average_Wait_Time (mins)]]/1440</f>
        <v>1.5277777777777777E-2</v>
      </c>
      <c r="O611" s="2">
        <v>4</v>
      </c>
      <c r="P611" s="10">
        <v>15389</v>
      </c>
      <c r="Q611" s="17" t="str">
        <f>IF(AND(MediCare_Data[[#This Row],[Patient_Gender]]="Male", MediCare_Data[[#This Row],[Treatment_Type]]="Maternity"), "Gender-Treatment Mismatch", "Fine")</f>
        <v>Fine</v>
      </c>
      <c r="R611" s="10">
        <f>MediCare_Data[[#This Row],[Revenue_Generated]]-MediCare_Data[[#This Row],[Average_Treatment_Cost]]</f>
        <v>13849</v>
      </c>
      <c r="S611" s="3">
        <f>(MediCare_Data[[#This Row],[Profit]]/MediCare_Data[[#This Row],[Revenue_Generated]])</f>
        <v>0.89992852037169402</v>
      </c>
    </row>
    <row r="612" spans="1:19" x14ac:dyDescent="0.25">
      <c r="A612" t="s">
        <v>659</v>
      </c>
      <c r="B612" t="s">
        <v>64</v>
      </c>
      <c r="C612" t="s">
        <v>20</v>
      </c>
      <c r="D612" t="s">
        <v>16</v>
      </c>
      <c r="E612">
        <v>27</v>
      </c>
      <c r="F612" t="str">
        <f>IF(MediCare_Data[[#This Row],[Patient_Age]]&lt;=18,"0-18",IF(MediCare_Data[[#This Row],[Patient_Age]]&lt;=35,"19-35",IF(MediCare_Data[[#This Row],[Patient_Age]]&lt;=60,"36-60","60+")))</f>
        <v>19-35</v>
      </c>
      <c r="G612" t="s">
        <v>43</v>
      </c>
      <c r="H612" t="s">
        <v>33</v>
      </c>
      <c r="I612" s="2">
        <v>68</v>
      </c>
      <c r="J612" s="11">
        <v>9609</v>
      </c>
      <c r="K612" s="3">
        <v>12.155965309999999</v>
      </c>
      <c r="L612" s="3">
        <f t="shared" si="9"/>
        <v>0.1215596531</v>
      </c>
      <c r="M612">
        <v>73</v>
      </c>
      <c r="N612" s="6">
        <f>MediCare_Data[[#This Row],[Average_Wait_Time (mins)]]/1440</f>
        <v>5.0694444444444445E-2</v>
      </c>
      <c r="O612" s="2">
        <v>2</v>
      </c>
      <c r="P612" s="10">
        <v>31425</v>
      </c>
      <c r="Q612" s="17" t="str">
        <f>IF(AND(MediCare_Data[[#This Row],[Patient_Gender]]="Male", MediCare_Data[[#This Row],[Treatment_Type]]="Maternity"), "Gender-Treatment Mismatch", "Fine")</f>
        <v>Fine</v>
      </c>
      <c r="R612" s="10">
        <f>MediCare_Data[[#This Row],[Revenue_Generated]]-MediCare_Data[[#This Row],[Average_Treatment_Cost]]</f>
        <v>21816</v>
      </c>
      <c r="S612" s="3">
        <f>(MediCare_Data[[#This Row],[Profit]]/MediCare_Data[[#This Row],[Revenue_Generated]])</f>
        <v>0.69422434367541763</v>
      </c>
    </row>
    <row r="613" spans="1:19" x14ac:dyDescent="0.25">
      <c r="A613" t="s">
        <v>660</v>
      </c>
      <c r="B613" t="s">
        <v>41</v>
      </c>
      <c r="C613" t="s">
        <v>42</v>
      </c>
      <c r="D613" t="s">
        <v>16</v>
      </c>
      <c r="E613">
        <v>70</v>
      </c>
      <c r="F613" t="str">
        <f>IF(MediCare_Data[[#This Row],[Patient_Age]]&lt;=18,"0-18",IF(MediCare_Data[[#This Row],[Patient_Age]]&lt;=35,"19-35",IF(MediCare_Data[[#This Row],[Patient_Age]]&lt;=60,"36-60","60+")))</f>
        <v>60+</v>
      </c>
      <c r="G613" t="s">
        <v>22</v>
      </c>
      <c r="H613" t="s">
        <v>37</v>
      </c>
      <c r="I613" s="2">
        <v>61</v>
      </c>
      <c r="J613" s="11">
        <v>8573</v>
      </c>
      <c r="K613" s="3">
        <v>14.88424895</v>
      </c>
      <c r="L613" s="3">
        <f t="shared" si="9"/>
        <v>0.14884248950000001</v>
      </c>
      <c r="M613">
        <v>156</v>
      </c>
      <c r="N613" s="6">
        <f>MediCare_Data[[#This Row],[Average_Wait_Time (mins)]]/1440</f>
        <v>0.10833333333333334</v>
      </c>
      <c r="O613" s="2">
        <v>3</v>
      </c>
      <c r="P613" s="10">
        <v>3575</v>
      </c>
      <c r="Q613" s="17" t="str">
        <f>IF(AND(MediCare_Data[[#This Row],[Patient_Gender]]="Male", MediCare_Data[[#This Row],[Treatment_Type]]="Maternity"), "Gender-Treatment Mismatch", "Fine")</f>
        <v>Gender-Treatment Mismatch</v>
      </c>
      <c r="R613" s="10">
        <f>MediCare_Data[[#This Row],[Revenue_Generated]]-MediCare_Data[[#This Row],[Average_Treatment_Cost]]</f>
        <v>-4998</v>
      </c>
      <c r="S613" s="3">
        <f>(MediCare_Data[[#This Row],[Profit]]/MediCare_Data[[#This Row],[Revenue_Generated]])</f>
        <v>-1.3980419580419581</v>
      </c>
    </row>
    <row r="614" spans="1:19" x14ac:dyDescent="0.25">
      <c r="A614" t="s">
        <v>661</v>
      </c>
      <c r="B614" t="s">
        <v>45</v>
      </c>
      <c r="C614" t="s">
        <v>36</v>
      </c>
      <c r="D614" t="s">
        <v>21</v>
      </c>
      <c r="E614">
        <v>37</v>
      </c>
      <c r="F614" t="str">
        <f>IF(MediCare_Data[[#This Row],[Patient_Age]]&lt;=18,"0-18",IF(MediCare_Data[[#This Row],[Patient_Age]]&lt;=35,"19-35",IF(MediCare_Data[[#This Row],[Patient_Age]]&lt;=60,"36-60","60+")))</f>
        <v>36-60</v>
      </c>
      <c r="G614" t="s">
        <v>17</v>
      </c>
      <c r="H614" t="s">
        <v>51</v>
      </c>
      <c r="I614" s="2">
        <v>58</v>
      </c>
      <c r="J614" s="11">
        <v>9577</v>
      </c>
      <c r="K614" s="3">
        <v>21.564985050000001</v>
      </c>
      <c r="L614" s="3">
        <f t="shared" si="9"/>
        <v>0.21564985050000002</v>
      </c>
      <c r="M614">
        <v>89</v>
      </c>
      <c r="N614" s="6">
        <f>MediCare_Data[[#This Row],[Average_Wait_Time (mins)]]/1440</f>
        <v>6.1805555555555558E-2</v>
      </c>
      <c r="O614" s="2">
        <v>1</v>
      </c>
      <c r="P614" s="10">
        <v>40522</v>
      </c>
      <c r="Q614" s="17" t="str">
        <f>IF(AND(MediCare_Data[[#This Row],[Patient_Gender]]="Male", MediCare_Data[[#This Row],[Treatment_Type]]="Maternity"), "Gender-Treatment Mismatch", "Fine")</f>
        <v>Fine</v>
      </c>
      <c r="R614" s="10">
        <f>MediCare_Data[[#This Row],[Revenue_Generated]]-MediCare_Data[[#This Row],[Average_Treatment_Cost]]</f>
        <v>30945</v>
      </c>
      <c r="S614" s="3">
        <f>(MediCare_Data[[#This Row],[Profit]]/MediCare_Data[[#This Row],[Revenue_Generated]])</f>
        <v>0.76365924682888309</v>
      </c>
    </row>
    <row r="615" spans="1:19" x14ac:dyDescent="0.25">
      <c r="A615" t="s">
        <v>662</v>
      </c>
      <c r="B615" t="s">
        <v>56</v>
      </c>
      <c r="C615" t="s">
        <v>42</v>
      </c>
      <c r="D615" t="s">
        <v>32</v>
      </c>
      <c r="E615">
        <v>15</v>
      </c>
      <c r="F615" t="str">
        <f>IF(MediCare_Data[[#This Row],[Patient_Age]]&lt;=18,"0-18",IF(MediCare_Data[[#This Row],[Patient_Age]]&lt;=35,"19-35",IF(MediCare_Data[[#This Row],[Patient_Age]]&lt;=60,"36-60","60+")))</f>
        <v>0-18</v>
      </c>
      <c r="G615" t="s">
        <v>17</v>
      </c>
      <c r="H615" t="s">
        <v>51</v>
      </c>
      <c r="I615" s="2">
        <v>56</v>
      </c>
      <c r="J615" s="11">
        <v>3252</v>
      </c>
      <c r="K615" s="3">
        <v>11.70416095</v>
      </c>
      <c r="L615" s="3">
        <f t="shared" si="9"/>
        <v>0.1170416095</v>
      </c>
      <c r="M615">
        <v>132</v>
      </c>
      <c r="N615" s="6">
        <f>MediCare_Data[[#This Row],[Average_Wait_Time (mins)]]/1440</f>
        <v>9.166666666666666E-2</v>
      </c>
      <c r="O615" s="2">
        <v>2</v>
      </c>
      <c r="P615" s="10">
        <v>29179</v>
      </c>
      <c r="Q615" s="17" t="str">
        <f>IF(AND(MediCare_Data[[#This Row],[Patient_Gender]]="Male", MediCare_Data[[#This Row],[Treatment_Type]]="Maternity"), "Gender-Treatment Mismatch", "Fine")</f>
        <v>Fine</v>
      </c>
      <c r="R615" s="10">
        <f>MediCare_Data[[#This Row],[Revenue_Generated]]-MediCare_Data[[#This Row],[Average_Treatment_Cost]]</f>
        <v>25927</v>
      </c>
      <c r="S615" s="3">
        <f>(MediCare_Data[[#This Row],[Profit]]/MediCare_Data[[#This Row],[Revenue_Generated]])</f>
        <v>0.88854998457794987</v>
      </c>
    </row>
    <row r="616" spans="1:19" x14ac:dyDescent="0.25">
      <c r="A616" t="s">
        <v>663</v>
      </c>
      <c r="B616" t="s">
        <v>56</v>
      </c>
      <c r="C616" t="s">
        <v>20</v>
      </c>
      <c r="D616" t="s">
        <v>32</v>
      </c>
      <c r="E616">
        <v>34</v>
      </c>
      <c r="F616" t="str">
        <f>IF(MediCare_Data[[#This Row],[Patient_Age]]&lt;=18,"0-18",IF(MediCare_Data[[#This Row],[Patient_Age]]&lt;=35,"19-35",IF(MediCare_Data[[#This Row],[Patient_Age]]&lt;=60,"36-60","60+")))</f>
        <v>19-35</v>
      </c>
      <c r="G616" t="s">
        <v>22</v>
      </c>
      <c r="H616" t="s">
        <v>23</v>
      </c>
      <c r="I616" s="2">
        <v>77</v>
      </c>
      <c r="J616" s="11">
        <v>8713</v>
      </c>
      <c r="K616" s="3">
        <v>8.4752318629999994</v>
      </c>
      <c r="L616" s="3">
        <f t="shared" si="9"/>
        <v>8.475231862999999E-2</v>
      </c>
      <c r="M616">
        <v>52</v>
      </c>
      <c r="N616" s="6">
        <f>MediCare_Data[[#This Row],[Average_Wait_Time (mins)]]/1440</f>
        <v>3.6111111111111108E-2</v>
      </c>
      <c r="O616" s="2">
        <v>1</v>
      </c>
      <c r="P616" s="10">
        <v>35754</v>
      </c>
      <c r="Q616" s="17" t="str">
        <f>IF(AND(MediCare_Data[[#This Row],[Patient_Gender]]="Male", MediCare_Data[[#This Row],[Treatment_Type]]="Maternity"), "Gender-Treatment Mismatch", "Fine")</f>
        <v>Fine</v>
      </c>
      <c r="R616" s="10">
        <f>MediCare_Data[[#This Row],[Revenue_Generated]]-MediCare_Data[[#This Row],[Average_Treatment_Cost]]</f>
        <v>27041</v>
      </c>
      <c r="S616" s="3">
        <f>(MediCare_Data[[#This Row],[Profit]]/MediCare_Data[[#This Row],[Revenue_Generated]])</f>
        <v>0.75630698663086648</v>
      </c>
    </row>
    <row r="617" spans="1:19" x14ac:dyDescent="0.25">
      <c r="A617" t="s">
        <v>664</v>
      </c>
      <c r="B617" t="s">
        <v>45</v>
      </c>
      <c r="C617" t="s">
        <v>54</v>
      </c>
      <c r="D617" t="s">
        <v>21</v>
      </c>
      <c r="E617">
        <v>29</v>
      </c>
      <c r="F617" t="str">
        <f>IF(MediCare_Data[[#This Row],[Patient_Age]]&lt;=18,"0-18",IF(MediCare_Data[[#This Row],[Patient_Age]]&lt;=35,"19-35",IF(MediCare_Data[[#This Row],[Patient_Age]]&lt;=60,"36-60","60+")))</f>
        <v>19-35</v>
      </c>
      <c r="G617" t="s">
        <v>17</v>
      </c>
      <c r="H617" t="s">
        <v>18</v>
      </c>
      <c r="I617" s="2">
        <v>63</v>
      </c>
      <c r="J617" s="11">
        <v>5069</v>
      </c>
      <c r="K617" s="3">
        <v>19.24028041</v>
      </c>
      <c r="L617" s="3">
        <f t="shared" si="9"/>
        <v>0.19240280409999999</v>
      </c>
      <c r="M617">
        <v>98</v>
      </c>
      <c r="N617" s="6">
        <f>MediCare_Data[[#This Row],[Average_Wait_Time (mins)]]/1440</f>
        <v>6.805555555555555E-2</v>
      </c>
      <c r="O617" s="2">
        <v>4</v>
      </c>
      <c r="P617" s="10">
        <v>19624</v>
      </c>
      <c r="Q617" s="17" t="str">
        <f>IF(AND(MediCare_Data[[#This Row],[Patient_Gender]]="Male", MediCare_Data[[#This Row],[Treatment_Type]]="Maternity"), "Gender-Treatment Mismatch", "Fine")</f>
        <v>Fine</v>
      </c>
      <c r="R617" s="10">
        <f>MediCare_Data[[#This Row],[Revenue_Generated]]-MediCare_Data[[#This Row],[Average_Treatment_Cost]]</f>
        <v>14555</v>
      </c>
      <c r="S617" s="3">
        <f>(MediCare_Data[[#This Row],[Profit]]/MediCare_Data[[#This Row],[Revenue_Generated]])</f>
        <v>0.74169384427231966</v>
      </c>
    </row>
    <row r="618" spans="1:19" x14ac:dyDescent="0.25">
      <c r="A618" t="s">
        <v>665</v>
      </c>
      <c r="B618" t="s">
        <v>74</v>
      </c>
      <c r="C618" t="s">
        <v>29</v>
      </c>
      <c r="D618" t="s">
        <v>21</v>
      </c>
      <c r="E618">
        <v>81</v>
      </c>
      <c r="F618" t="str">
        <f>IF(MediCare_Data[[#This Row],[Patient_Age]]&lt;=18,"0-18",IF(MediCare_Data[[#This Row],[Patient_Age]]&lt;=35,"19-35",IF(MediCare_Data[[#This Row],[Patient_Age]]&lt;=60,"36-60","60+")))</f>
        <v>60+</v>
      </c>
      <c r="G618" t="s">
        <v>22</v>
      </c>
      <c r="H618" t="s">
        <v>47</v>
      </c>
      <c r="I618" s="2">
        <v>80</v>
      </c>
      <c r="J618" s="11">
        <v>6853</v>
      </c>
      <c r="K618" s="3">
        <v>21.519564249999998</v>
      </c>
      <c r="L618" s="3">
        <f t="shared" si="9"/>
        <v>0.21519564249999998</v>
      </c>
      <c r="M618">
        <v>157</v>
      </c>
      <c r="N618" s="6">
        <f>MediCare_Data[[#This Row],[Average_Wait_Time (mins)]]/1440</f>
        <v>0.10902777777777778</v>
      </c>
      <c r="O618" s="2">
        <v>1</v>
      </c>
      <c r="P618" s="10">
        <v>21350</v>
      </c>
      <c r="Q618" s="17" t="str">
        <f>IF(AND(MediCare_Data[[#This Row],[Patient_Gender]]="Male", MediCare_Data[[#This Row],[Treatment_Type]]="Maternity"), "Gender-Treatment Mismatch", "Fine")</f>
        <v>Fine</v>
      </c>
      <c r="R618" s="10">
        <f>MediCare_Data[[#This Row],[Revenue_Generated]]-MediCare_Data[[#This Row],[Average_Treatment_Cost]]</f>
        <v>14497</v>
      </c>
      <c r="S618" s="3">
        <f>(MediCare_Data[[#This Row],[Profit]]/MediCare_Data[[#This Row],[Revenue_Generated]])</f>
        <v>0.67901639344262299</v>
      </c>
    </row>
    <row r="619" spans="1:19" x14ac:dyDescent="0.25">
      <c r="A619" t="s">
        <v>666</v>
      </c>
      <c r="B619" t="s">
        <v>35</v>
      </c>
      <c r="C619" t="s">
        <v>15</v>
      </c>
      <c r="D619" t="s">
        <v>32</v>
      </c>
      <c r="E619">
        <v>13</v>
      </c>
      <c r="F619" t="str">
        <f>IF(MediCare_Data[[#This Row],[Patient_Age]]&lt;=18,"0-18",IF(MediCare_Data[[#This Row],[Patient_Age]]&lt;=35,"19-35",IF(MediCare_Data[[#This Row],[Patient_Age]]&lt;=60,"36-60","60+")))</f>
        <v>0-18</v>
      </c>
      <c r="G619" t="s">
        <v>26</v>
      </c>
      <c r="H619" t="s">
        <v>51</v>
      </c>
      <c r="I619" s="2">
        <v>68</v>
      </c>
      <c r="J619" s="11">
        <v>2853</v>
      </c>
      <c r="K619" s="3">
        <v>7.0127495700000004</v>
      </c>
      <c r="L619" s="3">
        <f t="shared" si="9"/>
        <v>7.01274957E-2</v>
      </c>
      <c r="M619">
        <v>104</v>
      </c>
      <c r="N619" s="6">
        <f>MediCare_Data[[#This Row],[Average_Wait_Time (mins)]]/1440</f>
        <v>7.2222222222222215E-2</v>
      </c>
      <c r="O619" s="2">
        <v>3</v>
      </c>
      <c r="P619" s="10">
        <v>27681</v>
      </c>
      <c r="Q619" s="17" t="str">
        <f>IF(AND(MediCare_Data[[#This Row],[Patient_Gender]]="Male", MediCare_Data[[#This Row],[Treatment_Type]]="Maternity"), "Gender-Treatment Mismatch", "Fine")</f>
        <v>Fine</v>
      </c>
      <c r="R619" s="10">
        <f>MediCare_Data[[#This Row],[Revenue_Generated]]-MediCare_Data[[#This Row],[Average_Treatment_Cost]]</f>
        <v>24828</v>
      </c>
      <c r="S619" s="3">
        <f>(MediCare_Data[[#This Row],[Profit]]/MediCare_Data[[#This Row],[Revenue_Generated]])</f>
        <v>0.89693291427332833</v>
      </c>
    </row>
    <row r="620" spans="1:19" x14ac:dyDescent="0.25">
      <c r="A620" t="s">
        <v>667</v>
      </c>
      <c r="B620" t="s">
        <v>49</v>
      </c>
      <c r="C620" t="s">
        <v>20</v>
      </c>
      <c r="D620" t="s">
        <v>21</v>
      </c>
      <c r="E620">
        <v>81</v>
      </c>
      <c r="F620" t="str">
        <f>IF(MediCare_Data[[#This Row],[Patient_Age]]&lt;=18,"0-18",IF(MediCare_Data[[#This Row],[Patient_Age]]&lt;=35,"19-35",IF(MediCare_Data[[#This Row],[Patient_Age]]&lt;=60,"36-60","60+")))</f>
        <v>60+</v>
      </c>
      <c r="G620" t="s">
        <v>26</v>
      </c>
      <c r="H620" t="s">
        <v>23</v>
      </c>
      <c r="I620" s="2">
        <v>96</v>
      </c>
      <c r="J620" s="11">
        <v>7937</v>
      </c>
      <c r="K620" s="3">
        <v>9.7974822550000003</v>
      </c>
      <c r="L620" s="3">
        <f t="shared" si="9"/>
        <v>9.7974822550000007E-2</v>
      </c>
      <c r="M620">
        <v>160</v>
      </c>
      <c r="N620" s="6">
        <f>MediCare_Data[[#This Row],[Average_Wait_Time (mins)]]/1440</f>
        <v>0.1111111111111111</v>
      </c>
      <c r="O620" s="2">
        <v>4</v>
      </c>
      <c r="P620" s="10">
        <v>24988</v>
      </c>
      <c r="Q620" s="17" t="str">
        <f>IF(AND(MediCare_Data[[#This Row],[Patient_Gender]]="Male", MediCare_Data[[#This Row],[Treatment_Type]]="Maternity"), "Gender-Treatment Mismatch", "Fine")</f>
        <v>Fine</v>
      </c>
      <c r="R620" s="10">
        <f>MediCare_Data[[#This Row],[Revenue_Generated]]-MediCare_Data[[#This Row],[Average_Treatment_Cost]]</f>
        <v>17051</v>
      </c>
      <c r="S620" s="3">
        <f>(MediCare_Data[[#This Row],[Profit]]/MediCare_Data[[#This Row],[Revenue_Generated]])</f>
        <v>0.68236753641748038</v>
      </c>
    </row>
    <row r="621" spans="1:19" x14ac:dyDescent="0.25">
      <c r="A621" t="s">
        <v>668</v>
      </c>
      <c r="B621" t="s">
        <v>39</v>
      </c>
      <c r="C621" t="s">
        <v>15</v>
      </c>
      <c r="D621" t="s">
        <v>32</v>
      </c>
      <c r="E621">
        <v>49</v>
      </c>
      <c r="F621" t="str">
        <f>IF(MediCare_Data[[#This Row],[Patient_Age]]&lt;=18,"0-18",IF(MediCare_Data[[#This Row],[Patient_Age]]&lt;=35,"19-35",IF(MediCare_Data[[#This Row],[Patient_Age]]&lt;=60,"36-60","60+")))</f>
        <v>36-60</v>
      </c>
      <c r="G621" t="s">
        <v>17</v>
      </c>
      <c r="H621" t="s">
        <v>47</v>
      </c>
      <c r="I621" s="2">
        <v>65</v>
      </c>
      <c r="J621" s="11">
        <v>5299</v>
      </c>
      <c r="K621" s="3">
        <v>7.8394397949999997</v>
      </c>
      <c r="L621" s="3">
        <f t="shared" si="9"/>
        <v>7.839439795E-2</v>
      </c>
      <c r="M621">
        <v>11</v>
      </c>
      <c r="N621" s="6">
        <f>MediCare_Data[[#This Row],[Average_Wait_Time (mins)]]/1440</f>
        <v>7.6388888888888886E-3</v>
      </c>
      <c r="O621" s="2">
        <v>4</v>
      </c>
      <c r="P621" s="10">
        <v>16470</v>
      </c>
      <c r="Q621" s="17" t="str">
        <f>IF(AND(MediCare_Data[[#This Row],[Patient_Gender]]="Male", MediCare_Data[[#This Row],[Treatment_Type]]="Maternity"), "Gender-Treatment Mismatch", "Fine")</f>
        <v>Fine</v>
      </c>
      <c r="R621" s="10">
        <f>MediCare_Data[[#This Row],[Revenue_Generated]]-MediCare_Data[[#This Row],[Average_Treatment_Cost]]</f>
        <v>11171</v>
      </c>
      <c r="S621" s="3">
        <f>(MediCare_Data[[#This Row],[Profit]]/MediCare_Data[[#This Row],[Revenue_Generated]])</f>
        <v>0.6782635094110504</v>
      </c>
    </row>
    <row r="622" spans="1:19" x14ac:dyDescent="0.25">
      <c r="A622" t="s">
        <v>669</v>
      </c>
      <c r="B622" t="s">
        <v>58</v>
      </c>
      <c r="C622" t="s">
        <v>20</v>
      </c>
      <c r="D622" t="s">
        <v>21</v>
      </c>
      <c r="E622">
        <v>63</v>
      </c>
      <c r="F622" t="str">
        <f>IF(MediCare_Data[[#This Row],[Patient_Age]]&lt;=18,"0-18",IF(MediCare_Data[[#This Row],[Patient_Age]]&lt;=35,"19-35",IF(MediCare_Data[[#This Row],[Patient_Age]]&lt;=60,"36-60","60+")))</f>
        <v>60+</v>
      </c>
      <c r="G622" t="s">
        <v>22</v>
      </c>
      <c r="H622" t="s">
        <v>47</v>
      </c>
      <c r="I622" s="2">
        <v>54</v>
      </c>
      <c r="J622" s="11">
        <v>1186</v>
      </c>
      <c r="K622" s="3">
        <v>11.95882823</v>
      </c>
      <c r="L622" s="3">
        <f t="shared" si="9"/>
        <v>0.1195882823</v>
      </c>
      <c r="M622">
        <v>129</v>
      </c>
      <c r="N622" s="6">
        <f>MediCare_Data[[#This Row],[Average_Wait_Time (mins)]]/1440</f>
        <v>8.9583333333333334E-2</v>
      </c>
      <c r="O622" s="2">
        <v>2</v>
      </c>
      <c r="P622" s="10">
        <v>25704</v>
      </c>
      <c r="Q622" s="17" t="str">
        <f>IF(AND(MediCare_Data[[#This Row],[Patient_Gender]]="Male", MediCare_Data[[#This Row],[Treatment_Type]]="Maternity"), "Gender-Treatment Mismatch", "Fine")</f>
        <v>Fine</v>
      </c>
      <c r="R622" s="10">
        <f>MediCare_Data[[#This Row],[Revenue_Generated]]-MediCare_Data[[#This Row],[Average_Treatment_Cost]]</f>
        <v>24518</v>
      </c>
      <c r="S622" s="3">
        <f>(MediCare_Data[[#This Row],[Profit]]/MediCare_Data[[#This Row],[Revenue_Generated]])</f>
        <v>0.95385932150638031</v>
      </c>
    </row>
    <row r="623" spans="1:19" x14ac:dyDescent="0.25">
      <c r="A623" t="s">
        <v>670</v>
      </c>
      <c r="B623" t="s">
        <v>39</v>
      </c>
      <c r="C623" t="s">
        <v>15</v>
      </c>
      <c r="D623" t="s">
        <v>32</v>
      </c>
      <c r="E623">
        <v>12</v>
      </c>
      <c r="F623" t="str">
        <f>IF(MediCare_Data[[#This Row],[Patient_Age]]&lt;=18,"0-18",IF(MediCare_Data[[#This Row],[Patient_Age]]&lt;=35,"19-35",IF(MediCare_Data[[#This Row],[Patient_Age]]&lt;=60,"36-60","60+")))</f>
        <v>0-18</v>
      </c>
      <c r="G623" t="s">
        <v>26</v>
      </c>
      <c r="H623" t="s">
        <v>37</v>
      </c>
      <c r="I623" s="2">
        <v>84</v>
      </c>
      <c r="J623" s="11">
        <v>8976</v>
      </c>
      <c r="K623" s="3">
        <v>14.00701958</v>
      </c>
      <c r="L623" s="3">
        <f t="shared" si="9"/>
        <v>0.14007019579999999</v>
      </c>
      <c r="M623">
        <v>31</v>
      </c>
      <c r="N623" s="6">
        <f>MediCare_Data[[#This Row],[Average_Wait_Time (mins)]]/1440</f>
        <v>2.1527777777777778E-2</v>
      </c>
      <c r="O623" s="2">
        <v>3</v>
      </c>
      <c r="P623" s="10">
        <v>39736</v>
      </c>
      <c r="Q623" s="17" t="str">
        <f>IF(AND(MediCare_Data[[#This Row],[Patient_Gender]]="Male", MediCare_Data[[#This Row],[Treatment_Type]]="Maternity"), "Gender-Treatment Mismatch", "Fine")</f>
        <v>Fine</v>
      </c>
      <c r="R623" s="10">
        <f>MediCare_Data[[#This Row],[Revenue_Generated]]-MediCare_Data[[#This Row],[Average_Treatment_Cost]]</f>
        <v>30760</v>
      </c>
      <c r="S623" s="3">
        <f>(MediCare_Data[[#This Row],[Profit]]/MediCare_Data[[#This Row],[Revenue_Generated]])</f>
        <v>0.7741091201932756</v>
      </c>
    </row>
    <row r="624" spans="1:19" x14ac:dyDescent="0.25">
      <c r="A624" t="s">
        <v>671</v>
      </c>
      <c r="B624" t="s">
        <v>58</v>
      </c>
      <c r="C624" t="s">
        <v>20</v>
      </c>
      <c r="D624" t="s">
        <v>21</v>
      </c>
      <c r="E624">
        <v>63</v>
      </c>
      <c r="F624" t="str">
        <f>IF(MediCare_Data[[#This Row],[Patient_Age]]&lt;=18,"0-18",IF(MediCare_Data[[#This Row],[Patient_Age]]&lt;=35,"19-35",IF(MediCare_Data[[#This Row],[Patient_Age]]&lt;=60,"36-60","60+")))</f>
        <v>60+</v>
      </c>
      <c r="G624" t="s">
        <v>43</v>
      </c>
      <c r="H624" t="s">
        <v>23</v>
      </c>
      <c r="I624" s="2">
        <v>61</v>
      </c>
      <c r="J624" s="11">
        <v>5311</v>
      </c>
      <c r="K624" s="3">
        <v>19.976526740000001</v>
      </c>
      <c r="L624" s="3">
        <f t="shared" si="9"/>
        <v>0.1997652674</v>
      </c>
      <c r="M624">
        <v>124</v>
      </c>
      <c r="N624" s="6">
        <f>MediCare_Data[[#This Row],[Average_Wait_Time (mins)]]/1440</f>
        <v>8.611111111111111E-2</v>
      </c>
      <c r="O624" s="2">
        <v>4</v>
      </c>
      <c r="P624" s="10">
        <v>30377</v>
      </c>
      <c r="Q624" s="17" t="str">
        <f>IF(AND(MediCare_Data[[#This Row],[Patient_Gender]]="Male", MediCare_Data[[#This Row],[Treatment_Type]]="Maternity"), "Gender-Treatment Mismatch", "Fine")</f>
        <v>Fine</v>
      </c>
      <c r="R624" s="10">
        <f>MediCare_Data[[#This Row],[Revenue_Generated]]-MediCare_Data[[#This Row],[Average_Treatment_Cost]]</f>
        <v>25066</v>
      </c>
      <c r="S624" s="3">
        <f>(MediCare_Data[[#This Row],[Profit]]/MediCare_Data[[#This Row],[Revenue_Generated]])</f>
        <v>0.82516377522467654</v>
      </c>
    </row>
    <row r="625" spans="1:19" x14ac:dyDescent="0.25">
      <c r="A625" t="s">
        <v>672</v>
      </c>
      <c r="B625" t="s">
        <v>14</v>
      </c>
      <c r="C625" t="s">
        <v>20</v>
      </c>
      <c r="D625" t="s">
        <v>32</v>
      </c>
      <c r="E625">
        <v>34</v>
      </c>
      <c r="F625" t="str">
        <f>IF(MediCare_Data[[#This Row],[Patient_Age]]&lt;=18,"0-18",IF(MediCare_Data[[#This Row],[Patient_Age]]&lt;=35,"19-35",IF(MediCare_Data[[#This Row],[Patient_Age]]&lt;=60,"36-60","60+")))</f>
        <v>19-35</v>
      </c>
      <c r="G625" t="s">
        <v>43</v>
      </c>
      <c r="H625" t="s">
        <v>18</v>
      </c>
      <c r="I625" s="2">
        <v>74</v>
      </c>
      <c r="J625" s="11">
        <v>9454</v>
      </c>
      <c r="K625" s="3">
        <v>18.0229517</v>
      </c>
      <c r="L625" s="3">
        <f t="shared" si="9"/>
        <v>0.18022951700000001</v>
      </c>
      <c r="M625">
        <v>66</v>
      </c>
      <c r="N625" s="6">
        <f>MediCare_Data[[#This Row],[Average_Wait_Time (mins)]]/1440</f>
        <v>4.583333333333333E-2</v>
      </c>
      <c r="O625" s="2">
        <v>3</v>
      </c>
      <c r="P625" s="10">
        <v>29572</v>
      </c>
      <c r="Q625" s="17" t="str">
        <f>IF(AND(MediCare_Data[[#This Row],[Patient_Gender]]="Male", MediCare_Data[[#This Row],[Treatment_Type]]="Maternity"), "Gender-Treatment Mismatch", "Fine")</f>
        <v>Fine</v>
      </c>
      <c r="R625" s="10">
        <f>MediCare_Data[[#This Row],[Revenue_Generated]]-MediCare_Data[[#This Row],[Average_Treatment_Cost]]</f>
        <v>20118</v>
      </c>
      <c r="S625" s="3">
        <f>(MediCare_Data[[#This Row],[Profit]]/MediCare_Data[[#This Row],[Revenue_Generated]])</f>
        <v>0.68030569457595025</v>
      </c>
    </row>
    <row r="626" spans="1:19" x14ac:dyDescent="0.25">
      <c r="A626" t="s">
        <v>673</v>
      </c>
      <c r="B626" t="s">
        <v>14</v>
      </c>
      <c r="C626" t="s">
        <v>54</v>
      </c>
      <c r="D626" t="s">
        <v>21</v>
      </c>
      <c r="E626">
        <v>85</v>
      </c>
      <c r="F626" t="str">
        <f>IF(MediCare_Data[[#This Row],[Patient_Age]]&lt;=18,"0-18",IF(MediCare_Data[[#This Row],[Patient_Age]]&lt;=35,"19-35",IF(MediCare_Data[[#This Row],[Patient_Age]]&lt;=60,"36-60","60+")))</f>
        <v>60+</v>
      </c>
      <c r="G626" t="s">
        <v>43</v>
      </c>
      <c r="H626" t="s">
        <v>18</v>
      </c>
      <c r="I626" s="2">
        <v>70</v>
      </c>
      <c r="J626" s="11">
        <v>5846</v>
      </c>
      <c r="K626" s="3">
        <v>17.418571350000001</v>
      </c>
      <c r="L626" s="3">
        <f t="shared" si="9"/>
        <v>0.17418571350000001</v>
      </c>
      <c r="M626">
        <v>81</v>
      </c>
      <c r="N626" s="6">
        <f>MediCare_Data[[#This Row],[Average_Wait_Time (mins)]]/1440</f>
        <v>5.6250000000000001E-2</v>
      </c>
      <c r="O626" s="2">
        <v>1</v>
      </c>
      <c r="P626" s="10">
        <v>8493</v>
      </c>
      <c r="Q626" s="17" t="str">
        <f>IF(AND(MediCare_Data[[#This Row],[Patient_Gender]]="Male", MediCare_Data[[#This Row],[Treatment_Type]]="Maternity"), "Gender-Treatment Mismatch", "Fine")</f>
        <v>Fine</v>
      </c>
      <c r="R626" s="10">
        <f>MediCare_Data[[#This Row],[Revenue_Generated]]-MediCare_Data[[#This Row],[Average_Treatment_Cost]]</f>
        <v>2647</v>
      </c>
      <c r="S626" s="3">
        <f>(MediCare_Data[[#This Row],[Profit]]/MediCare_Data[[#This Row],[Revenue_Generated]])</f>
        <v>0.31166843282703405</v>
      </c>
    </row>
    <row r="627" spans="1:19" x14ac:dyDescent="0.25">
      <c r="A627" t="s">
        <v>674</v>
      </c>
      <c r="B627" t="s">
        <v>56</v>
      </c>
      <c r="C627" t="s">
        <v>46</v>
      </c>
      <c r="D627" t="s">
        <v>16</v>
      </c>
      <c r="E627">
        <v>81</v>
      </c>
      <c r="F627" t="str">
        <f>IF(MediCare_Data[[#This Row],[Patient_Age]]&lt;=18,"0-18",IF(MediCare_Data[[#This Row],[Patient_Age]]&lt;=35,"19-35",IF(MediCare_Data[[#This Row],[Patient_Age]]&lt;=60,"36-60","60+")))</f>
        <v>60+</v>
      </c>
      <c r="G627" t="s">
        <v>22</v>
      </c>
      <c r="H627" t="s">
        <v>37</v>
      </c>
      <c r="I627" s="2">
        <v>85</v>
      </c>
      <c r="J627" s="11">
        <v>5543</v>
      </c>
      <c r="K627" s="3">
        <v>12.04749893</v>
      </c>
      <c r="L627" s="3">
        <f t="shared" si="9"/>
        <v>0.1204749893</v>
      </c>
      <c r="M627">
        <v>16</v>
      </c>
      <c r="N627" s="6">
        <f>MediCare_Data[[#This Row],[Average_Wait_Time (mins)]]/1440</f>
        <v>1.1111111111111112E-2</v>
      </c>
      <c r="O627" s="2">
        <v>3</v>
      </c>
      <c r="P627" s="10">
        <v>5103</v>
      </c>
      <c r="Q627" s="17" t="str">
        <f>IF(AND(MediCare_Data[[#This Row],[Patient_Gender]]="Male", MediCare_Data[[#This Row],[Treatment_Type]]="Maternity"), "Gender-Treatment Mismatch", "Fine")</f>
        <v>Gender-Treatment Mismatch</v>
      </c>
      <c r="R627" s="10">
        <f>MediCare_Data[[#This Row],[Revenue_Generated]]-MediCare_Data[[#This Row],[Average_Treatment_Cost]]</f>
        <v>-440</v>
      </c>
      <c r="S627" s="3">
        <f>(MediCare_Data[[#This Row],[Profit]]/MediCare_Data[[#This Row],[Revenue_Generated]])</f>
        <v>-8.6223789927493633E-2</v>
      </c>
    </row>
    <row r="628" spans="1:19" x14ac:dyDescent="0.25">
      <c r="A628" t="s">
        <v>675</v>
      </c>
      <c r="B628" t="s">
        <v>28</v>
      </c>
      <c r="C628" t="s">
        <v>42</v>
      </c>
      <c r="D628" t="s">
        <v>21</v>
      </c>
      <c r="E628">
        <v>15</v>
      </c>
      <c r="F628" t="str">
        <f>IF(MediCare_Data[[#This Row],[Patient_Age]]&lt;=18,"0-18",IF(MediCare_Data[[#This Row],[Patient_Age]]&lt;=35,"19-35",IF(MediCare_Data[[#This Row],[Patient_Age]]&lt;=60,"36-60","60+")))</f>
        <v>0-18</v>
      </c>
      <c r="G628" t="s">
        <v>17</v>
      </c>
      <c r="H628" t="s">
        <v>33</v>
      </c>
      <c r="I628" s="2">
        <v>72</v>
      </c>
      <c r="J628" s="11">
        <v>2928</v>
      </c>
      <c r="K628" s="3">
        <v>21.828951060000001</v>
      </c>
      <c r="L628" s="3">
        <f t="shared" si="9"/>
        <v>0.21828951060000001</v>
      </c>
      <c r="M628">
        <v>128</v>
      </c>
      <c r="N628" s="6">
        <f>MediCare_Data[[#This Row],[Average_Wait_Time (mins)]]/1440</f>
        <v>8.8888888888888892E-2</v>
      </c>
      <c r="O628" s="2">
        <v>4</v>
      </c>
      <c r="P628" s="10">
        <v>35844</v>
      </c>
      <c r="Q628" s="17" t="str">
        <f>IF(AND(MediCare_Data[[#This Row],[Patient_Gender]]="Male", MediCare_Data[[#This Row],[Treatment_Type]]="Maternity"), "Gender-Treatment Mismatch", "Fine")</f>
        <v>Fine</v>
      </c>
      <c r="R628" s="10">
        <f>MediCare_Data[[#This Row],[Revenue_Generated]]-MediCare_Data[[#This Row],[Average_Treatment_Cost]]</f>
        <v>32916</v>
      </c>
      <c r="S628" s="3">
        <f>(MediCare_Data[[#This Row],[Profit]]/MediCare_Data[[#This Row],[Revenue_Generated]])</f>
        <v>0.91831268831603619</v>
      </c>
    </row>
    <row r="629" spans="1:19" x14ac:dyDescent="0.25">
      <c r="A629" t="s">
        <v>676</v>
      </c>
      <c r="B629" t="s">
        <v>56</v>
      </c>
      <c r="C629" t="s">
        <v>29</v>
      </c>
      <c r="D629" t="s">
        <v>32</v>
      </c>
      <c r="E629">
        <v>32</v>
      </c>
      <c r="F629" t="str">
        <f>IF(MediCare_Data[[#This Row],[Patient_Age]]&lt;=18,"0-18",IF(MediCare_Data[[#This Row],[Patient_Age]]&lt;=35,"19-35",IF(MediCare_Data[[#This Row],[Patient_Age]]&lt;=60,"36-60","60+")))</f>
        <v>19-35</v>
      </c>
      <c r="G629" t="s">
        <v>22</v>
      </c>
      <c r="H629" t="s">
        <v>37</v>
      </c>
      <c r="I629" s="2">
        <v>65</v>
      </c>
      <c r="J629" s="11">
        <v>5626</v>
      </c>
      <c r="K629" s="3">
        <v>14.425743349999999</v>
      </c>
      <c r="L629" s="3">
        <f t="shared" si="9"/>
        <v>0.1442574335</v>
      </c>
      <c r="M629">
        <v>123</v>
      </c>
      <c r="N629" s="6">
        <f>MediCare_Data[[#This Row],[Average_Wait_Time (mins)]]/1440</f>
        <v>8.5416666666666669E-2</v>
      </c>
      <c r="O629" s="2">
        <v>2</v>
      </c>
      <c r="P629" s="10">
        <v>3994</v>
      </c>
      <c r="Q629" s="17" t="str">
        <f>IF(AND(MediCare_Data[[#This Row],[Patient_Gender]]="Male", MediCare_Data[[#This Row],[Treatment_Type]]="Maternity"), "Gender-Treatment Mismatch", "Fine")</f>
        <v>Fine</v>
      </c>
      <c r="R629" s="10">
        <f>MediCare_Data[[#This Row],[Revenue_Generated]]-MediCare_Data[[#This Row],[Average_Treatment_Cost]]</f>
        <v>-1632</v>
      </c>
      <c r="S629" s="3">
        <f>(MediCare_Data[[#This Row],[Profit]]/MediCare_Data[[#This Row],[Revenue_Generated]])</f>
        <v>-0.40861291937906863</v>
      </c>
    </row>
    <row r="630" spans="1:19" x14ac:dyDescent="0.25">
      <c r="A630" t="s">
        <v>677</v>
      </c>
      <c r="B630" t="s">
        <v>35</v>
      </c>
      <c r="C630" t="s">
        <v>31</v>
      </c>
      <c r="D630" t="s">
        <v>32</v>
      </c>
      <c r="E630">
        <v>90</v>
      </c>
      <c r="F630" t="str">
        <f>IF(MediCare_Data[[#This Row],[Patient_Age]]&lt;=18,"0-18",IF(MediCare_Data[[#This Row],[Patient_Age]]&lt;=35,"19-35",IF(MediCare_Data[[#This Row],[Patient_Age]]&lt;=60,"36-60","60+")))</f>
        <v>60+</v>
      </c>
      <c r="G630" t="s">
        <v>17</v>
      </c>
      <c r="H630" t="s">
        <v>33</v>
      </c>
      <c r="I630" s="2">
        <v>88</v>
      </c>
      <c r="J630" s="11">
        <v>8720</v>
      </c>
      <c r="K630" s="3">
        <v>24.582098760000001</v>
      </c>
      <c r="L630" s="3">
        <f t="shared" si="9"/>
        <v>0.24582098760000001</v>
      </c>
      <c r="M630">
        <v>25</v>
      </c>
      <c r="N630" s="6">
        <f>MediCare_Data[[#This Row],[Average_Wait_Time (mins)]]/1440</f>
        <v>1.7361111111111112E-2</v>
      </c>
      <c r="O630" s="2">
        <v>4</v>
      </c>
      <c r="P630" s="10">
        <v>4744</v>
      </c>
      <c r="Q630" s="17" t="str">
        <f>IF(AND(MediCare_Data[[#This Row],[Patient_Gender]]="Male", MediCare_Data[[#This Row],[Treatment_Type]]="Maternity"), "Gender-Treatment Mismatch", "Fine")</f>
        <v>Fine</v>
      </c>
      <c r="R630" s="10">
        <f>MediCare_Data[[#This Row],[Revenue_Generated]]-MediCare_Data[[#This Row],[Average_Treatment_Cost]]</f>
        <v>-3976</v>
      </c>
      <c r="S630" s="3">
        <f>(MediCare_Data[[#This Row],[Profit]]/MediCare_Data[[#This Row],[Revenue_Generated]])</f>
        <v>-0.83811129848229338</v>
      </c>
    </row>
    <row r="631" spans="1:19" x14ac:dyDescent="0.25">
      <c r="A631" t="s">
        <v>678</v>
      </c>
      <c r="B631" t="s">
        <v>82</v>
      </c>
      <c r="C631" t="s">
        <v>42</v>
      </c>
      <c r="D631" t="s">
        <v>21</v>
      </c>
      <c r="E631">
        <v>88</v>
      </c>
      <c r="F631" t="str">
        <f>IF(MediCare_Data[[#This Row],[Patient_Age]]&lt;=18,"0-18",IF(MediCare_Data[[#This Row],[Patient_Age]]&lt;=35,"19-35",IF(MediCare_Data[[#This Row],[Patient_Age]]&lt;=60,"36-60","60+")))</f>
        <v>60+</v>
      </c>
      <c r="G631" t="s">
        <v>22</v>
      </c>
      <c r="H631" t="s">
        <v>23</v>
      </c>
      <c r="I631" s="2">
        <v>94</v>
      </c>
      <c r="J631" s="11">
        <v>9598</v>
      </c>
      <c r="K631" s="3">
        <v>17.682842770000001</v>
      </c>
      <c r="L631" s="3">
        <f t="shared" si="9"/>
        <v>0.17682842770000001</v>
      </c>
      <c r="M631">
        <v>92</v>
      </c>
      <c r="N631" s="6">
        <f>MediCare_Data[[#This Row],[Average_Wait_Time (mins)]]/1440</f>
        <v>6.3888888888888884E-2</v>
      </c>
      <c r="O631" s="2">
        <v>3</v>
      </c>
      <c r="P631" s="10">
        <v>48234</v>
      </c>
      <c r="Q631" s="17" t="str">
        <f>IF(AND(MediCare_Data[[#This Row],[Patient_Gender]]="Male", MediCare_Data[[#This Row],[Treatment_Type]]="Maternity"), "Gender-Treatment Mismatch", "Fine")</f>
        <v>Fine</v>
      </c>
      <c r="R631" s="10">
        <f>MediCare_Data[[#This Row],[Revenue_Generated]]-MediCare_Data[[#This Row],[Average_Treatment_Cost]]</f>
        <v>38636</v>
      </c>
      <c r="S631" s="3">
        <f>(MediCare_Data[[#This Row],[Profit]]/MediCare_Data[[#This Row],[Revenue_Generated]])</f>
        <v>0.80101173446116847</v>
      </c>
    </row>
    <row r="632" spans="1:19" x14ac:dyDescent="0.25">
      <c r="A632" t="s">
        <v>679</v>
      </c>
      <c r="B632" t="s">
        <v>58</v>
      </c>
      <c r="C632" t="s">
        <v>31</v>
      </c>
      <c r="D632" t="s">
        <v>16</v>
      </c>
      <c r="E632">
        <v>72</v>
      </c>
      <c r="F632" t="str">
        <f>IF(MediCare_Data[[#This Row],[Patient_Age]]&lt;=18,"0-18",IF(MediCare_Data[[#This Row],[Patient_Age]]&lt;=35,"19-35",IF(MediCare_Data[[#This Row],[Patient_Age]]&lt;=60,"36-60","60+")))</f>
        <v>60+</v>
      </c>
      <c r="G632" t="s">
        <v>22</v>
      </c>
      <c r="H632" t="s">
        <v>18</v>
      </c>
      <c r="I632" s="2">
        <v>91</v>
      </c>
      <c r="J632" s="11">
        <v>8313</v>
      </c>
      <c r="K632" s="3">
        <v>7.5252948310000001</v>
      </c>
      <c r="L632" s="3">
        <f t="shared" si="9"/>
        <v>7.5252948309999998E-2</v>
      </c>
      <c r="M632">
        <v>81</v>
      </c>
      <c r="N632" s="6">
        <f>MediCare_Data[[#This Row],[Average_Wait_Time (mins)]]/1440</f>
        <v>5.6250000000000001E-2</v>
      </c>
      <c r="O632" s="2">
        <v>3</v>
      </c>
      <c r="P632" s="10">
        <v>48291</v>
      </c>
      <c r="Q632" s="17" t="str">
        <f>IF(AND(MediCare_Data[[#This Row],[Patient_Gender]]="Male", MediCare_Data[[#This Row],[Treatment_Type]]="Maternity"), "Gender-Treatment Mismatch", "Fine")</f>
        <v>Fine</v>
      </c>
      <c r="R632" s="10">
        <f>MediCare_Data[[#This Row],[Revenue_Generated]]-MediCare_Data[[#This Row],[Average_Treatment_Cost]]</f>
        <v>39978</v>
      </c>
      <c r="S632" s="3">
        <f>(MediCare_Data[[#This Row],[Profit]]/MediCare_Data[[#This Row],[Revenue_Generated]])</f>
        <v>0.827856122258806</v>
      </c>
    </row>
    <row r="633" spans="1:19" x14ac:dyDescent="0.25">
      <c r="A633" t="s">
        <v>680</v>
      </c>
      <c r="B633" t="s">
        <v>56</v>
      </c>
      <c r="C633" t="s">
        <v>29</v>
      </c>
      <c r="D633" t="s">
        <v>21</v>
      </c>
      <c r="E633">
        <v>55</v>
      </c>
      <c r="F633" t="str">
        <f>IF(MediCare_Data[[#This Row],[Patient_Age]]&lt;=18,"0-18",IF(MediCare_Data[[#This Row],[Patient_Age]]&lt;=35,"19-35",IF(MediCare_Data[[#This Row],[Patient_Age]]&lt;=60,"36-60","60+")))</f>
        <v>36-60</v>
      </c>
      <c r="G633" t="s">
        <v>22</v>
      </c>
      <c r="H633" t="s">
        <v>47</v>
      </c>
      <c r="I633" s="2">
        <v>88</v>
      </c>
      <c r="J633" s="11">
        <v>3856</v>
      </c>
      <c r="K633" s="3">
        <v>18.52355124</v>
      </c>
      <c r="L633" s="3">
        <f t="shared" si="9"/>
        <v>0.1852355124</v>
      </c>
      <c r="M633">
        <v>133</v>
      </c>
      <c r="N633" s="6">
        <f>MediCare_Data[[#This Row],[Average_Wait_Time (mins)]]/1440</f>
        <v>9.2361111111111116E-2</v>
      </c>
      <c r="O633" s="2">
        <v>4</v>
      </c>
      <c r="P633" s="10">
        <v>28332</v>
      </c>
      <c r="Q633" s="17" t="str">
        <f>IF(AND(MediCare_Data[[#This Row],[Patient_Gender]]="Male", MediCare_Data[[#This Row],[Treatment_Type]]="Maternity"), "Gender-Treatment Mismatch", "Fine")</f>
        <v>Fine</v>
      </c>
      <c r="R633" s="10">
        <f>MediCare_Data[[#This Row],[Revenue_Generated]]-MediCare_Data[[#This Row],[Average_Treatment_Cost]]</f>
        <v>24476</v>
      </c>
      <c r="S633" s="3">
        <f>(MediCare_Data[[#This Row],[Profit]]/MediCare_Data[[#This Row],[Revenue_Generated]])</f>
        <v>0.86389947762247632</v>
      </c>
    </row>
    <row r="634" spans="1:19" x14ac:dyDescent="0.25">
      <c r="A634" t="s">
        <v>681</v>
      </c>
      <c r="B634" t="s">
        <v>61</v>
      </c>
      <c r="C634" t="s">
        <v>31</v>
      </c>
      <c r="D634" t="s">
        <v>32</v>
      </c>
      <c r="E634">
        <v>82</v>
      </c>
      <c r="F634" t="str">
        <f>IF(MediCare_Data[[#This Row],[Patient_Age]]&lt;=18,"0-18",IF(MediCare_Data[[#This Row],[Patient_Age]]&lt;=35,"19-35",IF(MediCare_Data[[#This Row],[Patient_Age]]&lt;=60,"36-60","60+")))</f>
        <v>60+</v>
      </c>
      <c r="G634" t="s">
        <v>26</v>
      </c>
      <c r="H634" t="s">
        <v>23</v>
      </c>
      <c r="I634" s="2">
        <v>63</v>
      </c>
      <c r="J634" s="11">
        <v>9207</v>
      </c>
      <c r="K634" s="3">
        <v>11.50208031</v>
      </c>
      <c r="L634" s="3">
        <f t="shared" si="9"/>
        <v>0.1150208031</v>
      </c>
      <c r="M634">
        <v>122</v>
      </c>
      <c r="N634" s="6">
        <f>MediCare_Data[[#This Row],[Average_Wait_Time (mins)]]/1440</f>
        <v>8.4722222222222227E-2</v>
      </c>
      <c r="O634" s="2">
        <v>3</v>
      </c>
      <c r="P634" s="10">
        <v>6594</v>
      </c>
      <c r="Q634" s="17" t="str">
        <f>IF(AND(MediCare_Data[[#This Row],[Patient_Gender]]="Male", MediCare_Data[[#This Row],[Treatment_Type]]="Maternity"), "Gender-Treatment Mismatch", "Fine")</f>
        <v>Fine</v>
      </c>
      <c r="R634" s="10">
        <f>MediCare_Data[[#This Row],[Revenue_Generated]]-MediCare_Data[[#This Row],[Average_Treatment_Cost]]</f>
        <v>-2613</v>
      </c>
      <c r="S634" s="3">
        <f>(MediCare_Data[[#This Row],[Profit]]/MediCare_Data[[#This Row],[Revenue_Generated]])</f>
        <v>-0.39626933575978163</v>
      </c>
    </row>
    <row r="635" spans="1:19" x14ac:dyDescent="0.25">
      <c r="A635" t="s">
        <v>682</v>
      </c>
      <c r="B635" t="s">
        <v>41</v>
      </c>
      <c r="C635" t="s">
        <v>54</v>
      </c>
      <c r="D635" t="s">
        <v>32</v>
      </c>
      <c r="E635">
        <v>69</v>
      </c>
      <c r="F635" t="str">
        <f>IF(MediCare_Data[[#This Row],[Patient_Age]]&lt;=18,"0-18",IF(MediCare_Data[[#This Row],[Patient_Age]]&lt;=35,"19-35",IF(MediCare_Data[[#This Row],[Patient_Age]]&lt;=60,"36-60","60+")))</f>
        <v>60+</v>
      </c>
      <c r="G635" t="s">
        <v>43</v>
      </c>
      <c r="H635" t="s">
        <v>51</v>
      </c>
      <c r="I635" s="2">
        <v>80</v>
      </c>
      <c r="J635" s="11">
        <v>7766</v>
      </c>
      <c r="K635" s="3">
        <v>18.726543929999998</v>
      </c>
      <c r="L635" s="3">
        <f t="shared" si="9"/>
        <v>0.18726543929999998</v>
      </c>
      <c r="M635">
        <v>21</v>
      </c>
      <c r="N635" s="6">
        <f>MediCare_Data[[#This Row],[Average_Wait_Time (mins)]]/1440</f>
        <v>1.4583333333333334E-2</v>
      </c>
      <c r="O635" s="2">
        <v>1</v>
      </c>
      <c r="P635" s="10">
        <v>41299</v>
      </c>
      <c r="Q635" s="17" t="str">
        <f>IF(AND(MediCare_Data[[#This Row],[Patient_Gender]]="Male", MediCare_Data[[#This Row],[Treatment_Type]]="Maternity"), "Gender-Treatment Mismatch", "Fine")</f>
        <v>Fine</v>
      </c>
      <c r="R635" s="10">
        <f>MediCare_Data[[#This Row],[Revenue_Generated]]-MediCare_Data[[#This Row],[Average_Treatment_Cost]]</f>
        <v>33533</v>
      </c>
      <c r="S635" s="3">
        <f>(MediCare_Data[[#This Row],[Profit]]/MediCare_Data[[#This Row],[Revenue_Generated]])</f>
        <v>0.81195670597351022</v>
      </c>
    </row>
    <row r="636" spans="1:19" x14ac:dyDescent="0.25">
      <c r="A636" t="s">
        <v>683</v>
      </c>
      <c r="B636" t="s">
        <v>39</v>
      </c>
      <c r="C636" t="s">
        <v>20</v>
      </c>
      <c r="D636" t="s">
        <v>21</v>
      </c>
      <c r="E636">
        <v>70</v>
      </c>
      <c r="F636" t="str">
        <f>IF(MediCare_Data[[#This Row],[Patient_Age]]&lt;=18,"0-18",IF(MediCare_Data[[#This Row],[Patient_Age]]&lt;=35,"19-35",IF(MediCare_Data[[#This Row],[Patient_Age]]&lt;=60,"36-60","60+")))</f>
        <v>60+</v>
      </c>
      <c r="G636" t="s">
        <v>43</v>
      </c>
      <c r="H636" t="s">
        <v>33</v>
      </c>
      <c r="I636" s="2">
        <v>54</v>
      </c>
      <c r="J636" s="11">
        <v>7040</v>
      </c>
      <c r="K636" s="3">
        <v>6.3928229630000004</v>
      </c>
      <c r="L636" s="3">
        <f t="shared" si="9"/>
        <v>6.392822963E-2</v>
      </c>
      <c r="M636">
        <v>135</v>
      </c>
      <c r="N636" s="6">
        <f>MediCare_Data[[#This Row],[Average_Wait_Time (mins)]]/1440</f>
        <v>9.375E-2</v>
      </c>
      <c r="O636" s="2">
        <v>4</v>
      </c>
      <c r="P636" s="10">
        <v>8371</v>
      </c>
      <c r="Q636" s="17" t="str">
        <f>IF(AND(MediCare_Data[[#This Row],[Patient_Gender]]="Male", MediCare_Data[[#This Row],[Treatment_Type]]="Maternity"), "Gender-Treatment Mismatch", "Fine")</f>
        <v>Fine</v>
      </c>
      <c r="R636" s="10">
        <f>MediCare_Data[[#This Row],[Revenue_Generated]]-MediCare_Data[[#This Row],[Average_Treatment_Cost]]</f>
        <v>1331</v>
      </c>
      <c r="S636" s="3">
        <f>(MediCare_Data[[#This Row],[Profit]]/MediCare_Data[[#This Row],[Revenue_Generated]])</f>
        <v>0.15900131406044679</v>
      </c>
    </row>
    <row r="637" spans="1:19" x14ac:dyDescent="0.25">
      <c r="A637" t="s">
        <v>684</v>
      </c>
      <c r="B637" t="s">
        <v>74</v>
      </c>
      <c r="C637" t="s">
        <v>20</v>
      </c>
      <c r="D637" t="s">
        <v>21</v>
      </c>
      <c r="E637">
        <v>71</v>
      </c>
      <c r="F637" t="str">
        <f>IF(MediCare_Data[[#This Row],[Patient_Age]]&lt;=18,"0-18",IF(MediCare_Data[[#This Row],[Patient_Age]]&lt;=35,"19-35",IF(MediCare_Data[[#This Row],[Patient_Age]]&lt;=60,"36-60","60+")))</f>
        <v>60+</v>
      </c>
      <c r="G637" t="s">
        <v>22</v>
      </c>
      <c r="H637" t="s">
        <v>23</v>
      </c>
      <c r="I637" s="2">
        <v>84</v>
      </c>
      <c r="J637" s="11">
        <v>538</v>
      </c>
      <c r="K637" s="3">
        <v>8.497628744</v>
      </c>
      <c r="L637" s="3">
        <f t="shared" si="9"/>
        <v>8.4976287440000006E-2</v>
      </c>
      <c r="M637">
        <v>62</v>
      </c>
      <c r="N637" s="6">
        <f>MediCare_Data[[#This Row],[Average_Wait_Time (mins)]]/1440</f>
        <v>4.3055555555555555E-2</v>
      </c>
      <c r="O637" s="2">
        <v>2</v>
      </c>
      <c r="P637" s="10">
        <v>48315</v>
      </c>
      <c r="Q637" s="17" t="str">
        <f>IF(AND(MediCare_Data[[#This Row],[Patient_Gender]]="Male", MediCare_Data[[#This Row],[Treatment_Type]]="Maternity"), "Gender-Treatment Mismatch", "Fine")</f>
        <v>Fine</v>
      </c>
      <c r="R637" s="10">
        <f>MediCare_Data[[#This Row],[Revenue_Generated]]-MediCare_Data[[#This Row],[Average_Treatment_Cost]]</f>
        <v>47777</v>
      </c>
      <c r="S637" s="3">
        <f>(MediCare_Data[[#This Row],[Profit]]/MediCare_Data[[#This Row],[Revenue_Generated]])</f>
        <v>0.98886474179861328</v>
      </c>
    </row>
    <row r="638" spans="1:19" x14ac:dyDescent="0.25">
      <c r="A638" t="s">
        <v>685</v>
      </c>
      <c r="B638" t="s">
        <v>41</v>
      </c>
      <c r="C638" t="s">
        <v>46</v>
      </c>
      <c r="D638" t="s">
        <v>21</v>
      </c>
      <c r="E638">
        <v>21</v>
      </c>
      <c r="F638" t="str">
        <f>IF(MediCare_Data[[#This Row],[Patient_Age]]&lt;=18,"0-18",IF(MediCare_Data[[#This Row],[Patient_Age]]&lt;=35,"19-35",IF(MediCare_Data[[#This Row],[Patient_Age]]&lt;=60,"36-60","60+")))</f>
        <v>19-35</v>
      </c>
      <c r="G638" t="s">
        <v>43</v>
      </c>
      <c r="H638" t="s">
        <v>18</v>
      </c>
      <c r="I638" s="2">
        <v>72</v>
      </c>
      <c r="J638" s="11">
        <v>3842</v>
      </c>
      <c r="K638" s="3">
        <v>22.11474518</v>
      </c>
      <c r="L638" s="3">
        <f t="shared" si="9"/>
        <v>0.22114745180000001</v>
      </c>
      <c r="M638">
        <v>84</v>
      </c>
      <c r="N638" s="6">
        <f>MediCare_Data[[#This Row],[Average_Wait_Time (mins)]]/1440</f>
        <v>5.8333333333333334E-2</v>
      </c>
      <c r="O638" s="2">
        <v>4</v>
      </c>
      <c r="P638" s="10">
        <v>19028</v>
      </c>
      <c r="Q638" s="17" t="str">
        <f>IF(AND(MediCare_Data[[#This Row],[Patient_Gender]]="Male", MediCare_Data[[#This Row],[Treatment_Type]]="Maternity"), "Gender-Treatment Mismatch", "Fine")</f>
        <v>Fine</v>
      </c>
      <c r="R638" s="10">
        <f>MediCare_Data[[#This Row],[Revenue_Generated]]-MediCare_Data[[#This Row],[Average_Treatment_Cost]]</f>
        <v>15186</v>
      </c>
      <c r="S638" s="3">
        <f>(MediCare_Data[[#This Row],[Profit]]/MediCare_Data[[#This Row],[Revenue_Generated]])</f>
        <v>0.7980870296405298</v>
      </c>
    </row>
    <row r="639" spans="1:19" x14ac:dyDescent="0.25">
      <c r="A639" t="s">
        <v>686</v>
      </c>
      <c r="B639" t="s">
        <v>61</v>
      </c>
      <c r="C639" t="s">
        <v>46</v>
      </c>
      <c r="D639" t="s">
        <v>32</v>
      </c>
      <c r="E639">
        <v>43</v>
      </c>
      <c r="F639" t="str">
        <f>IF(MediCare_Data[[#This Row],[Patient_Age]]&lt;=18,"0-18",IF(MediCare_Data[[#This Row],[Patient_Age]]&lt;=35,"19-35",IF(MediCare_Data[[#This Row],[Patient_Age]]&lt;=60,"36-60","60+")))</f>
        <v>36-60</v>
      </c>
      <c r="G639" t="s">
        <v>43</v>
      </c>
      <c r="H639" t="s">
        <v>47</v>
      </c>
      <c r="I639" s="2">
        <v>78</v>
      </c>
      <c r="J639" s="11">
        <v>9578</v>
      </c>
      <c r="K639" s="3">
        <v>9.5435911400000002</v>
      </c>
      <c r="L639" s="3">
        <f t="shared" si="9"/>
        <v>9.5435911400000004E-2</v>
      </c>
      <c r="M639">
        <v>142</v>
      </c>
      <c r="N639" s="6">
        <f>MediCare_Data[[#This Row],[Average_Wait_Time (mins)]]/1440</f>
        <v>9.8611111111111108E-2</v>
      </c>
      <c r="O639" s="2">
        <v>1</v>
      </c>
      <c r="P639" s="10">
        <v>36912</v>
      </c>
      <c r="Q639" s="17" t="str">
        <f>IF(AND(MediCare_Data[[#This Row],[Patient_Gender]]="Male", MediCare_Data[[#This Row],[Treatment_Type]]="Maternity"), "Gender-Treatment Mismatch", "Fine")</f>
        <v>Fine</v>
      </c>
      <c r="R639" s="10">
        <f>MediCare_Data[[#This Row],[Revenue_Generated]]-MediCare_Data[[#This Row],[Average_Treatment_Cost]]</f>
        <v>27334</v>
      </c>
      <c r="S639" s="3">
        <f>(MediCare_Data[[#This Row],[Profit]]/MediCare_Data[[#This Row],[Revenue_Generated]])</f>
        <v>0.74051798872995234</v>
      </c>
    </row>
    <row r="640" spans="1:19" x14ac:dyDescent="0.25">
      <c r="A640" t="s">
        <v>687</v>
      </c>
      <c r="B640" t="s">
        <v>28</v>
      </c>
      <c r="C640" t="s">
        <v>31</v>
      </c>
      <c r="D640" t="s">
        <v>21</v>
      </c>
      <c r="E640">
        <v>68</v>
      </c>
      <c r="F640" t="str">
        <f>IF(MediCare_Data[[#This Row],[Patient_Age]]&lt;=18,"0-18",IF(MediCare_Data[[#This Row],[Patient_Age]]&lt;=35,"19-35",IF(MediCare_Data[[#This Row],[Patient_Age]]&lt;=60,"36-60","60+")))</f>
        <v>60+</v>
      </c>
      <c r="G640" t="s">
        <v>17</v>
      </c>
      <c r="H640" t="s">
        <v>37</v>
      </c>
      <c r="I640" s="2">
        <v>92</v>
      </c>
      <c r="J640" s="11">
        <v>3344</v>
      </c>
      <c r="K640" s="3">
        <v>21.7408225</v>
      </c>
      <c r="L640" s="3">
        <f t="shared" si="9"/>
        <v>0.21740822500000001</v>
      </c>
      <c r="M640">
        <v>36</v>
      </c>
      <c r="N640" s="6">
        <f>MediCare_Data[[#This Row],[Average_Wait_Time (mins)]]/1440</f>
        <v>2.5000000000000001E-2</v>
      </c>
      <c r="O640" s="2">
        <v>1</v>
      </c>
      <c r="P640" s="10">
        <v>14990</v>
      </c>
      <c r="Q640" s="17" t="str">
        <f>IF(AND(MediCare_Data[[#This Row],[Patient_Gender]]="Male", MediCare_Data[[#This Row],[Treatment_Type]]="Maternity"), "Gender-Treatment Mismatch", "Fine")</f>
        <v>Fine</v>
      </c>
      <c r="R640" s="10">
        <f>MediCare_Data[[#This Row],[Revenue_Generated]]-MediCare_Data[[#This Row],[Average_Treatment_Cost]]</f>
        <v>11646</v>
      </c>
      <c r="S640" s="3">
        <f>(MediCare_Data[[#This Row],[Profit]]/MediCare_Data[[#This Row],[Revenue_Generated]])</f>
        <v>0.77691794529686453</v>
      </c>
    </row>
    <row r="641" spans="1:19" x14ac:dyDescent="0.25">
      <c r="A641" t="s">
        <v>688</v>
      </c>
      <c r="B641" t="s">
        <v>61</v>
      </c>
      <c r="C641" t="s">
        <v>36</v>
      </c>
      <c r="D641" t="s">
        <v>32</v>
      </c>
      <c r="E641">
        <v>39</v>
      </c>
      <c r="F641" t="str">
        <f>IF(MediCare_Data[[#This Row],[Patient_Age]]&lt;=18,"0-18",IF(MediCare_Data[[#This Row],[Patient_Age]]&lt;=35,"19-35",IF(MediCare_Data[[#This Row],[Patient_Age]]&lt;=60,"36-60","60+")))</f>
        <v>36-60</v>
      </c>
      <c r="G641" t="s">
        <v>26</v>
      </c>
      <c r="H641" t="s">
        <v>47</v>
      </c>
      <c r="I641" s="2">
        <v>60</v>
      </c>
      <c r="J641" s="11">
        <v>1598</v>
      </c>
      <c r="K641" s="3">
        <v>10.58552177</v>
      </c>
      <c r="L641" s="3">
        <f t="shared" si="9"/>
        <v>0.1058552177</v>
      </c>
      <c r="M641">
        <v>149</v>
      </c>
      <c r="N641" s="6">
        <f>MediCare_Data[[#This Row],[Average_Wait_Time (mins)]]/1440</f>
        <v>0.10347222222222222</v>
      </c>
      <c r="O641" s="2">
        <v>1</v>
      </c>
      <c r="P641" s="10">
        <v>47851</v>
      </c>
      <c r="Q641" s="17" t="str">
        <f>IF(AND(MediCare_Data[[#This Row],[Patient_Gender]]="Male", MediCare_Data[[#This Row],[Treatment_Type]]="Maternity"), "Gender-Treatment Mismatch", "Fine")</f>
        <v>Fine</v>
      </c>
      <c r="R641" s="10">
        <f>MediCare_Data[[#This Row],[Revenue_Generated]]-MediCare_Data[[#This Row],[Average_Treatment_Cost]]</f>
        <v>46253</v>
      </c>
      <c r="S641" s="3">
        <f>(MediCare_Data[[#This Row],[Profit]]/MediCare_Data[[#This Row],[Revenue_Generated]])</f>
        <v>0.96660466865896222</v>
      </c>
    </row>
    <row r="642" spans="1:19" x14ac:dyDescent="0.25">
      <c r="A642" t="s">
        <v>689</v>
      </c>
      <c r="B642" t="s">
        <v>25</v>
      </c>
      <c r="C642" t="s">
        <v>42</v>
      </c>
      <c r="D642" t="s">
        <v>21</v>
      </c>
      <c r="E642">
        <v>16</v>
      </c>
      <c r="F642" t="str">
        <f>IF(MediCare_Data[[#This Row],[Patient_Age]]&lt;=18,"0-18",IF(MediCare_Data[[#This Row],[Patient_Age]]&lt;=35,"19-35",IF(MediCare_Data[[#This Row],[Patient_Age]]&lt;=60,"36-60","60+")))</f>
        <v>0-18</v>
      </c>
      <c r="G642" t="s">
        <v>43</v>
      </c>
      <c r="H642" t="s">
        <v>37</v>
      </c>
      <c r="I642" s="2">
        <v>67</v>
      </c>
      <c r="J642" s="11">
        <v>7527</v>
      </c>
      <c r="K642" s="3">
        <v>17.8576382</v>
      </c>
      <c r="L642" s="3">
        <f t="shared" ref="L642:L705" si="10">K642/100</f>
        <v>0.17857638200000001</v>
      </c>
      <c r="M642">
        <v>154</v>
      </c>
      <c r="N642" s="6">
        <f>MediCare_Data[[#This Row],[Average_Wait_Time (mins)]]/1440</f>
        <v>0.10694444444444444</v>
      </c>
      <c r="O642" s="2">
        <v>1</v>
      </c>
      <c r="P642" s="10">
        <v>17626</v>
      </c>
      <c r="Q642" s="17" t="str">
        <f>IF(AND(MediCare_Data[[#This Row],[Patient_Gender]]="Male", MediCare_Data[[#This Row],[Treatment_Type]]="Maternity"), "Gender-Treatment Mismatch", "Fine")</f>
        <v>Fine</v>
      </c>
      <c r="R642" s="10">
        <f>MediCare_Data[[#This Row],[Revenue_Generated]]-MediCare_Data[[#This Row],[Average_Treatment_Cost]]</f>
        <v>10099</v>
      </c>
      <c r="S642" s="3">
        <f>(MediCare_Data[[#This Row],[Profit]]/MediCare_Data[[#This Row],[Revenue_Generated]])</f>
        <v>0.57296039940996257</v>
      </c>
    </row>
    <row r="643" spans="1:19" x14ac:dyDescent="0.25">
      <c r="A643" t="s">
        <v>690</v>
      </c>
      <c r="B643" t="s">
        <v>45</v>
      </c>
      <c r="C643" t="s">
        <v>20</v>
      </c>
      <c r="D643" t="s">
        <v>32</v>
      </c>
      <c r="E643">
        <v>10</v>
      </c>
      <c r="F643" t="str">
        <f>IF(MediCare_Data[[#This Row],[Patient_Age]]&lt;=18,"0-18",IF(MediCare_Data[[#This Row],[Patient_Age]]&lt;=35,"19-35",IF(MediCare_Data[[#This Row],[Patient_Age]]&lt;=60,"36-60","60+")))</f>
        <v>0-18</v>
      </c>
      <c r="G643" t="s">
        <v>22</v>
      </c>
      <c r="H643" t="s">
        <v>51</v>
      </c>
      <c r="I643" s="2">
        <v>96</v>
      </c>
      <c r="J643" s="11">
        <v>2323</v>
      </c>
      <c r="K643" s="3">
        <v>18.88301147</v>
      </c>
      <c r="L643" s="3">
        <f t="shared" si="10"/>
        <v>0.1888301147</v>
      </c>
      <c r="M643">
        <v>143</v>
      </c>
      <c r="N643" s="6">
        <f>MediCare_Data[[#This Row],[Average_Wait_Time (mins)]]/1440</f>
        <v>9.930555555555555E-2</v>
      </c>
      <c r="O643" s="2">
        <v>1</v>
      </c>
      <c r="P643" s="10">
        <v>21469</v>
      </c>
      <c r="Q643" s="17" t="str">
        <f>IF(AND(MediCare_Data[[#This Row],[Patient_Gender]]="Male", MediCare_Data[[#This Row],[Treatment_Type]]="Maternity"), "Gender-Treatment Mismatch", "Fine")</f>
        <v>Fine</v>
      </c>
      <c r="R643" s="10">
        <f>MediCare_Data[[#This Row],[Revenue_Generated]]-MediCare_Data[[#This Row],[Average_Treatment_Cost]]</f>
        <v>19146</v>
      </c>
      <c r="S643" s="3">
        <f>(MediCare_Data[[#This Row],[Profit]]/MediCare_Data[[#This Row],[Revenue_Generated]])</f>
        <v>0.89179747542968935</v>
      </c>
    </row>
    <row r="644" spans="1:19" x14ac:dyDescent="0.25">
      <c r="A644" t="s">
        <v>691</v>
      </c>
      <c r="B644" t="s">
        <v>53</v>
      </c>
      <c r="C644" t="s">
        <v>29</v>
      </c>
      <c r="D644" t="s">
        <v>16</v>
      </c>
      <c r="E644">
        <v>70</v>
      </c>
      <c r="F644" t="str">
        <f>IF(MediCare_Data[[#This Row],[Patient_Age]]&lt;=18,"0-18",IF(MediCare_Data[[#This Row],[Patient_Age]]&lt;=35,"19-35",IF(MediCare_Data[[#This Row],[Patient_Age]]&lt;=60,"36-60","60+")))</f>
        <v>60+</v>
      </c>
      <c r="G644" t="s">
        <v>22</v>
      </c>
      <c r="H644" t="s">
        <v>23</v>
      </c>
      <c r="I644" s="2">
        <v>61</v>
      </c>
      <c r="J644" s="11">
        <v>3655</v>
      </c>
      <c r="K644" s="3">
        <v>15.25309506</v>
      </c>
      <c r="L644" s="3">
        <f t="shared" si="10"/>
        <v>0.15253095059999999</v>
      </c>
      <c r="M644">
        <v>106</v>
      </c>
      <c r="N644" s="6">
        <f>MediCare_Data[[#This Row],[Average_Wait_Time (mins)]]/1440</f>
        <v>7.3611111111111113E-2</v>
      </c>
      <c r="O644" s="2">
        <v>2</v>
      </c>
      <c r="P644" s="10">
        <v>41722</v>
      </c>
      <c r="Q644" s="17" t="str">
        <f>IF(AND(MediCare_Data[[#This Row],[Patient_Gender]]="Male", MediCare_Data[[#This Row],[Treatment_Type]]="Maternity"), "Gender-Treatment Mismatch", "Fine")</f>
        <v>Fine</v>
      </c>
      <c r="R644" s="10">
        <f>MediCare_Data[[#This Row],[Revenue_Generated]]-MediCare_Data[[#This Row],[Average_Treatment_Cost]]</f>
        <v>38067</v>
      </c>
      <c r="S644" s="3">
        <f>(MediCare_Data[[#This Row],[Profit]]/MediCare_Data[[#This Row],[Revenue_Generated]])</f>
        <v>0.91239633766358275</v>
      </c>
    </row>
    <row r="645" spans="1:19" x14ac:dyDescent="0.25">
      <c r="A645" t="s">
        <v>692</v>
      </c>
      <c r="B645" t="s">
        <v>39</v>
      </c>
      <c r="C645" t="s">
        <v>15</v>
      </c>
      <c r="D645" t="s">
        <v>32</v>
      </c>
      <c r="E645">
        <v>40</v>
      </c>
      <c r="F645" t="str">
        <f>IF(MediCare_Data[[#This Row],[Patient_Age]]&lt;=18,"0-18",IF(MediCare_Data[[#This Row],[Patient_Age]]&lt;=35,"19-35",IF(MediCare_Data[[#This Row],[Patient_Age]]&lt;=60,"36-60","60+")))</f>
        <v>36-60</v>
      </c>
      <c r="G645" t="s">
        <v>17</v>
      </c>
      <c r="H645" t="s">
        <v>18</v>
      </c>
      <c r="I645" s="2">
        <v>58</v>
      </c>
      <c r="J645" s="11">
        <v>3593</v>
      </c>
      <c r="K645" s="3">
        <v>11.10621353</v>
      </c>
      <c r="L645" s="3">
        <f t="shared" si="10"/>
        <v>0.1110621353</v>
      </c>
      <c r="M645">
        <v>14</v>
      </c>
      <c r="N645" s="6">
        <f>MediCare_Data[[#This Row],[Average_Wait_Time (mins)]]/1440</f>
        <v>9.7222222222222224E-3</v>
      </c>
      <c r="O645" s="2">
        <v>3</v>
      </c>
      <c r="P645" s="10">
        <v>41037</v>
      </c>
      <c r="Q645" s="17" t="str">
        <f>IF(AND(MediCare_Data[[#This Row],[Patient_Gender]]="Male", MediCare_Data[[#This Row],[Treatment_Type]]="Maternity"), "Gender-Treatment Mismatch", "Fine")</f>
        <v>Fine</v>
      </c>
      <c r="R645" s="10">
        <f>MediCare_Data[[#This Row],[Revenue_Generated]]-MediCare_Data[[#This Row],[Average_Treatment_Cost]]</f>
        <v>37444</v>
      </c>
      <c r="S645" s="3">
        <f>(MediCare_Data[[#This Row],[Profit]]/MediCare_Data[[#This Row],[Revenue_Generated]])</f>
        <v>0.91244486682749715</v>
      </c>
    </row>
    <row r="646" spans="1:19" x14ac:dyDescent="0.25">
      <c r="A646" t="s">
        <v>693</v>
      </c>
      <c r="B646" t="s">
        <v>74</v>
      </c>
      <c r="C646" t="s">
        <v>46</v>
      </c>
      <c r="D646" t="s">
        <v>16</v>
      </c>
      <c r="E646">
        <v>26</v>
      </c>
      <c r="F646" t="str">
        <f>IF(MediCare_Data[[#This Row],[Patient_Age]]&lt;=18,"0-18",IF(MediCare_Data[[#This Row],[Patient_Age]]&lt;=35,"19-35",IF(MediCare_Data[[#This Row],[Patient_Age]]&lt;=60,"36-60","60+")))</f>
        <v>19-35</v>
      </c>
      <c r="G646" t="s">
        <v>43</v>
      </c>
      <c r="H646" t="s">
        <v>51</v>
      </c>
      <c r="I646" s="2">
        <v>59</v>
      </c>
      <c r="J646" s="11">
        <v>6158</v>
      </c>
      <c r="K646" s="3">
        <v>9.2528875270000004</v>
      </c>
      <c r="L646" s="3">
        <f t="shared" si="10"/>
        <v>9.2528875270000005E-2</v>
      </c>
      <c r="M646">
        <v>66</v>
      </c>
      <c r="N646" s="6">
        <f>MediCare_Data[[#This Row],[Average_Wait_Time (mins)]]/1440</f>
        <v>4.583333333333333E-2</v>
      </c>
      <c r="O646" s="2">
        <v>1</v>
      </c>
      <c r="P646" s="10">
        <v>8130</v>
      </c>
      <c r="Q646" s="17" t="str">
        <f>IF(AND(MediCare_Data[[#This Row],[Patient_Gender]]="Male", MediCare_Data[[#This Row],[Treatment_Type]]="Maternity"), "Gender-Treatment Mismatch", "Fine")</f>
        <v>Fine</v>
      </c>
      <c r="R646" s="10">
        <f>MediCare_Data[[#This Row],[Revenue_Generated]]-MediCare_Data[[#This Row],[Average_Treatment_Cost]]</f>
        <v>1972</v>
      </c>
      <c r="S646" s="3">
        <f>(MediCare_Data[[#This Row],[Profit]]/MediCare_Data[[#This Row],[Revenue_Generated]])</f>
        <v>0.24255842558425583</v>
      </c>
    </row>
    <row r="647" spans="1:19" x14ac:dyDescent="0.25">
      <c r="A647" t="s">
        <v>694</v>
      </c>
      <c r="B647" t="s">
        <v>56</v>
      </c>
      <c r="C647" t="s">
        <v>29</v>
      </c>
      <c r="D647" t="s">
        <v>32</v>
      </c>
      <c r="E647">
        <v>55</v>
      </c>
      <c r="F647" t="str">
        <f>IF(MediCare_Data[[#This Row],[Patient_Age]]&lt;=18,"0-18",IF(MediCare_Data[[#This Row],[Patient_Age]]&lt;=35,"19-35",IF(MediCare_Data[[#This Row],[Patient_Age]]&lt;=60,"36-60","60+")))</f>
        <v>36-60</v>
      </c>
      <c r="G647" t="s">
        <v>22</v>
      </c>
      <c r="H647" t="s">
        <v>23</v>
      </c>
      <c r="I647" s="2">
        <v>93</v>
      </c>
      <c r="J647" s="11">
        <v>4278</v>
      </c>
      <c r="K647" s="3">
        <v>5.6637870909999997</v>
      </c>
      <c r="L647" s="3">
        <f t="shared" si="10"/>
        <v>5.6637870909999999E-2</v>
      </c>
      <c r="M647">
        <v>165</v>
      </c>
      <c r="N647" s="6">
        <f>MediCare_Data[[#This Row],[Average_Wait_Time (mins)]]/1440</f>
        <v>0.11458333333333333</v>
      </c>
      <c r="O647" s="2">
        <v>1</v>
      </c>
      <c r="P647" s="10">
        <v>7828</v>
      </c>
      <c r="Q647" s="17" t="str">
        <f>IF(AND(MediCare_Data[[#This Row],[Patient_Gender]]="Male", MediCare_Data[[#This Row],[Treatment_Type]]="Maternity"), "Gender-Treatment Mismatch", "Fine")</f>
        <v>Fine</v>
      </c>
      <c r="R647" s="10">
        <f>MediCare_Data[[#This Row],[Revenue_Generated]]-MediCare_Data[[#This Row],[Average_Treatment_Cost]]</f>
        <v>3550</v>
      </c>
      <c r="S647" s="3">
        <f>(MediCare_Data[[#This Row],[Profit]]/MediCare_Data[[#This Row],[Revenue_Generated]])</f>
        <v>0.45350025549310169</v>
      </c>
    </row>
    <row r="648" spans="1:19" x14ac:dyDescent="0.25">
      <c r="A648" t="s">
        <v>695</v>
      </c>
      <c r="B648" t="s">
        <v>56</v>
      </c>
      <c r="C648" t="s">
        <v>31</v>
      </c>
      <c r="D648" t="s">
        <v>16</v>
      </c>
      <c r="E648">
        <v>90</v>
      </c>
      <c r="F648" t="str">
        <f>IF(MediCare_Data[[#This Row],[Patient_Age]]&lt;=18,"0-18",IF(MediCare_Data[[#This Row],[Patient_Age]]&lt;=35,"19-35",IF(MediCare_Data[[#This Row],[Patient_Age]]&lt;=60,"36-60","60+")))</f>
        <v>60+</v>
      </c>
      <c r="G648" t="s">
        <v>22</v>
      </c>
      <c r="H648" t="s">
        <v>37</v>
      </c>
      <c r="I648" s="2">
        <v>66</v>
      </c>
      <c r="J648" s="11">
        <v>3396</v>
      </c>
      <c r="K648" s="3">
        <v>11.078928019999999</v>
      </c>
      <c r="L648" s="3">
        <f t="shared" si="10"/>
        <v>0.11078928019999999</v>
      </c>
      <c r="M648">
        <v>87</v>
      </c>
      <c r="N648" s="6">
        <f>MediCare_Data[[#This Row],[Average_Wait_Time (mins)]]/1440</f>
        <v>6.0416666666666667E-2</v>
      </c>
      <c r="O648" s="2">
        <v>4</v>
      </c>
      <c r="P648" s="10">
        <v>42612</v>
      </c>
      <c r="Q648" s="17" t="str">
        <f>IF(AND(MediCare_Data[[#This Row],[Patient_Gender]]="Male", MediCare_Data[[#This Row],[Treatment_Type]]="Maternity"), "Gender-Treatment Mismatch", "Fine")</f>
        <v>Gender-Treatment Mismatch</v>
      </c>
      <c r="R648" s="10">
        <f>MediCare_Data[[#This Row],[Revenue_Generated]]-MediCare_Data[[#This Row],[Average_Treatment_Cost]]</f>
        <v>39216</v>
      </c>
      <c r="S648" s="3">
        <f>(MediCare_Data[[#This Row],[Profit]]/MediCare_Data[[#This Row],[Revenue_Generated]])</f>
        <v>0.92030413967896363</v>
      </c>
    </row>
    <row r="649" spans="1:19" x14ac:dyDescent="0.25">
      <c r="A649" t="s">
        <v>696</v>
      </c>
      <c r="B649" t="s">
        <v>56</v>
      </c>
      <c r="C649" t="s">
        <v>42</v>
      </c>
      <c r="D649" t="s">
        <v>21</v>
      </c>
      <c r="E649">
        <v>70</v>
      </c>
      <c r="F649" t="str">
        <f>IF(MediCare_Data[[#This Row],[Patient_Age]]&lt;=18,"0-18",IF(MediCare_Data[[#This Row],[Patient_Age]]&lt;=35,"19-35",IF(MediCare_Data[[#This Row],[Patient_Age]]&lt;=60,"36-60","60+")))</f>
        <v>60+</v>
      </c>
      <c r="G649" t="s">
        <v>26</v>
      </c>
      <c r="H649" t="s">
        <v>18</v>
      </c>
      <c r="I649" s="2">
        <v>87</v>
      </c>
      <c r="J649" s="11">
        <v>1488</v>
      </c>
      <c r="K649" s="3">
        <v>18.063255810000001</v>
      </c>
      <c r="L649" s="3">
        <f t="shared" si="10"/>
        <v>0.18063255810000001</v>
      </c>
      <c r="M649">
        <v>78</v>
      </c>
      <c r="N649" s="6">
        <f>MediCare_Data[[#This Row],[Average_Wait_Time (mins)]]/1440</f>
        <v>5.4166666666666669E-2</v>
      </c>
      <c r="O649" s="2">
        <v>2</v>
      </c>
      <c r="P649" s="10">
        <v>47988</v>
      </c>
      <c r="Q649" s="17" t="str">
        <f>IF(AND(MediCare_Data[[#This Row],[Patient_Gender]]="Male", MediCare_Data[[#This Row],[Treatment_Type]]="Maternity"), "Gender-Treatment Mismatch", "Fine")</f>
        <v>Fine</v>
      </c>
      <c r="R649" s="10">
        <f>MediCare_Data[[#This Row],[Revenue_Generated]]-MediCare_Data[[#This Row],[Average_Treatment_Cost]]</f>
        <v>46500</v>
      </c>
      <c r="S649" s="3">
        <f>(MediCare_Data[[#This Row],[Profit]]/MediCare_Data[[#This Row],[Revenue_Generated]])</f>
        <v>0.96899224806201545</v>
      </c>
    </row>
    <row r="650" spans="1:19" x14ac:dyDescent="0.25">
      <c r="A650" t="s">
        <v>697</v>
      </c>
      <c r="B650" t="s">
        <v>58</v>
      </c>
      <c r="C650" t="s">
        <v>20</v>
      </c>
      <c r="D650" t="s">
        <v>32</v>
      </c>
      <c r="E650">
        <v>58</v>
      </c>
      <c r="F650" t="str">
        <f>IF(MediCare_Data[[#This Row],[Patient_Age]]&lt;=18,"0-18",IF(MediCare_Data[[#This Row],[Patient_Age]]&lt;=35,"19-35",IF(MediCare_Data[[#This Row],[Patient_Age]]&lt;=60,"36-60","60+")))</f>
        <v>36-60</v>
      </c>
      <c r="G650" t="s">
        <v>43</v>
      </c>
      <c r="H650" t="s">
        <v>18</v>
      </c>
      <c r="I650" s="2">
        <v>56</v>
      </c>
      <c r="J650" s="11">
        <v>4616</v>
      </c>
      <c r="K650" s="3">
        <v>23.76609637</v>
      </c>
      <c r="L650" s="3">
        <f t="shared" si="10"/>
        <v>0.23766096370000001</v>
      </c>
      <c r="M650">
        <v>127</v>
      </c>
      <c r="N650" s="6">
        <f>MediCare_Data[[#This Row],[Average_Wait_Time (mins)]]/1440</f>
        <v>8.819444444444445E-2</v>
      </c>
      <c r="O650" s="2">
        <v>2</v>
      </c>
      <c r="P650" s="10">
        <v>40099</v>
      </c>
      <c r="Q650" s="17" t="str">
        <f>IF(AND(MediCare_Data[[#This Row],[Patient_Gender]]="Male", MediCare_Data[[#This Row],[Treatment_Type]]="Maternity"), "Gender-Treatment Mismatch", "Fine")</f>
        <v>Fine</v>
      </c>
      <c r="R650" s="10">
        <f>MediCare_Data[[#This Row],[Revenue_Generated]]-MediCare_Data[[#This Row],[Average_Treatment_Cost]]</f>
        <v>35483</v>
      </c>
      <c r="S650" s="3">
        <f>(MediCare_Data[[#This Row],[Profit]]/MediCare_Data[[#This Row],[Revenue_Generated]])</f>
        <v>0.88488490984812584</v>
      </c>
    </row>
    <row r="651" spans="1:19" x14ac:dyDescent="0.25">
      <c r="A651" t="s">
        <v>698</v>
      </c>
      <c r="B651" t="s">
        <v>39</v>
      </c>
      <c r="C651" t="s">
        <v>31</v>
      </c>
      <c r="D651" t="s">
        <v>16</v>
      </c>
      <c r="E651">
        <v>11</v>
      </c>
      <c r="F651" t="str">
        <f>IF(MediCare_Data[[#This Row],[Patient_Age]]&lt;=18,"0-18",IF(MediCare_Data[[#This Row],[Patient_Age]]&lt;=35,"19-35",IF(MediCare_Data[[#This Row],[Patient_Age]]&lt;=60,"36-60","60+")))</f>
        <v>0-18</v>
      </c>
      <c r="G651" t="s">
        <v>26</v>
      </c>
      <c r="H651" t="s">
        <v>33</v>
      </c>
      <c r="I651" s="2">
        <v>95</v>
      </c>
      <c r="J651" s="11">
        <v>6946</v>
      </c>
      <c r="K651" s="3">
        <v>22.424089649999999</v>
      </c>
      <c r="L651" s="3">
        <f t="shared" si="10"/>
        <v>0.22424089649999998</v>
      </c>
      <c r="M651">
        <v>129</v>
      </c>
      <c r="N651" s="6">
        <f>MediCare_Data[[#This Row],[Average_Wait_Time (mins)]]/1440</f>
        <v>8.9583333333333334E-2</v>
      </c>
      <c r="O651" s="2">
        <v>3</v>
      </c>
      <c r="P651" s="10">
        <v>47165</v>
      </c>
      <c r="Q651" s="17" t="str">
        <f>IF(AND(MediCare_Data[[#This Row],[Patient_Gender]]="Male", MediCare_Data[[#This Row],[Treatment_Type]]="Maternity"), "Gender-Treatment Mismatch", "Fine")</f>
        <v>Fine</v>
      </c>
      <c r="R651" s="10">
        <f>MediCare_Data[[#This Row],[Revenue_Generated]]-MediCare_Data[[#This Row],[Average_Treatment_Cost]]</f>
        <v>40219</v>
      </c>
      <c r="S651" s="3">
        <f>(MediCare_Data[[#This Row],[Profit]]/MediCare_Data[[#This Row],[Revenue_Generated]])</f>
        <v>0.85272977843740061</v>
      </c>
    </row>
    <row r="652" spans="1:19" x14ac:dyDescent="0.25">
      <c r="A652" t="s">
        <v>699</v>
      </c>
      <c r="B652" t="s">
        <v>28</v>
      </c>
      <c r="C652" t="s">
        <v>36</v>
      </c>
      <c r="D652" t="s">
        <v>16</v>
      </c>
      <c r="E652">
        <v>52</v>
      </c>
      <c r="F652" t="str">
        <f>IF(MediCare_Data[[#This Row],[Patient_Age]]&lt;=18,"0-18",IF(MediCare_Data[[#This Row],[Patient_Age]]&lt;=35,"19-35",IF(MediCare_Data[[#This Row],[Patient_Age]]&lt;=60,"36-60","60+")))</f>
        <v>36-60</v>
      </c>
      <c r="G652" t="s">
        <v>26</v>
      </c>
      <c r="H652" t="s">
        <v>37</v>
      </c>
      <c r="I652" s="2">
        <v>62</v>
      </c>
      <c r="J652" s="11">
        <v>4679</v>
      </c>
      <c r="K652" s="3">
        <v>20.32129553</v>
      </c>
      <c r="L652" s="3">
        <f t="shared" si="10"/>
        <v>0.2032129553</v>
      </c>
      <c r="M652">
        <v>68</v>
      </c>
      <c r="N652" s="6">
        <f>MediCare_Data[[#This Row],[Average_Wait_Time (mins)]]/1440</f>
        <v>4.7222222222222221E-2</v>
      </c>
      <c r="O652" s="2">
        <v>2</v>
      </c>
      <c r="P652" s="10">
        <v>18883</v>
      </c>
      <c r="Q652" s="17" t="str">
        <f>IF(AND(MediCare_Data[[#This Row],[Patient_Gender]]="Male", MediCare_Data[[#This Row],[Treatment_Type]]="Maternity"), "Gender-Treatment Mismatch", "Fine")</f>
        <v>Gender-Treatment Mismatch</v>
      </c>
      <c r="R652" s="10">
        <f>MediCare_Data[[#This Row],[Revenue_Generated]]-MediCare_Data[[#This Row],[Average_Treatment_Cost]]</f>
        <v>14204</v>
      </c>
      <c r="S652" s="3">
        <f>(MediCare_Data[[#This Row],[Profit]]/MediCare_Data[[#This Row],[Revenue_Generated]])</f>
        <v>0.75221098342424408</v>
      </c>
    </row>
    <row r="653" spans="1:19" x14ac:dyDescent="0.25">
      <c r="A653" t="s">
        <v>700</v>
      </c>
      <c r="B653" t="s">
        <v>35</v>
      </c>
      <c r="C653" t="s">
        <v>46</v>
      </c>
      <c r="D653" t="s">
        <v>16</v>
      </c>
      <c r="E653">
        <v>33</v>
      </c>
      <c r="F653" t="str">
        <f>IF(MediCare_Data[[#This Row],[Patient_Age]]&lt;=18,"0-18",IF(MediCare_Data[[#This Row],[Patient_Age]]&lt;=35,"19-35",IF(MediCare_Data[[#This Row],[Patient_Age]]&lt;=60,"36-60","60+")))</f>
        <v>19-35</v>
      </c>
      <c r="G653" t="s">
        <v>43</v>
      </c>
      <c r="H653" t="s">
        <v>47</v>
      </c>
      <c r="I653" s="2">
        <v>89</v>
      </c>
      <c r="J653" s="11">
        <v>2182</v>
      </c>
      <c r="K653" s="3">
        <v>20.768946870000001</v>
      </c>
      <c r="L653" s="3">
        <f t="shared" si="10"/>
        <v>0.20768946870000002</v>
      </c>
      <c r="M653">
        <v>42</v>
      </c>
      <c r="N653" s="6">
        <f>MediCare_Data[[#This Row],[Average_Wait_Time (mins)]]/1440</f>
        <v>2.9166666666666667E-2</v>
      </c>
      <c r="O653" s="2">
        <v>4</v>
      </c>
      <c r="P653" s="10">
        <v>44059</v>
      </c>
      <c r="Q653" s="17" t="str">
        <f>IF(AND(MediCare_Data[[#This Row],[Patient_Gender]]="Male", MediCare_Data[[#This Row],[Treatment_Type]]="Maternity"), "Gender-Treatment Mismatch", "Fine")</f>
        <v>Fine</v>
      </c>
      <c r="R653" s="10">
        <f>MediCare_Data[[#This Row],[Revenue_Generated]]-MediCare_Data[[#This Row],[Average_Treatment_Cost]]</f>
        <v>41877</v>
      </c>
      <c r="S653" s="3">
        <f>(MediCare_Data[[#This Row],[Profit]]/MediCare_Data[[#This Row],[Revenue_Generated]])</f>
        <v>0.95047549876302229</v>
      </c>
    </row>
    <row r="654" spans="1:19" x14ac:dyDescent="0.25">
      <c r="A654" t="s">
        <v>701</v>
      </c>
      <c r="B654" t="s">
        <v>25</v>
      </c>
      <c r="C654" t="s">
        <v>20</v>
      </c>
      <c r="D654" t="s">
        <v>32</v>
      </c>
      <c r="E654">
        <v>73</v>
      </c>
      <c r="F654" t="str">
        <f>IF(MediCare_Data[[#This Row],[Patient_Age]]&lt;=18,"0-18",IF(MediCare_Data[[#This Row],[Patient_Age]]&lt;=35,"19-35",IF(MediCare_Data[[#This Row],[Patient_Age]]&lt;=60,"36-60","60+")))</f>
        <v>60+</v>
      </c>
      <c r="G654" t="s">
        <v>26</v>
      </c>
      <c r="H654" t="s">
        <v>47</v>
      </c>
      <c r="I654" s="2">
        <v>91</v>
      </c>
      <c r="J654" s="11">
        <v>6126</v>
      </c>
      <c r="K654" s="3">
        <v>18.299698070000002</v>
      </c>
      <c r="L654" s="3">
        <f t="shared" si="10"/>
        <v>0.18299698070000001</v>
      </c>
      <c r="M654">
        <v>71</v>
      </c>
      <c r="N654" s="6">
        <f>MediCare_Data[[#This Row],[Average_Wait_Time (mins)]]/1440</f>
        <v>4.9305555555555554E-2</v>
      </c>
      <c r="O654" s="2">
        <v>4</v>
      </c>
      <c r="P654" s="10">
        <v>19542</v>
      </c>
      <c r="Q654" s="17" t="str">
        <f>IF(AND(MediCare_Data[[#This Row],[Patient_Gender]]="Male", MediCare_Data[[#This Row],[Treatment_Type]]="Maternity"), "Gender-Treatment Mismatch", "Fine")</f>
        <v>Fine</v>
      </c>
      <c r="R654" s="10">
        <f>MediCare_Data[[#This Row],[Revenue_Generated]]-MediCare_Data[[#This Row],[Average_Treatment_Cost]]</f>
        <v>13416</v>
      </c>
      <c r="S654" s="3">
        <f>(MediCare_Data[[#This Row],[Profit]]/MediCare_Data[[#This Row],[Revenue_Generated]])</f>
        <v>0.68652133865520415</v>
      </c>
    </row>
    <row r="655" spans="1:19" x14ac:dyDescent="0.25">
      <c r="A655" t="s">
        <v>702</v>
      </c>
      <c r="B655" t="s">
        <v>82</v>
      </c>
      <c r="C655" t="s">
        <v>46</v>
      </c>
      <c r="D655" t="s">
        <v>21</v>
      </c>
      <c r="E655">
        <v>70</v>
      </c>
      <c r="F655" t="str">
        <f>IF(MediCare_Data[[#This Row],[Patient_Age]]&lt;=18,"0-18",IF(MediCare_Data[[#This Row],[Patient_Age]]&lt;=35,"19-35",IF(MediCare_Data[[#This Row],[Patient_Age]]&lt;=60,"36-60","60+")))</f>
        <v>60+</v>
      </c>
      <c r="G655" t="s">
        <v>43</v>
      </c>
      <c r="H655" t="s">
        <v>33</v>
      </c>
      <c r="I655" s="2">
        <v>58</v>
      </c>
      <c r="J655" s="11">
        <v>7924</v>
      </c>
      <c r="K655" s="3">
        <v>10.205737149999999</v>
      </c>
      <c r="L655" s="3">
        <f t="shared" si="10"/>
        <v>0.10205737149999999</v>
      </c>
      <c r="M655">
        <v>59</v>
      </c>
      <c r="N655" s="6">
        <f>MediCare_Data[[#This Row],[Average_Wait_Time (mins)]]/1440</f>
        <v>4.0972222222222222E-2</v>
      </c>
      <c r="O655" s="2">
        <v>3</v>
      </c>
      <c r="P655" s="10">
        <v>43932</v>
      </c>
      <c r="Q655" s="17" t="str">
        <f>IF(AND(MediCare_Data[[#This Row],[Patient_Gender]]="Male", MediCare_Data[[#This Row],[Treatment_Type]]="Maternity"), "Gender-Treatment Mismatch", "Fine")</f>
        <v>Fine</v>
      </c>
      <c r="R655" s="10">
        <f>MediCare_Data[[#This Row],[Revenue_Generated]]-MediCare_Data[[#This Row],[Average_Treatment_Cost]]</f>
        <v>36008</v>
      </c>
      <c r="S655" s="3">
        <f>(MediCare_Data[[#This Row],[Profit]]/MediCare_Data[[#This Row],[Revenue_Generated]])</f>
        <v>0.81963033779477379</v>
      </c>
    </row>
    <row r="656" spans="1:19" x14ac:dyDescent="0.25">
      <c r="A656" t="s">
        <v>703</v>
      </c>
      <c r="B656" t="s">
        <v>14</v>
      </c>
      <c r="C656" t="s">
        <v>29</v>
      </c>
      <c r="D656" t="s">
        <v>21</v>
      </c>
      <c r="E656">
        <v>62</v>
      </c>
      <c r="F656" t="str">
        <f>IF(MediCare_Data[[#This Row],[Patient_Age]]&lt;=18,"0-18",IF(MediCare_Data[[#This Row],[Patient_Age]]&lt;=35,"19-35",IF(MediCare_Data[[#This Row],[Patient_Age]]&lt;=60,"36-60","60+")))</f>
        <v>60+</v>
      </c>
      <c r="G656" t="s">
        <v>43</v>
      </c>
      <c r="H656" t="s">
        <v>47</v>
      </c>
      <c r="I656" s="2">
        <v>99</v>
      </c>
      <c r="J656" s="11">
        <v>1433</v>
      </c>
      <c r="K656" s="3">
        <v>23.143900609999999</v>
      </c>
      <c r="L656" s="3">
        <f t="shared" si="10"/>
        <v>0.23143900609999998</v>
      </c>
      <c r="M656">
        <v>121</v>
      </c>
      <c r="N656" s="6">
        <f>MediCare_Data[[#This Row],[Average_Wait_Time (mins)]]/1440</f>
        <v>8.4027777777777785E-2</v>
      </c>
      <c r="O656" s="2">
        <v>4</v>
      </c>
      <c r="P656" s="10">
        <v>11450</v>
      </c>
      <c r="Q656" s="17" t="str">
        <f>IF(AND(MediCare_Data[[#This Row],[Patient_Gender]]="Male", MediCare_Data[[#This Row],[Treatment_Type]]="Maternity"), "Gender-Treatment Mismatch", "Fine")</f>
        <v>Fine</v>
      </c>
      <c r="R656" s="10">
        <f>MediCare_Data[[#This Row],[Revenue_Generated]]-MediCare_Data[[#This Row],[Average_Treatment_Cost]]</f>
        <v>10017</v>
      </c>
      <c r="S656" s="3">
        <f>(MediCare_Data[[#This Row],[Profit]]/MediCare_Data[[#This Row],[Revenue_Generated]])</f>
        <v>0.87484716157205245</v>
      </c>
    </row>
    <row r="657" spans="1:19" x14ac:dyDescent="0.25">
      <c r="A657" t="s">
        <v>704</v>
      </c>
      <c r="B657" t="s">
        <v>14</v>
      </c>
      <c r="C657" t="s">
        <v>29</v>
      </c>
      <c r="D657" t="s">
        <v>32</v>
      </c>
      <c r="E657">
        <v>10</v>
      </c>
      <c r="F657" t="str">
        <f>IF(MediCare_Data[[#This Row],[Patient_Age]]&lt;=18,"0-18",IF(MediCare_Data[[#This Row],[Patient_Age]]&lt;=35,"19-35",IF(MediCare_Data[[#This Row],[Patient_Age]]&lt;=60,"36-60","60+")))</f>
        <v>0-18</v>
      </c>
      <c r="G657" t="s">
        <v>43</v>
      </c>
      <c r="H657" t="s">
        <v>18</v>
      </c>
      <c r="I657" s="2">
        <v>76</v>
      </c>
      <c r="J657" s="11">
        <v>4098</v>
      </c>
      <c r="K657" s="3">
        <v>18.41464624</v>
      </c>
      <c r="L657" s="3">
        <f t="shared" si="10"/>
        <v>0.18414646239999999</v>
      </c>
      <c r="M657">
        <v>28</v>
      </c>
      <c r="N657" s="6">
        <f>MediCare_Data[[#This Row],[Average_Wait_Time (mins)]]/1440</f>
        <v>1.9444444444444445E-2</v>
      </c>
      <c r="O657" s="2">
        <v>1</v>
      </c>
      <c r="P657" s="10">
        <v>21423</v>
      </c>
      <c r="Q657" s="17" t="str">
        <f>IF(AND(MediCare_Data[[#This Row],[Patient_Gender]]="Male", MediCare_Data[[#This Row],[Treatment_Type]]="Maternity"), "Gender-Treatment Mismatch", "Fine")</f>
        <v>Fine</v>
      </c>
      <c r="R657" s="10">
        <f>MediCare_Data[[#This Row],[Revenue_Generated]]-MediCare_Data[[#This Row],[Average_Treatment_Cost]]</f>
        <v>17325</v>
      </c>
      <c r="S657" s="3">
        <f>(MediCare_Data[[#This Row],[Profit]]/MediCare_Data[[#This Row],[Revenue_Generated]])</f>
        <v>0.80871026466881391</v>
      </c>
    </row>
    <row r="658" spans="1:19" x14ac:dyDescent="0.25">
      <c r="A658" t="s">
        <v>705</v>
      </c>
      <c r="B658" t="s">
        <v>64</v>
      </c>
      <c r="C658" t="s">
        <v>36</v>
      </c>
      <c r="D658" t="s">
        <v>32</v>
      </c>
      <c r="E658">
        <v>57</v>
      </c>
      <c r="F658" t="str">
        <f>IF(MediCare_Data[[#This Row],[Patient_Age]]&lt;=18,"0-18",IF(MediCare_Data[[#This Row],[Patient_Age]]&lt;=35,"19-35",IF(MediCare_Data[[#This Row],[Patient_Age]]&lt;=60,"36-60","60+")))</f>
        <v>36-60</v>
      </c>
      <c r="G658" t="s">
        <v>26</v>
      </c>
      <c r="H658" t="s">
        <v>23</v>
      </c>
      <c r="I658" s="2">
        <v>51</v>
      </c>
      <c r="J658" s="11">
        <v>2480</v>
      </c>
      <c r="K658" s="3">
        <v>16.20881262</v>
      </c>
      <c r="L658" s="3">
        <f t="shared" si="10"/>
        <v>0.16208812619999999</v>
      </c>
      <c r="M658">
        <v>132</v>
      </c>
      <c r="N658" s="6">
        <f>MediCare_Data[[#This Row],[Average_Wait_Time (mins)]]/1440</f>
        <v>9.166666666666666E-2</v>
      </c>
      <c r="O658" s="2">
        <v>1</v>
      </c>
      <c r="P658" s="10">
        <v>3035</v>
      </c>
      <c r="Q658" s="17" t="str">
        <f>IF(AND(MediCare_Data[[#This Row],[Patient_Gender]]="Male", MediCare_Data[[#This Row],[Treatment_Type]]="Maternity"), "Gender-Treatment Mismatch", "Fine")</f>
        <v>Fine</v>
      </c>
      <c r="R658" s="10">
        <f>MediCare_Data[[#This Row],[Revenue_Generated]]-MediCare_Data[[#This Row],[Average_Treatment_Cost]]</f>
        <v>555</v>
      </c>
      <c r="S658" s="3">
        <f>(MediCare_Data[[#This Row],[Profit]]/MediCare_Data[[#This Row],[Revenue_Generated]])</f>
        <v>0.18286655683690281</v>
      </c>
    </row>
    <row r="659" spans="1:19" x14ac:dyDescent="0.25">
      <c r="A659" t="s">
        <v>706</v>
      </c>
      <c r="B659" t="s">
        <v>39</v>
      </c>
      <c r="C659" t="s">
        <v>15</v>
      </c>
      <c r="D659" t="s">
        <v>32</v>
      </c>
      <c r="E659">
        <v>68</v>
      </c>
      <c r="F659" t="str">
        <f>IF(MediCare_Data[[#This Row],[Patient_Age]]&lt;=18,"0-18",IF(MediCare_Data[[#This Row],[Patient_Age]]&lt;=35,"19-35",IF(MediCare_Data[[#This Row],[Patient_Age]]&lt;=60,"36-60","60+")))</f>
        <v>60+</v>
      </c>
      <c r="G659" t="s">
        <v>43</v>
      </c>
      <c r="H659" t="s">
        <v>33</v>
      </c>
      <c r="I659" s="2">
        <v>54</v>
      </c>
      <c r="J659" s="11">
        <v>3556</v>
      </c>
      <c r="K659" s="3">
        <v>7.2197893840000003</v>
      </c>
      <c r="L659" s="3">
        <f t="shared" si="10"/>
        <v>7.2197893839999999E-2</v>
      </c>
      <c r="M659">
        <v>56</v>
      </c>
      <c r="N659" s="6">
        <f>MediCare_Data[[#This Row],[Average_Wait_Time (mins)]]/1440</f>
        <v>3.888888888888889E-2</v>
      </c>
      <c r="O659" s="2">
        <v>4</v>
      </c>
      <c r="P659" s="10">
        <v>45231</v>
      </c>
      <c r="Q659" s="17" t="str">
        <f>IF(AND(MediCare_Data[[#This Row],[Patient_Gender]]="Male", MediCare_Data[[#This Row],[Treatment_Type]]="Maternity"), "Gender-Treatment Mismatch", "Fine")</f>
        <v>Fine</v>
      </c>
      <c r="R659" s="10">
        <f>MediCare_Data[[#This Row],[Revenue_Generated]]-MediCare_Data[[#This Row],[Average_Treatment_Cost]]</f>
        <v>41675</v>
      </c>
      <c r="S659" s="3">
        <f>(MediCare_Data[[#This Row],[Profit]]/MediCare_Data[[#This Row],[Revenue_Generated]])</f>
        <v>0.92138135349649575</v>
      </c>
    </row>
    <row r="660" spans="1:19" x14ac:dyDescent="0.25">
      <c r="A660" t="s">
        <v>707</v>
      </c>
      <c r="B660" t="s">
        <v>58</v>
      </c>
      <c r="C660" t="s">
        <v>54</v>
      </c>
      <c r="D660" t="s">
        <v>32</v>
      </c>
      <c r="E660">
        <v>38</v>
      </c>
      <c r="F660" t="str">
        <f>IF(MediCare_Data[[#This Row],[Patient_Age]]&lt;=18,"0-18",IF(MediCare_Data[[#This Row],[Patient_Age]]&lt;=35,"19-35",IF(MediCare_Data[[#This Row],[Patient_Age]]&lt;=60,"36-60","60+")))</f>
        <v>36-60</v>
      </c>
      <c r="G660" t="s">
        <v>43</v>
      </c>
      <c r="H660" t="s">
        <v>23</v>
      </c>
      <c r="I660" s="2">
        <v>78</v>
      </c>
      <c r="J660" s="11">
        <v>9484</v>
      </c>
      <c r="K660" s="3">
        <v>13.94111088</v>
      </c>
      <c r="L660" s="3">
        <f t="shared" si="10"/>
        <v>0.13941110879999999</v>
      </c>
      <c r="M660">
        <v>176</v>
      </c>
      <c r="N660" s="6">
        <f>MediCare_Data[[#This Row],[Average_Wait_Time (mins)]]/1440</f>
        <v>0.12222222222222222</v>
      </c>
      <c r="O660" s="2">
        <v>3</v>
      </c>
      <c r="P660" s="10">
        <v>41745</v>
      </c>
      <c r="Q660" s="17" t="str">
        <f>IF(AND(MediCare_Data[[#This Row],[Patient_Gender]]="Male", MediCare_Data[[#This Row],[Treatment_Type]]="Maternity"), "Gender-Treatment Mismatch", "Fine")</f>
        <v>Fine</v>
      </c>
      <c r="R660" s="10">
        <f>MediCare_Data[[#This Row],[Revenue_Generated]]-MediCare_Data[[#This Row],[Average_Treatment_Cost]]</f>
        <v>32261</v>
      </c>
      <c r="S660" s="3">
        <f>(MediCare_Data[[#This Row],[Profit]]/MediCare_Data[[#This Row],[Revenue_Generated]])</f>
        <v>0.77281111510360523</v>
      </c>
    </row>
    <row r="661" spans="1:19" x14ac:dyDescent="0.25">
      <c r="A661" t="s">
        <v>708</v>
      </c>
      <c r="B661" t="s">
        <v>82</v>
      </c>
      <c r="C661" t="s">
        <v>54</v>
      </c>
      <c r="D661" t="s">
        <v>32</v>
      </c>
      <c r="E661">
        <v>73</v>
      </c>
      <c r="F661" t="str">
        <f>IF(MediCare_Data[[#This Row],[Patient_Age]]&lt;=18,"0-18",IF(MediCare_Data[[#This Row],[Patient_Age]]&lt;=35,"19-35",IF(MediCare_Data[[#This Row],[Patient_Age]]&lt;=60,"36-60","60+")))</f>
        <v>60+</v>
      </c>
      <c r="G661" t="s">
        <v>22</v>
      </c>
      <c r="H661" t="s">
        <v>23</v>
      </c>
      <c r="I661" s="2">
        <v>86</v>
      </c>
      <c r="J661" s="11">
        <v>1291</v>
      </c>
      <c r="K661" s="3">
        <v>14.207165420000001</v>
      </c>
      <c r="L661" s="3">
        <f t="shared" si="10"/>
        <v>0.14207165420000001</v>
      </c>
      <c r="M661">
        <v>42</v>
      </c>
      <c r="N661" s="6">
        <f>MediCare_Data[[#This Row],[Average_Wait_Time (mins)]]/1440</f>
        <v>2.9166666666666667E-2</v>
      </c>
      <c r="O661" s="2">
        <v>2</v>
      </c>
      <c r="P661" s="10">
        <v>18241</v>
      </c>
      <c r="Q661" s="17" t="str">
        <f>IF(AND(MediCare_Data[[#This Row],[Patient_Gender]]="Male", MediCare_Data[[#This Row],[Treatment_Type]]="Maternity"), "Gender-Treatment Mismatch", "Fine")</f>
        <v>Fine</v>
      </c>
      <c r="R661" s="10">
        <f>MediCare_Data[[#This Row],[Revenue_Generated]]-MediCare_Data[[#This Row],[Average_Treatment_Cost]]</f>
        <v>16950</v>
      </c>
      <c r="S661" s="3">
        <f>(MediCare_Data[[#This Row],[Profit]]/MediCare_Data[[#This Row],[Revenue_Generated]])</f>
        <v>0.92922537141604078</v>
      </c>
    </row>
    <row r="662" spans="1:19" x14ac:dyDescent="0.25">
      <c r="A662" t="s">
        <v>709</v>
      </c>
      <c r="B662" t="s">
        <v>49</v>
      </c>
      <c r="C662" t="s">
        <v>29</v>
      </c>
      <c r="D662" t="s">
        <v>16</v>
      </c>
      <c r="E662">
        <v>48</v>
      </c>
      <c r="F662" t="str">
        <f>IF(MediCare_Data[[#This Row],[Patient_Age]]&lt;=18,"0-18",IF(MediCare_Data[[#This Row],[Patient_Age]]&lt;=35,"19-35",IF(MediCare_Data[[#This Row],[Patient_Age]]&lt;=60,"36-60","60+")))</f>
        <v>36-60</v>
      </c>
      <c r="G662" t="s">
        <v>26</v>
      </c>
      <c r="H662" t="s">
        <v>51</v>
      </c>
      <c r="I662" s="2">
        <v>87</v>
      </c>
      <c r="J662" s="11">
        <v>5890</v>
      </c>
      <c r="K662" s="3">
        <v>22.291272190000001</v>
      </c>
      <c r="L662" s="3">
        <f t="shared" si="10"/>
        <v>0.2229127219</v>
      </c>
      <c r="M662">
        <v>150</v>
      </c>
      <c r="N662" s="6">
        <f>MediCare_Data[[#This Row],[Average_Wait_Time (mins)]]/1440</f>
        <v>0.10416666666666667</v>
      </c>
      <c r="O662" s="2">
        <v>3</v>
      </c>
      <c r="P662" s="10">
        <v>24154</v>
      </c>
      <c r="Q662" s="17" t="str">
        <f>IF(AND(MediCare_Data[[#This Row],[Patient_Gender]]="Male", MediCare_Data[[#This Row],[Treatment_Type]]="Maternity"), "Gender-Treatment Mismatch", "Fine")</f>
        <v>Fine</v>
      </c>
      <c r="R662" s="10">
        <f>MediCare_Data[[#This Row],[Revenue_Generated]]-MediCare_Data[[#This Row],[Average_Treatment_Cost]]</f>
        <v>18264</v>
      </c>
      <c r="S662" s="3">
        <f>(MediCare_Data[[#This Row],[Profit]]/MediCare_Data[[#This Row],[Revenue_Generated]])</f>
        <v>0.75614805001242036</v>
      </c>
    </row>
    <row r="663" spans="1:19" x14ac:dyDescent="0.25">
      <c r="A663" t="s">
        <v>710</v>
      </c>
      <c r="B663" t="s">
        <v>25</v>
      </c>
      <c r="C663" t="s">
        <v>29</v>
      </c>
      <c r="D663" t="s">
        <v>16</v>
      </c>
      <c r="E663">
        <v>18</v>
      </c>
      <c r="F663" t="str">
        <f>IF(MediCare_Data[[#This Row],[Patient_Age]]&lt;=18,"0-18",IF(MediCare_Data[[#This Row],[Patient_Age]]&lt;=35,"19-35",IF(MediCare_Data[[#This Row],[Patient_Age]]&lt;=60,"36-60","60+")))</f>
        <v>0-18</v>
      </c>
      <c r="G663" t="s">
        <v>26</v>
      </c>
      <c r="H663" t="s">
        <v>51</v>
      </c>
      <c r="I663" s="2">
        <v>68</v>
      </c>
      <c r="J663" s="11">
        <v>7135</v>
      </c>
      <c r="K663" s="3">
        <v>15.932964399999999</v>
      </c>
      <c r="L663" s="3">
        <f t="shared" si="10"/>
        <v>0.15932964399999999</v>
      </c>
      <c r="M663">
        <v>93</v>
      </c>
      <c r="N663" s="6">
        <f>MediCare_Data[[#This Row],[Average_Wait_Time (mins)]]/1440</f>
        <v>6.458333333333334E-2</v>
      </c>
      <c r="O663" s="2">
        <v>2</v>
      </c>
      <c r="P663" s="10">
        <v>26625</v>
      </c>
      <c r="Q663" s="17" t="str">
        <f>IF(AND(MediCare_Data[[#This Row],[Patient_Gender]]="Male", MediCare_Data[[#This Row],[Treatment_Type]]="Maternity"), "Gender-Treatment Mismatch", "Fine")</f>
        <v>Fine</v>
      </c>
      <c r="R663" s="10">
        <f>MediCare_Data[[#This Row],[Revenue_Generated]]-MediCare_Data[[#This Row],[Average_Treatment_Cost]]</f>
        <v>19490</v>
      </c>
      <c r="S663" s="3">
        <f>(MediCare_Data[[#This Row],[Profit]]/MediCare_Data[[#This Row],[Revenue_Generated]])</f>
        <v>0.73201877934272297</v>
      </c>
    </row>
    <row r="664" spans="1:19" x14ac:dyDescent="0.25">
      <c r="A664" t="s">
        <v>711</v>
      </c>
      <c r="B664" t="s">
        <v>74</v>
      </c>
      <c r="C664" t="s">
        <v>42</v>
      </c>
      <c r="D664" t="s">
        <v>21</v>
      </c>
      <c r="E664">
        <v>23</v>
      </c>
      <c r="F664" t="str">
        <f>IF(MediCare_Data[[#This Row],[Patient_Age]]&lt;=18,"0-18",IF(MediCare_Data[[#This Row],[Patient_Age]]&lt;=35,"19-35",IF(MediCare_Data[[#This Row],[Patient_Age]]&lt;=60,"36-60","60+")))</f>
        <v>19-35</v>
      </c>
      <c r="G664" t="s">
        <v>43</v>
      </c>
      <c r="H664" t="s">
        <v>33</v>
      </c>
      <c r="I664" s="2">
        <v>57</v>
      </c>
      <c r="J664" s="11">
        <v>2755</v>
      </c>
      <c r="K664" s="3">
        <v>12.60801098</v>
      </c>
      <c r="L664" s="3">
        <f t="shared" si="10"/>
        <v>0.12608010980000001</v>
      </c>
      <c r="M664">
        <v>144</v>
      </c>
      <c r="N664" s="6">
        <f>MediCare_Data[[#This Row],[Average_Wait_Time (mins)]]/1440</f>
        <v>0.1</v>
      </c>
      <c r="O664" s="2">
        <v>4</v>
      </c>
      <c r="P664" s="10">
        <v>45950</v>
      </c>
      <c r="Q664" s="17" t="str">
        <f>IF(AND(MediCare_Data[[#This Row],[Patient_Gender]]="Male", MediCare_Data[[#This Row],[Treatment_Type]]="Maternity"), "Gender-Treatment Mismatch", "Fine")</f>
        <v>Fine</v>
      </c>
      <c r="R664" s="10">
        <f>MediCare_Data[[#This Row],[Revenue_Generated]]-MediCare_Data[[#This Row],[Average_Treatment_Cost]]</f>
        <v>43195</v>
      </c>
      <c r="S664" s="3">
        <f>(MediCare_Data[[#This Row],[Profit]]/MediCare_Data[[#This Row],[Revenue_Generated]])</f>
        <v>0.94004352557127313</v>
      </c>
    </row>
    <row r="665" spans="1:19" x14ac:dyDescent="0.25">
      <c r="A665" t="s">
        <v>712</v>
      </c>
      <c r="B665" t="s">
        <v>64</v>
      </c>
      <c r="C665" t="s">
        <v>36</v>
      </c>
      <c r="D665" t="s">
        <v>32</v>
      </c>
      <c r="E665">
        <v>89</v>
      </c>
      <c r="F665" t="str">
        <f>IF(MediCare_Data[[#This Row],[Patient_Age]]&lt;=18,"0-18",IF(MediCare_Data[[#This Row],[Patient_Age]]&lt;=35,"19-35",IF(MediCare_Data[[#This Row],[Patient_Age]]&lt;=60,"36-60","60+")))</f>
        <v>60+</v>
      </c>
      <c r="G665" t="s">
        <v>22</v>
      </c>
      <c r="H665" t="s">
        <v>47</v>
      </c>
      <c r="I665" s="2">
        <v>97</v>
      </c>
      <c r="J665" s="11">
        <v>4110</v>
      </c>
      <c r="K665" s="3">
        <v>24.536006570000001</v>
      </c>
      <c r="L665" s="3">
        <f t="shared" si="10"/>
        <v>0.24536006570000002</v>
      </c>
      <c r="M665">
        <v>88</v>
      </c>
      <c r="N665" s="6">
        <f>MediCare_Data[[#This Row],[Average_Wait_Time (mins)]]/1440</f>
        <v>6.1111111111111109E-2</v>
      </c>
      <c r="O665" s="2">
        <v>4</v>
      </c>
      <c r="P665" s="10">
        <v>34066</v>
      </c>
      <c r="Q665" s="17" t="str">
        <f>IF(AND(MediCare_Data[[#This Row],[Patient_Gender]]="Male", MediCare_Data[[#This Row],[Treatment_Type]]="Maternity"), "Gender-Treatment Mismatch", "Fine")</f>
        <v>Fine</v>
      </c>
      <c r="R665" s="10">
        <f>MediCare_Data[[#This Row],[Revenue_Generated]]-MediCare_Data[[#This Row],[Average_Treatment_Cost]]</f>
        <v>29956</v>
      </c>
      <c r="S665" s="3">
        <f>(MediCare_Data[[#This Row],[Profit]]/MediCare_Data[[#This Row],[Revenue_Generated]])</f>
        <v>0.87935184641578112</v>
      </c>
    </row>
    <row r="666" spans="1:19" x14ac:dyDescent="0.25">
      <c r="A666" t="s">
        <v>713</v>
      </c>
      <c r="B666" t="s">
        <v>82</v>
      </c>
      <c r="C666" t="s">
        <v>31</v>
      </c>
      <c r="D666" t="s">
        <v>16</v>
      </c>
      <c r="E666">
        <v>77</v>
      </c>
      <c r="F666" t="str">
        <f>IF(MediCare_Data[[#This Row],[Patient_Age]]&lt;=18,"0-18",IF(MediCare_Data[[#This Row],[Patient_Age]]&lt;=35,"19-35",IF(MediCare_Data[[#This Row],[Patient_Age]]&lt;=60,"36-60","60+")))</f>
        <v>60+</v>
      </c>
      <c r="G666" t="s">
        <v>22</v>
      </c>
      <c r="H666" t="s">
        <v>47</v>
      </c>
      <c r="I666" s="2">
        <v>94</v>
      </c>
      <c r="J666" s="11">
        <v>2107</v>
      </c>
      <c r="K666" s="3">
        <v>7.2144118669999999</v>
      </c>
      <c r="L666" s="3">
        <f t="shared" si="10"/>
        <v>7.2144118669999993E-2</v>
      </c>
      <c r="M666">
        <v>23</v>
      </c>
      <c r="N666" s="6">
        <f>MediCare_Data[[#This Row],[Average_Wait_Time (mins)]]/1440</f>
        <v>1.5972222222222221E-2</v>
      </c>
      <c r="O666" s="2">
        <v>1</v>
      </c>
      <c r="P666" s="10">
        <v>34691</v>
      </c>
      <c r="Q666" s="17" t="str">
        <f>IF(AND(MediCare_Data[[#This Row],[Patient_Gender]]="Male", MediCare_Data[[#This Row],[Treatment_Type]]="Maternity"), "Gender-Treatment Mismatch", "Fine")</f>
        <v>Fine</v>
      </c>
      <c r="R666" s="10">
        <f>MediCare_Data[[#This Row],[Revenue_Generated]]-MediCare_Data[[#This Row],[Average_Treatment_Cost]]</f>
        <v>32584</v>
      </c>
      <c r="S666" s="3">
        <f>(MediCare_Data[[#This Row],[Profit]]/MediCare_Data[[#This Row],[Revenue_Generated]])</f>
        <v>0.93926378599636795</v>
      </c>
    </row>
    <row r="667" spans="1:19" x14ac:dyDescent="0.25">
      <c r="A667" t="s">
        <v>714</v>
      </c>
      <c r="B667" t="s">
        <v>25</v>
      </c>
      <c r="C667" t="s">
        <v>54</v>
      </c>
      <c r="D667" t="s">
        <v>16</v>
      </c>
      <c r="E667">
        <v>2</v>
      </c>
      <c r="F667" t="str">
        <f>IF(MediCare_Data[[#This Row],[Patient_Age]]&lt;=18,"0-18",IF(MediCare_Data[[#This Row],[Patient_Age]]&lt;=35,"19-35",IF(MediCare_Data[[#This Row],[Patient_Age]]&lt;=60,"36-60","60+")))</f>
        <v>0-18</v>
      </c>
      <c r="G667" t="s">
        <v>17</v>
      </c>
      <c r="H667" t="s">
        <v>23</v>
      </c>
      <c r="I667" s="2">
        <v>50</v>
      </c>
      <c r="J667" s="11">
        <v>5679</v>
      </c>
      <c r="K667" s="3">
        <v>13.450968570000001</v>
      </c>
      <c r="L667" s="3">
        <f t="shared" si="10"/>
        <v>0.13450968569999999</v>
      </c>
      <c r="M667">
        <v>156</v>
      </c>
      <c r="N667" s="6">
        <f>MediCare_Data[[#This Row],[Average_Wait_Time (mins)]]/1440</f>
        <v>0.10833333333333334</v>
      </c>
      <c r="O667" s="2">
        <v>2</v>
      </c>
      <c r="P667" s="10">
        <v>14331</v>
      </c>
      <c r="Q667" s="17" t="str">
        <f>IF(AND(MediCare_Data[[#This Row],[Patient_Gender]]="Male", MediCare_Data[[#This Row],[Treatment_Type]]="Maternity"), "Gender-Treatment Mismatch", "Fine")</f>
        <v>Fine</v>
      </c>
      <c r="R667" s="10">
        <f>MediCare_Data[[#This Row],[Revenue_Generated]]-MediCare_Data[[#This Row],[Average_Treatment_Cost]]</f>
        <v>8652</v>
      </c>
      <c r="S667" s="3">
        <f>(MediCare_Data[[#This Row],[Profit]]/MediCare_Data[[#This Row],[Revenue_Generated]])</f>
        <v>0.60372618798409039</v>
      </c>
    </row>
    <row r="668" spans="1:19" x14ac:dyDescent="0.25">
      <c r="A668" t="s">
        <v>715</v>
      </c>
      <c r="B668" t="s">
        <v>25</v>
      </c>
      <c r="C668" t="s">
        <v>36</v>
      </c>
      <c r="D668" t="s">
        <v>16</v>
      </c>
      <c r="E668">
        <v>52</v>
      </c>
      <c r="F668" t="str">
        <f>IF(MediCare_Data[[#This Row],[Patient_Age]]&lt;=18,"0-18",IF(MediCare_Data[[#This Row],[Patient_Age]]&lt;=35,"19-35",IF(MediCare_Data[[#This Row],[Patient_Age]]&lt;=60,"36-60","60+")))</f>
        <v>36-60</v>
      </c>
      <c r="G668" t="s">
        <v>17</v>
      </c>
      <c r="H668" t="s">
        <v>47</v>
      </c>
      <c r="I668" s="2">
        <v>71</v>
      </c>
      <c r="J668" s="11">
        <v>7073</v>
      </c>
      <c r="K668" s="3">
        <v>5.8404935030000003</v>
      </c>
      <c r="L668" s="3">
        <f t="shared" si="10"/>
        <v>5.8404935030000001E-2</v>
      </c>
      <c r="M668">
        <v>137</v>
      </c>
      <c r="N668" s="6">
        <f>MediCare_Data[[#This Row],[Average_Wait_Time (mins)]]/1440</f>
        <v>9.5138888888888884E-2</v>
      </c>
      <c r="O668" s="2">
        <v>3</v>
      </c>
      <c r="P668" s="10">
        <v>21690</v>
      </c>
      <c r="Q668" s="17" t="str">
        <f>IF(AND(MediCare_Data[[#This Row],[Patient_Gender]]="Male", MediCare_Data[[#This Row],[Treatment_Type]]="Maternity"), "Gender-Treatment Mismatch", "Fine")</f>
        <v>Fine</v>
      </c>
      <c r="R668" s="10">
        <f>MediCare_Data[[#This Row],[Revenue_Generated]]-MediCare_Data[[#This Row],[Average_Treatment_Cost]]</f>
        <v>14617</v>
      </c>
      <c r="S668" s="3">
        <f>(MediCare_Data[[#This Row],[Profit]]/MediCare_Data[[#This Row],[Revenue_Generated]])</f>
        <v>0.67390502535730756</v>
      </c>
    </row>
    <row r="669" spans="1:19" x14ac:dyDescent="0.25">
      <c r="A669" t="s">
        <v>716</v>
      </c>
      <c r="B669" t="s">
        <v>41</v>
      </c>
      <c r="C669" t="s">
        <v>31</v>
      </c>
      <c r="D669" t="s">
        <v>21</v>
      </c>
      <c r="E669">
        <v>14</v>
      </c>
      <c r="F669" t="str">
        <f>IF(MediCare_Data[[#This Row],[Patient_Age]]&lt;=18,"0-18",IF(MediCare_Data[[#This Row],[Patient_Age]]&lt;=35,"19-35",IF(MediCare_Data[[#This Row],[Patient_Age]]&lt;=60,"36-60","60+")))</f>
        <v>0-18</v>
      </c>
      <c r="G669" t="s">
        <v>22</v>
      </c>
      <c r="H669" t="s">
        <v>23</v>
      </c>
      <c r="I669" s="2">
        <v>66</v>
      </c>
      <c r="J669" s="11">
        <v>1484</v>
      </c>
      <c r="K669" s="3">
        <v>19.79808242</v>
      </c>
      <c r="L669" s="3">
        <f t="shared" si="10"/>
        <v>0.19798082419999999</v>
      </c>
      <c r="M669">
        <v>63</v>
      </c>
      <c r="N669" s="6">
        <f>MediCare_Data[[#This Row],[Average_Wait_Time (mins)]]/1440</f>
        <v>4.3749999999999997E-2</v>
      </c>
      <c r="O669" s="2">
        <v>4</v>
      </c>
      <c r="P669" s="10">
        <v>20183</v>
      </c>
      <c r="Q669" s="17" t="str">
        <f>IF(AND(MediCare_Data[[#This Row],[Patient_Gender]]="Male", MediCare_Data[[#This Row],[Treatment_Type]]="Maternity"), "Gender-Treatment Mismatch", "Fine")</f>
        <v>Fine</v>
      </c>
      <c r="R669" s="10">
        <f>MediCare_Data[[#This Row],[Revenue_Generated]]-MediCare_Data[[#This Row],[Average_Treatment_Cost]]</f>
        <v>18699</v>
      </c>
      <c r="S669" s="3">
        <f>(MediCare_Data[[#This Row],[Profit]]/MediCare_Data[[#This Row],[Revenue_Generated]])</f>
        <v>0.92647277411683104</v>
      </c>
    </row>
    <row r="670" spans="1:19" x14ac:dyDescent="0.25">
      <c r="A670" t="s">
        <v>717</v>
      </c>
      <c r="B670" t="s">
        <v>39</v>
      </c>
      <c r="C670" t="s">
        <v>31</v>
      </c>
      <c r="D670" t="s">
        <v>32</v>
      </c>
      <c r="E670">
        <v>76</v>
      </c>
      <c r="F670" t="str">
        <f>IF(MediCare_Data[[#This Row],[Patient_Age]]&lt;=18,"0-18",IF(MediCare_Data[[#This Row],[Patient_Age]]&lt;=35,"19-35",IF(MediCare_Data[[#This Row],[Patient_Age]]&lt;=60,"36-60","60+")))</f>
        <v>60+</v>
      </c>
      <c r="G670" t="s">
        <v>26</v>
      </c>
      <c r="H670" t="s">
        <v>37</v>
      </c>
      <c r="I670" s="2">
        <v>56</v>
      </c>
      <c r="J670" s="11">
        <v>6276</v>
      </c>
      <c r="K670" s="3">
        <v>23.361531039999999</v>
      </c>
      <c r="L670" s="3">
        <f t="shared" si="10"/>
        <v>0.2336153104</v>
      </c>
      <c r="M670">
        <v>157</v>
      </c>
      <c r="N670" s="6">
        <f>MediCare_Data[[#This Row],[Average_Wait_Time (mins)]]/1440</f>
        <v>0.10902777777777778</v>
      </c>
      <c r="O670" s="2">
        <v>3</v>
      </c>
      <c r="P670" s="10">
        <v>40346</v>
      </c>
      <c r="Q670" s="17" t="str">
        <f>IF(AND(MediCare_Data[[#This Row],[Patient_Gender]]="Male", MediCare_Data[[#This Row],[Treatment_Type]]="Maternity"), "Gender-Treatment Mismatch", "Fine")</f>
        <v>Fine</v>
      </c>
      <c r="R670" s="10">
        <f>MediCare_Data[[#This Row],[Revenue_Generated]]-MediCare_Data[[#This Row],[Average_Treatment_Cost]]</f>
        <v>34070</v>
      </c>
      <c r="S670" s="3">
        <f>(MediCare_Data[[#This Row],[Profit]]/MediCare_Data[[#This Row],[Revenue_Generated]])</f>
        <v>0.84444554602686761</v>
      </c>
    </row>
    <row r="671" spans="1:19" x14ac:dyDescent="0.25">
      <c r="A671" t="s">
        <v>718</v>
      </c>
      <c r="B671" t="s">
        <v>49</v>
      </c>
      <c r="C671" t="s">
        <v>31</v>
      </c>
      <c r="D671" t="s">
        <v>21</v>
      </c>
      <c r="E671">
        <v>61</v>
      </c>
      <c r="F671" t="str">
        <f>IF(MediCare_Data[[#This Row],[Patient_Age]]&lt;=18,"0-18",IF(MediCare_Data[[#This Row],[Patient_Age]]&lt;=35,"19-35",IF(MediCare_Data[[#This Row],[Patient_Age]]&lt;=60,"36-60","60+")))</f>
        <v>60+</v>
      </c>
      <c r="G671" t="s">
        <v>26</v>
      </c>
      <c r="H671" t="s">
        <v>23</v>
      </c>
      <c r="I671" s="2">
        <v>74</v>
      </c>
      <c r="J671" s="11">
        <v>4176</v>
      </c>
      <c r="K671" s="3">
        <v>10.60074659</v>
      </c>
      <c r="L671" s="3">
        <f t="shared" si="10"/>
        <v>0.1060074659</v>
      </c>
      <c r="M671">
        <v>38</v>
      </c>
      <c r="N671" s="6">
        <f>MediCare_Data[[#This Row],[Average_Wait_Time (mins)]]/1440</f>
        <v>2.6388888888888889E-2</v>
      </c>
      <c r="O671" s="2">
        <v>1</v>
      </c>
      <c r="P671" s="10">
        <v>5875</v>
      </c>
      <c r="Q671" s="17" t="str">
        <f>IF(AND(MediCare_Data[[#This Row],[Patient_Gender]]="Male", MediCare_Data[[#This Row],[Treatment_Type]]="Maternity"), "Gender-Treatment Mismatch", "Fine")</f>
        <v>Fine</v>
      </c>
      <c r="R671" s="10">
        <f>MediCare_Data[[#This Row],[Revenue_Generated]]-MediCare_Data[[#This Row],[Average_Treatment_Cost]]</f>
        <v>1699</v>
      </c>
      <c r="S671" s="3">
        <f>(MediCare_Data[[#This Row],[Profit]]/MediCare_Data[[#This Row],[Revenue_Generated]])</f>
        <v>0.28919148936170214</v>
      </c>
    </row>
    <row r="672" spans="1:19" x14ac:dyDescent="0.25">
      <c r="A672" t="s">
        <v>719</v>
      </c>
      <c r="B672" t="s">
        <v>53</v>
      </c>
      <c r="C672" t="s">
        <v>46</v>
      </c>
      <c r="D672" t="s">
        <v>16</v>
      </c>
      <c r="E672">
        <v>19</v>
      </c>
      <c r="F672" t="str">
        <f>IF(MediCare_Data[[#This Row],[Patient_Age]]&lt;=18,"0-18",IF(MediCare_Data[[#This Row],[Patient_Age]]&lt;=35,"19-35",IF(MediCare_Data[[#This Row],[Patient_Age]]&lt;=60,"36-60","60+")))</f>
        <v>19-35</v>
      </c>
      <c r="G672" t="s">
        <v>43</v>
      </c>
      <c r="H672" t="s">
        <v>51</v>
      </c>
      <c r="I672" s="2">
        <v>94</v>
      </c>
      <c r="J672" s="11">
        <v>3880</v>
      </c>
      <c r="K672" s="3">
        <v>22.166833539999999</v>
      </c>
      <c r="L672" s="3">
        <f t="shared" si="10"/>
        <v>0.2216683354</v>
      </c>
      <c r="M672">
        <v>33</v>
      </c>
      <c r="N672" s="6">
        <f>MediCare_Data[[#This Row],[Average_Wait_Time (mins)]]/1440</f>
        <v>2.2916666666666665E-2</v>
      </c>
      <c r="O672" s="2">
        <v>2</v>
      </c>
      <c r="P672" s="10">
        <v>13254</v>
      </c>
      <c r="Q672" s="17" t="str">
        <f>IF(AND(MediCare_Data[[#This Row],[Patient_Gender]]="Male", MediCare_Data[[#This Row],[Treatment_Type]]="Maternity"), "Gender-Treatment Mismatch", "Fine")</f>
        <v>Fine</v>
      </c>
      <c r="R672" s="10">
        <f>MediCare_Data[[#This Row],[Revenue_Generated]]-MediCare_Data[[#This Row],[Average_Treatment_Cost]]</f>
        <v>9374</v>
      </c>
      <c r="S672" s="3">
        <f>(MediCare_Data[[#This Row],[Profit]]/MediCare_Data[[#This Row],[Revenue_Generated]])</f>
        <v>0.70725818620793723</v>
      </c>
    </row>
    <row r="673" spans="1:19" x14ac:dyDescent="0.25">
      <c r="A673" t="s">
        <v>720</v>
      </c>
      <c r="B673" t="s">
        <v>28</v>
      </c>
      <c r="C673" t="s">
        <v>54</v>
      </c>
      <c r="D673" t="s">
        <v>16</v>
      </c>
      <c r="E673">
        <v>18</v>
      </c>
      <c r="F673" t="str">
        <f>IF(MediCare_Data[[#This Row],[Patient_Age]]&lt;=18,"0-18",IF(MediCare_Data[[#This Row],[Patient_Age]]&lt;=35,"19-35",IF(MediCare_Data[[#This Row],[Patient_Age]]&lt;=60,"36-60","60+")))</f>
        <v>0-18</v>
      </c>
      <c r="G673" t="s">
        <v>17</v>
      </c>
      <c r="H673" t="s">
        <v>33</v>
      </c>
      <c r="I673" s="2">
        <v>53</v>
      </c>
      <c r="J673" s="11">
        <v>9211</v>
      </c>
      <c r="K673" s="3">
        <v>10.84436461</v>
      </c>
      <c r="L673" s="3">
        <f t="shared" si="10"/>
        <v>0.1084436461</v>
      </c>
      <c r="M673">
        <v>91</v>
      </c>
      <c r="N673" s="6">
        <f>MediCare_Data[[#This Row],[Average_Wait_Time (mins)]]/1440</f>
        <v>6.3194444444444442E-2</v>
      </c>
      <c r="O673" s="2">
        <v>2</v>
      </c>
      <c r="P673" s="10">
        <v>29621</v>
      </c>
      <c r="Q673" s="17" t="str">
        <f>IF(AND(MediCare_Data[[#This Row],[Patient_Gender]]="Male", MediCare_Data[[#This Row],[Treatment_Type]]="Maternity"), "Gender-Treatment Mismatch", "Fine")</f>
        <v>Fine</v>
      </c>
      <c r="R673" s="10">
        <f>MediCare_Data[[#This Row],[Revenue_Generated]]-MediCare_Data[[#This Row],[Average_Treatment_Cost]]</f>
        <v>20410</v>
      </c>
      <c r="S673" s="3">
        <f>(MediCare_Data[[#This Row],[Profit]]/MediCare_Data[[#This Row],[Revenue_Generated]])</f>
        <v>0.68903818237061543</v>
      </c>
    </row>
    <row r="674" spans="1:19" x14ac:dyDescent="0.25">
      <c r="A674" t="s">
        <v>721</v>
      </c>
      <c r="B674" t="s">
        <v>25</v>
      </c>
      <c r="C674" t="s">
        <v>15</v>
      </c>
      <c r="D674" t="s">
        <v>21</v>
      </c>
      <c r="E674">
        <v>16</v>
      </c>
      <c r="F674" t="str">
        <f>IF(MediCare_Data[[#This Row],[Patient_Age]]&lt;=18,"0-18",IF(MediCare_Data[[#This Row],[Patient_Age]]&lt;=35,"19-35",IF(MediCare_Data[[#This Row],[Patient_Age]]&lt;=60,"36-60","60+")))</f>
        <v>0-18</v>
      </c>
      <c r="G674" t="s">
        <v>22</v>
      </c>
      <c r="H674" t="s">
        <v>33</v>
      </c>
      <c r="I674" s="2">
        <v>85</v>
      </c>
      <c r="J674" s="11">
        <v>9282</v>
      </c>
      <c r="K674" s="3">
        <v>23.21540323</v>
      </c>
      <c r="L674" s="3">
        <f t="shared" si="10"/>
        <v>0.23215403230000001</v>
      </c>
      <c r="M674">
        <v>72</v>
      </c>
      <c r="N674" s="6">
        <f>MediCare_Data[[#This Row],[Average_Wait_Time (mins)]]/1440</f>
        <v>0.05</v>
      </c>
      <c r="O674" s="2">
        <v>4</v>
      </c>
      <c r="P674" s="10">
        <v>11905</v>
      </c>
      <c r="Q674" s="17" t="str">
        <f>IF(AND(MediCare_Data[[#This Row],[Patient_Gender]]="Male", MediCare_Data[[#This Row],[Treatment_Type]]="Maternity"), "Gender-Treatment Mismatch", "Fine")</f>
        <v>Fine</v>
      </c>
      <c r="R674" s="10">
        <f>MediCare_Data[[#This Row],[Revenue_Generated]]-MediCare_Data[[#This Row],[Average_Treatment_Cost]]</f>
        <v>2623</v>
      </c>
      <c r="S674" s="3">
        <f>(MediCare_Data[[#This Row],[Profit]]/MediCare_Data[[#This Row],[Revenue_Generated]])</f>
        <v>0.22032759344813105</v>
      </c>
    </row>
    <row r="675" spans="1:19" x14ac:dyDescent="0.25">
      <c r="A675" t="s">
        <v>722</v>
      </c>
      <c r="B675" t="s">
        <v>74</v>
      </c>
      <c r="C675" t="s">
        <v>42</v>
      </c>
      <c r="D675" t="s">
        <v>16</v>
      </c>
      <c r="E675">
        <v>67</v>
      </c>
      <c r="F675" t="str">
        <f>IF(MediCare_Data[[#This Row],[Patient_Age]]&lt;=18,"0-18",IF(MediCare_Data[[#This Row],[Patient_Age]]&lt;=35,"19-35",IF(MediCare_Data[[#This Row],[Patient_Age]]&lt;=60,"36-60","60+")))</f>
        <v>60+</v>
      </c>
      <c r="G675" t="s">
        <v>43</v>
      </c>
      <c r="H675" t="s">
        <v>23</v>
      </c>
      <c r="I675" s="2">
        <v>55</v>
      </c>
      <c r="J675" s="11">
        <v>1550</v>
      </c>
      <c r="K675" s="3">
        <v>20.079238069999999</v>
      </c>
      <c r="L675" s="3">
        <f t="shared" si="10"/>
        <v>0.20079238069999999</v>
      </c>
      <c r="M675">
        <v>114</v>
      </c>
      <c r="N675" s="6">
        <f>MediCare_Data[[#This Row],[Average_Wait_Time (mins)]]/1440</f>
        <v>7.9166666666666663E-2</v>
      </c>
      <c r="O675" s="2">
        <v>2</v>
      </c>
      <c r="P675" s="10">
        <v>47121</v>
      </c>
      <c r="Q675" s="17" t="str">
        <f>IF(AND(MediCare_Data[[#This Row],[Patient_Gender]]="Male", MediCare_Data[[#This Row],[Treatment_Type]]="Maternity"), "Gender-Treatment Mismatch", "Fine")</f>
        <v>Fine</v>
      </c>
      <c r="R675" s="10">
        <f>MediCare_Data[[#This Row],[Revenue_Generated]]-MediCare_Data[[#This Row],[Average_Treatment_Cost]]</f>
        <v>45571</v>
      </c>
      <c r="S675" s="3">
        <f>(MediCare_Data[[#This Row],[Profit]]/MediCare_Data[[#This Row],[Revenue_Generated]])</f>
        <v>0.96710596124870019</v>
      </c>
    </row>
    <row r="676" spans="1:19" x14ac:dyDescent="0.25">
      <c r="A676" t="s">
        <v>723</v>
      </c>
      <c r="B676" t="s">
        <v>39</v>
      </c>
      <c r="C676" t="s">
        <v>31</v>
      </c>
      <c r="D676" t="s">
        <v>21</v>
      </c>
      <c r="E676">
        <v>36</v>
      </c>
      <c r="F676" t="str">
        <f>IF(MediCare_Data[[#This Row],[Patient_Age]]&lt;=18,"0-18",IF(MediCare_Data[[#This Row],[Patient_Age]]&lt;=35,"19-35",IF(MediCare_Data[[#This Row],[Patient_Age]]&lt;=60,"36-60","60+")))</f>
        <v>36-60</v>
      </c>
      <c r="G676" t="s">
        <v>26</v>
      </c>
      <c r="H676" t="s">
        <v>47</v>
      </c>
      <c r="I676" s="2">
        <v>80</v>
      </c>
      <c r="J676" s="11">
        <v>4133</v>
      </c>
      <c r="K676" s="3">
        <v>21.098135540000001</v>
      </c>
      <c r="L676" s="3">
        <f t="shared" si="10"/>
        <v>0.21098135540000001</v>
      </c>
      <c r="M676">
        <v>66</v>
      </c>
      <c r="N676" s="6">
        <f>MediCare_Data[[#This Row],[Average_Wait_Time (mins)]]/1440</f>
        <v>4.583333333333333E-2</v>
      </c>
      <c r="O676" s="2">
        <v>4</v>
      </c>
      <c r="P676" s="10">
        <v>16882</v>
      </c>
      <c r="Q676" s="17" t="str">
        <f>IF(AND(MediCare_Data[[#This Row],[Patient_Gender]]="Male", MediCare_Data[[#This Row],[Treatment_Type]]="Maternity"), "Gender-Treatment Mismatch", "Fine")</f>
        <v>Fine</v>
      </c>
      <c r="R676" s="10">
        <f>MediCare_Data[[#This Row],[Revenue_Generated]]-MediCare_Data[[#This Row],[Average_Treatment_Cost]]</f>
        <v>12749</v>
      </c>
      <c r="S676" s="3">
        <f>(MediCare_Data[[#This Row],[Profit]]/MediCare_Data[[#This Row],[Revenue_Generated]])</f>
        <v>0.75518303518540453</v>
      </c>
    </row>
    <row r="677" spans="1:19" x14ac:dyDescent="0.25">
      <c r="A677" t="s">
        <v>724</v>
      </c>
      <c r="B677" t="s">
        <v>14</v>
      </c>
      <c r="C677" t="s">
        <v>54</v>
      </c>
      <c r="D677" t="s">
        <v>16</v>
      </c>
      <c r="E677">
        <v>33</v>
      </c>
      <c r="F677" t="str">
        <f>IF(MediCare_Data[[#This Row],[Patient_Age]]&lt;=18,"0-18",IF(MediCare_Data[[#This Row],[Patient_Age]]&lt;=35,"19-35",IF(MediCare_Data[[#This Row],[Patient_Age]]&lt;=60,"36-60","60+")))</f>
        <v>19-35</v>
      </c>
      <c r="G677" t="s">
        <v>43</v>
      </c>
      <c r="H677" t="s">
        <v>23</v>
      </c>
      <c r="I677" s="2">
        <v>68</v>
      </c>
      <c r="J677" s="11">
        <v>6842</v>
      </c>
      <c r="K677" s="3">
        <v>5.3601311120000004</v>
      </c>
      <c r="L677" s="3">
        <f t="shared" si="10"/>
        <v>5.3601311120000002E-2</v>
      </c>
      <c r="M677">
        <v>145</v>
      </c>
      <c r="N677" s="6">
        <f>MediCare_Data[[#This Row],[Average_Wait_Time (mins)]]/1440</f>
        <v>0.10069444444444445</v>
      </c>
      <c r="O677" s="2">
        <v>1</v>
      </c>
      <c r="P677" s="10">
        <v>20041</v>
      </c>
      <c r="Q677" s="17" t="str">
        <f>IF(AND(MediCare_Data[[#This Row],[Patient_Gender]]="Male", MediCare_Data[[#This Row],[Treatment_Type]]="Maternity"), "Gender-Treatment Mismatch", "Fine")</f>
        <v>Fine</v>
      </c>
      <c r="R677" s="10">
        <f>MediCare_Data[[#This Row],[Revenue_Generated]]-MediCare_Data[[#This Row],[Average_Treatment_Cost]]</f>
        <v>13199</v>
      </c>
      <c r="S677" s="3">
        <f>(MediCare_Data[[#This Row],[Profit]]/MediCare_Data[[#This Row],[Revenue_Generated]])</f>
        <v>0.65859987026595479</v>
      </c>
    </row>
    <row r="678" spans="1:19" x14ac:dyDescent="0.25">
      <c r="A678" t="s">
        <v>725</v>
      </c>
      <c r="B678" t="s">
        <v>64</v>
      </c>
      <c r="C678" t="s">
        <v>54</v>
      </c>
      <c r="D678" t="s">
        <v>32</v>
      </c>
      <c r="E678">
        <v>47</v>
      </c>
      <c r="F678" t="str">
        <f>IF(MediCare_Data[[#This Row],[Patient_Age]]&lt;=18,"0-18",IF(MediCare_Data[[#This Row],[Patient_Age]]&lt;=35,"19-35",IF(MediCare_Data[[#This Row],[Patient_Age]]&lt;=60,"36-60","60+")))</f>
        <v>36-60</v>
      </c>
      <c r="G678" t="s">
        <v>43</v>
      </c>
      <c r="H678" t="s">
        <v>47</v>
      </c>
      <c r="I678" s="2">
        <v>93</v>
      </c>
      <c r="J678" s="11">
        <v>1459</v>
      </c>
      <c r="K678" s="3">
        <v>24.256207140000001</v>
      </c>
      <c r="L678" s="3">
        <f t="shared" si="10"/>
        <v>0.2425620714</v>
      </c>
      <c r="M678">
        <v>71</v>
      </c>
      <c r="N678" s="6">
        <f>MediCare_Data[[#This Row],[Average_Wait_Time (mins)]]/1440</f>
        <v>4.9305555555555554E-2</v>
      </c>
      <c r="O678" s="2">
        <v>2</v>
      </c>
      <c r="P678" s="10">
        <v>30098</v>
      </c>
      <c r="Q678" s="17" t="str">
        <f>IF(AND(MediCare_Data[[#This Row],[Patient_Gender]]="Male", MediCare_Data[[#This Row],[Treatment_Type]]="Maternity"), "Gender-Treatment Mismatch", "Fine")</f>
        <v>Fine</v>
      </c>
      <c r="R678" s="10">
        <f>MediCare_Data[[#This Row],[Revenue_Generated]]-MediCare_Data[[#This Row],[Average_Treatment_Cost]]</f>
        <v>28639</v>
      </c>
      <c r="S678" s="3">
        <f>(MediCare_Data[[#This Row],[Profit]]/MediCare_Data[[#This Row],[Revenue_Generated]])</f>
        <v>0.95152501827363944</v>
      </c>
    </row>
    <row r="679" spans="1:19" x14ac:dyDescent="0.25">
      <c r="A679" t="s">
        <v>726</v>
      </c>
      <c r="B679" t="s">
        <v>39</v>
      </c>
      <c r="C679" t="s">
        <v>29</v>
      </c>
      <c r="D679" t="s">
        <v>16</v>
      </c>
      <c r="E679">
        <v>72</v>
      </c>
      <c r="F679" t="str">
        <f>IF(MediCare_Data[[#This Row],[Patient_Age]]&lt;=18,"0-18",IF(MediCare_Data[[#This Row],[Patient_Age]]&lt;=35,"19-35",IF(MediCare_Data[[#This Row],[Patient_Age]]&lt;=60,"36-60","60+")))</f>
        <v>60+</v>
      </c>
      <c r="G679" t="s">
        <v>22</v>
      </c>
      <c r="H679" t="s">
        <v>23</v>
      </c>
      <c r="I679" s="2">
        <v>88</v>
      </c>
      <c r="J679" s="11">
        <v>6559</v>
      </c>
      <c r="K679" s="3">
        <v>19.533419840000001</v>
      </c>
      <c r="L679" s="3">
        <f t="shared" si="10"/>
        <v>0.19533419839999999</v>
      </c>
      <c r="M679">
        <v>166</v>
      </c>
      <c r="N679" s="6">
        <f>MediCare_Data[[#This Row],[Average_Wait_Time (mins)]]/1440</f>
        <v>0.11527777777777778</v>
      </c>
      <c r="O679" s="2">
        <v>4</v>
      </c>
      <c r="P679" s="10">
        <v>43431</v>
      </c>
      <c r="Q679" s="17" t="str">
        <f>IF(AND(MediCare_Data[[#This Row],[Patient_Gender]]="Male", MediCare_Data[[#This Row],[Treatment_Type]]="Maternity"), "Gender-Treatment Mismatch", "Fine")</f>
        <v>Fine</v>
      </c>
      <c r="R679" s="10">
        <f>MediCare_Data[[#This Row],[Revenue_Generated]]-MediCare_Data[[#This Row],[Average_Treatment_Cost]]</f>
        <v>36872</v>
      </c>
      <c r="S679" s="3">
        <f>(MediCare_Data[[#This Row],[Profit]]/MediCare_Data[[#This Row],[Revenue_Generated]])</f>
        <v>0.84897883999907897</v>
      </c>
    </row>
    <row r="680" spans="1:19" x14ac:dyDescent="0.25">
      <c r="A680" t="s">
        <v>727</v>
      </c>
      <c r="B680" t="s">
        <v>45</v>
      </c>
      <c r="C680" t="s">
        <v>54</v>
      </c>
      <c r="D680" t="s">
        <v>32</v>
      </c>
      <c r="E680">
        <v>2</v>
      </c>
      <c r="F680" t="str">
        <f>IF(MediCare_Data[[#This Row],[Patient_Age]]&lt;=18,"0-18",IF(MediCare_Data[[#This Row],[Patient_Age]]&lt;=35,"19-35",IF(MediCare_Data[[#This Row],[Patient_Age]]&lt;=60,"36-60","60+")))</f>
        <v>0-18</v>
      </c>
      <c r="G680" t="s">
        <v>43</v>
      </c>
      <c r="H680" t="s">
        <v>18</v>
      </c>
      <c r="I680" s="2">
        <v>76</v>
      </c>
      <c r="J680" s="11">
        <v>9384</v>
      </c>
      <c r="K680" s="3">
        <v>11.09502191</v>
      </c>
      <c r="L680" s="3">
        <f t="shared" si="10"/>
        <v>0.1109502191</v>
      </c>
      <c r="M680">
        <v>26</v>
      </c>
      <c r="N680" s="6">
        <f>MediCare_Data[[#This Row],[Average_Wait_Time (mins)]]/1440</f>
        <v>1.8055555555555554E-2</v>
      </c>
      <c r="O680" s="2">
        <v>3</v>
      </c>
      <c r="P680" s="10">
        <v>34709</v>
      </c>
      <c r="Q680" s="17" t="str">
        <f>IF(AND(MediCare_Data[[#This Row],[Patient_Gender]]="Male", MediCare_Data[[#This Row],[Treatment_Type]]="Maternity"), "Gender-Treatment Mismatch", "Fine")</f>
        <v>Fine</v>
      </c>
      <c r="R680" s="10">
        <f>MediCare_Data[[#This Row],[Revenue_Generated]]-MediCare_Data[[#This Row],[Average_Treatment_Cost]]</f>
        <v>25325</v>
      </c>
      <c r="S680" s="3">
        <f>(MediCare_Data[[#This Row],[Profit]]/MediCare_Data[[#This Row],[Revenue_Generated]])</f>
        <v>0.72963784609179172</v>
      </c>
    </row>
    <row r="681" spans="1:19" x14ac:dyDescent="0.25">
      <c r="A681" t="s">
        <v>728</v>
      </c>
      <c r="B681" t="s">
        <v>82</v>
      </c>
      <c r="C681" t="s">
        <v>36</v>
      </c>
      <c r="D681" t="s">
        <v>21</v>
      </c>
      <c r="E681">
        <v>43</v>
      </c>
      <c r="F681" t="str">
        <f>IF(MediCare_Data[[#This Row],[Patient_Age]]&lt;=18,"0-18",IF(MediCare_Data[[#This Row],[Patient_Age]]&lt;=35,"19-35",IF(MediCare_Data[[#This Row],[Patient_Age]]&lt;=60,"36-60","60+")))</f>
        <v>36-60</v>
      </c>
      <c r="G681" t="s">
        <v>22</v>
      </c>
      <c r="H681" t="s">
        <v>51</v>
      </c>
      <c r="I681" s="2">
        <v>59</v>
      </c>
      <c r="J681" s="11">
        <v>6155</v>
      </c>
      <c r="K681" s="3">
        <v>21.587893300000001</v>
      </c>
      <c r="L681" s="3">
        <f t="shared" si="10"/>
        <v>0.21587893300000002</v>
      </c>
      <c r="M681">
        <v>75</v>
      </c>
      <c r="N681" s="6">
        <f>MediCare_Data[[#This Row],[Average_Wait_Time (mins)]]/1440</f>
        <v>5.2083333333333336E-2</v>
      </c>
      <c r="O681" s="2">
        <v>4</v>
      </c>
      <c r="P681" s="10">
        <v>35675</v>
      </c>
      <c r="Q681" s="17" t="str">
        <f>IF(AND(MediCare_Data[[#This Row],[Patient_Gender]]="Male", MediCare_Data[[#This Row],[Treatment_Type]]="Maternity"), "Gender-Treatment Mismatch", "Fine")</f>
        <v>Fine</v>
      </c>
      <c r="R681" s="10">
        <f>MediCare_Data[[#This Row],[Revenue_Generated]]-MediCare_Data[[#This Row],[Average_Treatment_Cost]]</f>
        <v>29520</v>
      </c>
      <c r="S681" s="3">
        <f>(MediCare_Data[[#This Row],[Profit]]/MediCare_Data[[#This Row],[Revenue_Generated]])</f>
        <v>0.82747021723896286</v>
      </c>
    </row>
    <row r="682" spans="1:19" x14ac:dyDescent="0.25">
      <c r="A682" t="s">
        <v>729</v>
      </c>
      <c r="B682" t="s">
        <v>82</v>
      </c>
      <c r="C682" t="s">
        <v>29</v>
      </c>
      <c r="D682" t="s">
        <v>21</v>
      </c>
      <c r="E682">
        <v>5</v>
      </c>
      <c r="F682" t="str">
        <f>IF(MediCare_Data[[#This Row],[Patient_Age]]&lt;=18,"0-18",IF(MediCare_Data[[#This Row],[Patient_Age]]&lt;=35,"19-35",IF(MediCare_Data[[#This Row],[Patient_Age]]&lt;=60,"36-60","60+")))</f>
        <v>0-18</v>
      </c>
      <c r="G682" t="s">
        <v>17</v>
      </c>
      <c r="H682" t="s">
        <v>51</v>
      </c>
      <c r="I682" s="2">
        <v>75</v>
      </c>
      <c r="J682" s="11">
        <v>4973</v>
      </c>
      <c r="K682" s="3">
        <v>10.630423970000001</v>
      </c>
      <c r="L682" s="3">
        <f t="shared" si="10"/>
        <v>0.10630423970000001</v>
      </c>
      <c r="M682">
        <v>15</v>
      </c>
      <c r="N682" s="6">
        <f>MediCare_Data[[#This Row],[Average_Wait_Time (mins)]]/1440</f>
        <v>1.0416666666666666E-2</v>
      </c>
      <c r="O682" s="2">
        <v>2</v>
      </c>
      <c r="P682" s="10">
        <v>5837</v>
      </c>
      <c r="Q682" s="17" t="str">
        <f>IF(AND(MediCare_Data[[#This Row],[Patient_Gender]]="Male", MediCare_Data[[#This Row],[Treatment_Type]]="Maternity"), "Gender-Treatment Mismatch", "Fine")</f>
        <v>Fine</v>
      </c>
      <c r="R682" s="10">
        <f>MediCare_Data[[#This Row],[Revenue_Generated]]-MediCare_Data[[#This Row],[Average_Treatment_Cost]]</f>
        <v>864</v>
      </c>
      <c r="S682" s="3">
        <f>(MediCare_Data[[#This Row],[Profit]]/MediCare_Data[[#This Row],[Revenue_Generated]])</f>
        <v>0.14802124378961795</v>
      </c>
    </row>
    <row r="683" spans="1:19" x14ac:dyDescent="0.25">
      <c r="A683" t="s">
        <v>730</v>
      </c>
      <c r="B683" t="s">
        <v>74</v>
      </c>
      <c r="C683" t="s">
        <v>15</v>
      </c>
      <c r="D683" t="s">
        <v>32</v>
      </c>
      <c r="E683">
        <v>81</v>
      </c>
      <c r="F683" t="str">
        <f>IF(MediCare_Data[[#This Row],[Patient_Age]]&lt;=18,"0-18",IF(MediCare_Data[[#This Row],[Patient_Age]]&lt;=35,"19-35",IF(MediCare_Data[[#This Row],[Patient_Age]]&lt;=60,"36-60","60+")))</f>
        <v>60+</v>
      </c>
      <c r="G683" t="s">
        <v>43</v>
      </c>
      <c r="H683" t="s">
        <v>23</v>
      </c>
      <c r="I683" s="2">
        <v>68</v>
      </c>
      <c r="J683" s="11">
        <v>3446</v>
      </c>
      <c r="K683" s="3">
        <v>22.45507679</v>
      </c>
      <c r="L683" s="3">
        <f t="shared" si="10"/>
        <v>0.2245507679</v>
      </c>
      <c r="M683">
        <v>67</v>
      </c>
      <c r="N683" s="6">
        <f>MediCare_Data[[#This Row],[Average_Wait_Time (mins)]]/1440</f>
        <v>4.6527777777777779E-2</v>
      </c>
      <c r="O683" s="2">
        <v>1</v>
      </c>
      <c r="P683" s="10">
        <v>47448</v>
      </c>
      <c r="Q683" s="17" t="str">
        <f>IF(AND(MediCare_Data[[#This Row],[Patient_Gender]]="Male", MediCare_Data[[#This Row],[Treatment_Type]]="Maternity"), "Gender-Treatment Mismatch", "Fine")</f>
        <v>Fine</v>
      </c>
      <c r="R683" s="10">
        <f>MediCare_Data[[#This Row],[Revenue_Generated]]-MediCare_Data[[#This Row],[Average_Treatment_Cost]]</f>
        <v>44002</v>
      </c>
      <c r="S683" s="3">
        <f>(MediCare_Data[[#This Row],[Profit]]/MediCare_Data[[#This Row],[Revenue_Generated]])</f>
        <v>0.92737312426235041</v>
      </c>
    </row>
    <row r="684" spans="1:19" x14ac:dyDescent="0.25">
      <c r="A684" t="s">
        <v>731</v>
      </c>
      <c r="B684" t="s">
        <v>49</v>
      </c>
      <c r="C684" t="s">
        <v>20</v>
      </c>
      <c r="D684" t="s">
        <v>32</v>
      </c>
      <c r="E684">
        <v>59</v>
      </c>
      <c r="F684" t="str">
        <f>IF(MediCare_Data[[#This Row],[Patient_Age]]&lt;=18,"0-18",IF(MediCare_Data[[#This Row],[Patient_Age]]&lt;=35,"19-35",IF(MediCare_Data[[#This Row],[Patient_Age]]&lt;=60,"36-60","60+")))</f>
        <v>36-60</v>
      </c>
      <c r="G684" t="s">
        <v>26</v>
      </c>
      <c r="H684" t="s">
        <v>37</v>
      </c>
      <c r="I684" s="2">
        <v>88</v>
      </c>
      <c r="J684" s="11">
        <v>8225</v>
      </c>
      <c r="K684" s="3">
        <v>7.2516078080000002</v>
      </c>
      <c r="L684" s="3">
        <f t="shared" si="10"/>
        <v>7.2516078080000004E-2</v>
      </c>
      <c r="M684">
        <v>78</v>
      </c>
      <c r="N684" s="6">
        <f>MediCare_Data[[#This Row],[Average_Wait_Time (mins)]]/1440</f>
        <v>5.4166666666666669E-2</v>
      </c>
      <c r="O684" s="2">
        <v>2</v>
      </c>
      <c r="P684" s="10">
        <v>25489</v>
      </c>
      <c r="Q684" s="17" t="str">
        <f>IF(AND(MediCare_Data[[#This Row],[Patient_Gender]]="Male", MediCare_Data[[#This Row],[Treatment_Type]]="Maternity"), "Gender-Treatment Mismatch", "Fine")</f>
        <v>Fine</v>
      </c>
      <c r="R684" s="10">
        <f>MediCare_Data[[#This Row],[Revenue_Generated]]-MediCare_Data[[#This Row],[Average_Treatment_Cost]]</f>
        <v>17264</v>
      </c>
      <c r="S684" s="3">
        <f>(MediCare_Data[[#This Row],[Profit]]/MediCare_Data[[#This Row],[Revenue_Generated]])</f>
        <v>0.67731178155282667</v>
      </c>
    </row>
    <row r="685" spans="1:19" x14ac:dyDescent="0.25">
      <c r="A685" t="s">
        <v>732</v>
      </c>
      <c r="B685" t="s">
        <v>35</v>
      </c>
      <c r="C685" t="s">
        <v>54</v>
      </c>
      <c r="D685" t="s">
        <v>32</v>
      </c>
      <c r="E685">
        <v>4</v>
      </c>
      <c r="F685" t="str">
        <f>IF(MediCare_Data[[#This Row],[Patient_Age]]&lt;=18,"0-18",IF(MediCare_Data[[#This Row],[Patient_Age]]&lt;=35,"19-35",IF(MediCare_Data[[#This Row],[Patient_Age]]&lt;=60,"36-60","60+")))</f>
        <v>0-18</v>
      </c>
      <c r="G685" t="s">
        <v>26</v>
      </c>
      <c r="H685" t="s">
        <v>47</v>
      </c>
      <c r="I685" s="2">
        <v>52</v>
      </c>
      <c r="J685" s="11">
        <v>1026</v>
      </c>
      <c r="K685" s="3">
        <v>19.07371955</v>
      </c>
      <c r="L685" s="3">
        <f t="shared" si="10"/>
        <v>0.19073719550000001</v>
      </c>
      <c r="M685">
        <v>165</v>
      </c>
      <c r="N685" s="6">
        <f>MediCare_Data[[#This Row],[Average_Wait_Time (mins)]]/1440</f>
        <v>0.11458333333333333</v>
      </c>
      <c r="O685" s="2">
        <v>2</v>
      </c>
      <c r="P685" s="10">
        <v>18627</v>
      </c>
      <c r="Q685" s="17" t="str">
        <f>IF(AND(MediCare_Data[[#This Row],[Patient_Gender]]="Male", MediCare_Data[[#This Row],[Treatment_Type]]="Maternity"), "Gender-Treatment Mismatch", "Fine")</f>
        <v>Fine</v>
      </c>
      <c r="R685" s="10">
        <f>MediCare_Data[[#This Row],[Revenue_Generated]]-MediCare_Data[[#This Row],[Average_Treatment_Cost]]</f>
        <v>17601</v>
      </c>
      <c r="S685" s="3">
        <f>(MediCare_Data[[#This Row],[Profit]]/MediCare_Data[[#This Row],[Revenue_Generated]])</f>
        <v>0.94491866645192457</v>
      </c>
    </row>
    <row r="686" spans="1:19" x14ac:dyDescent="0.25">
      <c r="A686" t="s">
        <v>733</v>
      </c>
      <c r="B686" t="s">
        <v>35</v>
      </c>
      <c r="C686" t="s">
        <v>31</v>
      </c>
      <c r="D686" t="s">
        <v>21</v>
      </c>
      <c r="E686">
        <v>16</v>
      </c>
      <c r="F686" t="str">
        <f>IF(MediCare_Data[[#This Row],[Patient_Age]]&lt;=18,"0-18",IF(MediCare_Data[[#This Row],[Patient_Age]]&lt;=35,"19-35",IF(MediCare_Data[[#This Row],[Patient_Age]]&lt;=60,"36-60","60+")))</f>
        <v>0-18</v>
      </c>
      <c r="G686" t="s">
        <v>43</v>
      </c>
      <c r="H686" t="s">
        <v>23</v>
      </c>
      <c r="I686" s="2">
        <v>94</v>
      </c>
      <c r="J686" s="11">
        <v>3724</v>
      </c>
      <c r="K686" s="3">
        <v>15.81396953</v>
      </c>
      <c r="L686" s="3">
        <f t="shared" si="10"/>
        <v>0.15813969529999999</v>
      </c>
      <c r="M686">
        <v>71</v>
      </c>
      <c r="N686" s="6">
        <f>MediCare_Data[[#This Row],[Average_Wait_Time (mins)]]/1440</f>
        <v>4.9305555555555554E-2</v>
      </c>
      <c r="O686" s="2">
        <v>4</v>
      </c>
      <c r="P686" s="10">
        <v>6696</v>
      </c>
      <c r="Q686" s="17" t="str">
        <f>IF(AND(MediCare_Data[[#This Row],[Patient_Gender]]="Male", MediCare_Data[[#This Row],[Treatment_Type]]="Maternity"), "Gender-Treatment Mismatch", "Fine")</f>
        <v>Fine</v>
      </c>
      <c r="R686" s="10">
        <f>MediCare_Data[[#This Row],[Revenue_Generated]]-MediCare_Data[[#This Row],[Average_Treatment_Cost]]</f>
        <v>2972</v>
      </c>
      <c r="S686" s="3">
        <f>(MediCare_Data[[#This Row],[Profit]]/MediCare_Data[[#This Row],[Revenue_Generated]])</f>
        <v>0.44384707287933095</v>
      </c>
    </row>
    <row r="687" spans="1:19" x14ac:dyDescent="0.25">
      <c r="A687" t="s">
        <v>734</v>
      </c>
      <c r="B687" t="s">
        <v>53</v>
      </c>
      <c r="C687" t="s">
        <v>15</v>
      </c>
      <c r="D687" t="s">
        <v>32</v>
      </c>
      <c r="E687">
        <v>36</v>
      </c>
      <c r="F687" t="str">
        <f>IF(MediCare_Data[[#This Row],[Patient_Age]]&lt;=18,"0-18",IF(MediCare_Data[[#This Row],[Patient_Age]]&lt;=35,"19-35",IF(MediCare_Data[[#This Row],[Patient_Age]]&lt;=60,"36-60","60+")))</f>
        <v>36-60</v>
      </c>
      <c r="G687" t="s">
        <v>17</v>
      </c>
      <c r="H687" t="s">
        <v>51</v>
      </c>
      <c r="I687" s="2">
        <v>62</v>
      </c>
      <c r="J687" s="11">
        <v>2375</v>
      </c>
      <c r="K687" s="3">
        <v>6.9306894039999998</v>
      </c>
      <c r="L687" s="3">
        <f t="shared" si="10"/>
        <v>6.9306894039999997E-2</v>
      </c>
      <c r="M687">
        <v>178</v>
      </c>
      <c r="N687" s="6">
        <f>MediCare_Data[[#This Row],[Average_Wait_Time (mins)]]/1440</f>
        <v>0.12361111111111112</v>
      </c>
      <c r="O687" s="2">
        <v>3</v>
      </c>
      <c r="P687" s="10">
        <v>49994</v>
      </c>
      <c r="Q687" s="17" t="str">
        <f>IF(AND(MediCare_Data[[#This Row],[Patient_Gender]]="Male", MediCare_Data[[#This Row],[Treatment_Type]]="Maternity"), "Gender-Treatment Mismatch", "Fine")</f>
        <v>Fine</v>
      </c>
      <c r="R687" s="10">
        <f>MediCare_Data[[#This Row],[Revenue_Generated]]-MediCare_Data[[#This Row],[Average_Treatment_Cost]]</f>
        <v>47619</v>
      </c>
      <c r="S687" s="3">
        <f>(MediCare_Data[[#This Row],[Profit]]/MediCare_Data[[#This Row],[Revenue_Generated]])</f>
        <v>0.95249429931591789</v>
      </c>
    </row>
    <row r="688" spans="1:19" x14ac:dyDescent="0.25">
      <c r="A688" t="s">
        <v>735</v>
      </c>
      <c r="B688" t="s">
        <v>25</v>
      </c>
      <c r="C688" t="s">
        <v>15</v>
      </c>
      <c r="D688" t="s">
        <v>32</v>
      </c>
      <c r="E688">
        <v>41</v>
      </c>
      <c r="F688" t="str">
        <f>IF(MediCare_Data[[#This Row],[Patient_Age]]&lt;=18,"0-18",IF(MediCare_Data[[#This Row],[Patient_Age]]&lt;=35,"19-35",IF(MediCare_Data[[#This Row],[Patient_Age]]&lt;=60,"36-60","60+")))</f>
        <v>36-60</v>
      </c>
      <c r="G688" t="s">
        <v>26</v>
      </c>
      <c r="H688" t="s">
        <v>37</v>
      </c>
      <c r="I688" s="2">
        <v>99</v>
      </c>
      <c r="J688" s="11">
        <v>2263</v>
      </c>
      <c r="K688" s="3">
        <v>9.8378765650000002</v>
      </c>
      <c r="L688" s="3">
        <f t="shared" si="10"/>
        <v>9.8378765650000005E-2</v>
      </c>
      <c r="M688">
        <v>91</v>
      </c>
      <c r="N688" s="6">
        <f>MediCare_Data[[#This Row],[Average_Wait_Time (mins)]]/1440</f>
        <v>6.3194444444444442E-2</v>
      </c>
      <c r="O688" s="2">
        <v>2</v>
      </c>
      <c r="P688" s="10">
        <v>14543</v>
      </c>
      <c r="Q688" s="17" t="str">
        <f>IF(AND(MediCare_Data[[#This Row],[Patient_Gender]]="Male", MediCare_Data[[#This Row],[Treatment_Type]]="Maternity"), "Gender-Treatment Mismatch", "Fine")</f>
        <v>Fine</v>
      </c>
      <c r="R688" s="10">
        <f>MediCare_Data[[#This Row],[Revenue_Generated]]-MediCare_Data[[#This Row],[Average_Treatment_Cost]]</f>
        <v>12280</v>
      </c>
      <c r="S688" s="3">
        <f>(MediCare_Data[[#This Row],[Profit]]/MediCare_Data[[#This Row],[Revenue_Generated]])</f>
        <v>0.8443924912328955</v>
      </c>
    </row>
    <row r="689" spans="1:19" x14ac:dyDescent="0.25">
      <c r="A689" t="s">
        <v>736</v>
      </c>
      <c r="B689" t="s">
        <v>41</v>
      </c>
      <c r="C689" t="s">
        <v>20</v>
      </c>
      <c r="D689" t="s">
        <v>16</v>
      </c>
      <c r="E689">
        <v>86</v>
      </c>
      <c r="F689" t="str">
        <f>IF(MediCare_Data[[#This Row],[Patient_Age]]&lt;=18,"0-18",IF(MediCare_Data[[#This Row],[Patient_Age]]&lt;=35,"19-35",IF(MediCare_Data[[#This Row],[Patient_Age]]&lt;=60,"36-60","60+")))</f>
        <v>60+</v>
      </c>
      <c r="G689" t="s">
        <v>17</v>
      </c>
      <c r="H689" t="s">
        <v>33</v>
      </c>
      <c r="I689" s="2">
        <v>77</v>
      </c>
      <c r="J689" s="11">
        <v>9212</v>
      </c>
      <c r="K689" s="3">
        <v>5.2480807260000004</v>
      </c>
      <c r="L689" s="3">
        <f t="shared" si="10"/>
        <v>5.2480807260000005E-2</v>
      </c>
      <c r="M689">
        <v>178</v>
      </c>
      <c r="N689" s="6">
        <f>MediCare_Data[[#This Row],[Average_Wait_Time (mins)]]/1440</f>
        <v>0.12361111111111112</v>
      </c>
      <c r="O689" s="2">
        <v>3</v>
      </c>
      <c r="P689" s="10">
        <v>13615</v>
      </c>
      <c r="Q689" s="17" t="str">
        <f>IF(AND(MediCare_Data[[#This Row],[Patient_Gender]]="Male", MediCare_Data[[#This Row],[Treatment_Type]]="Maternity"), "Gender-Treatment Mismatch", "Fine")</f>
        <v>Fine</v>
      </c>
      <c r="R689" s="10">
        <f>MediCare_Data[[#This Row],[Revenue_Generated]]-MediCare_Data[[#This Row],[Average_Treatment_Cost]]</f>
        <v>4403</v>
      </c>
      <c r="S689" s="3">
        <f>(MediCare_Data[[#This Row],[Profit]]/MediCare_Data[[#This Row],[Revenue_Generated]])</f>
        <v>0.32339331619537276</v>
      </c>
    </row>
    <row r="690" spans="1:19" x14ac:dyDescent="0.25">
      <c r="A690" t="s">
        <v>737</v>
      </c>
      <c r="B690" t="s">
        <v>39</v>
      </c>
      <c r="C690" t="s">
        <v>46</v>
      </c>
      <c r="D690" t="s">
        <v>16</v>
      </c>
      <c r="E690">
        <v>19</v>
      </c>
      <c r="F690" t="str">
        <f>IF(MediCare_Data[[#This Row],[Patient_Age]]&lt;=18,"0-18",IF(MediCare_Data[[#This Row],[Patient_Age]]&lt;=35,"19-35",IF(MediCare_Data[[#This Row],[Patient_Age]]&lt;=60,"36-60","60+")))</f>
        <v>19-35</v>
      </c>
      <c r="G690" t="s">
        <v>43</v>
      </c>
      <c r="H690" t="s">
        <v>33</v>
      </c>
      <c r="I690" s="2">
        <v>69</v>
      </c>
      <c r="J690" s="11">
        <v>6297</v>
      </c>
      <c r="K690" s="3">
        <v>14.37535931</v>
      </c>
      <c r="L690" s="3">
        <f t="shared" si="10"/>
        <v>0.14375359309999999</v>
      </c>
      <c r="M690">
        <v>80</v>
      </c>
      <c r="N690" s="6">
        <f>MediCare_Data[[#This Row],[Average_Wait_Time (mins)]]/1440</f>
        <v>5.5555555555555552E-2</v>
      </c>
      <c r="O690" s="2">
        <v>4</v>
      </c>
      <c r="P690" s="10">
        <v>2466</v>
      </c>
      <c r="Q690" s="17" t="str">
        <f>IF(AND(MediCare_Data[[#This Row],[Patient_Gender]]="Male", MediCare_Data[[#This Row],[Treatment_Type]]="Maternity"), "Gender-Treatment Mismatch", "Fine")</f>
        <v>Fine</v>
      </c>
      <c r="R690" s="10">
        <f>MediCare_Data[[#This Row],[Revenue_Generated]]-MediCare_Data[[#This Row],[Average_Treatment_Cost]]</f>
        <v>-3831</v>
      </c>
      <c r="S690" s="3">
        <f>(MediCare_Data[[#This Row],[Profit]]/MediCare_Data[[#This Row],[Revenue_Generated]])</f>
        <v>-1.5535279805352797</v>
      </c>
    </row>
    <row r="691" spans="1:19" x14ac:dyDescent="0.25">
      <c r="A691" t="s">
        <v>738</v>
      </c>
      <c r="B691" t="s">
        <v>25</v>
      </c>
      <c r="C691" t="s">
        <v>46</v>
      </c>
      <c r="D691" t="s">
        <v>32</v>
      </c>
      <c r="E691">
        <v>26</v>
      </c>
      <c r="F691" t="str">
        <f>IF(MediCare_Data[[#This Row],[Patient_Age]]&lt;=18,"0-18",IF(MediCare_Data[[#This Row],[Patient_Age]]&lt;=35,"19-35",IF(MediCare_Data[[#This Row],[Patient_Age]]&lt;=60,"36-60","60+")))</f>
        <v>19-35</v>
      </c>
      <c r="G691" t="s">
        <v>17</v>
      </c>
      <c r="H691" t="s">
        <v>47</v>
      </c>
      <c r="I691" s="2">
        <v>77</v>
      </c>
      <c r="J691" s="11">
        <v>9708</v>
      </c>
      <c r="K691" s="3">
        <v>11.02530522</v>
      </c>
      <c r="L691" s="3">
        <f t="shared" si="10"/>
        <v>0.11025305219999999</v>
      </c>
      <c r="M691">
        <v>140</v>
      </c>
      <c r="N691" s="6">
        <f>MediCare_Data[[#This Row],[Average_Wait_Time (mins)]]/1440</f>
        <v>9.7222222222222224E-2</v>
      </c>
      <c r="O691" s="2">
        <v>3</v>
      </c>
      <c r="P691" s="10">
        <v>31771</v>
      </c>
      <c r="Q691" s="17" t="str">
        <f>IF(AND(MediCare_Data[[#This Row],[Patient_Gender]]="Male", MediCare_Data[[#This Row],[Treatment_Type]]="Maternity"), "Gender-Treatment Mismatch", "Fine")</f>
        <v>Fine</v>
      </c>
      <c r="R691" s="10">
        <f>MediCare_Data[[#This Row],[Revenue_Generated]]-MediCare_Data[[#This Row],[Average_Treatment_Cost]]</f>
        <v>22063</v>
      </c>
      <c r="S691" s="3">
        <f>(MediCare_Data[[#This Row],[Profit]]/MediCare_Data[[#This Row],[Revenue_Generated]])</f>
        <v>0.69443832425797114</v>
      </c>
    </row>
    <row r="692" spans="1:19" x14ac:dyDescent="0.25">
      <c r="A692" t="s">
        <v>739</v>
      </c>
      <c r="B692" t="s">
        <v>25</v>
      </c>
      <c r="C692" t="s">
        <v>15</v>
      </c>
      <c r="D692" t="s">
        <v>21</v>
      </c>
      <c r="E692">
        <v>45</v>
      </c>
      <c r="F692" t="str">
        <f>IF(MediCare_Data[[#This Row],[Patient_Age]]&lt;=18,"0-18",IF(MediCare_Data[[#This Row],[Patient_Age]]&lt;=35,"19-35",IF(MediCare_Data[[#This Row],[Patient_Age]]&lt;=60,"36-60","60+")))</f>
        <v>36-60</v>
      </c>
      <c r="G692" t="s">
        <v>22</v>
      </c>
      <c r="H692" t="s">
        <v>18</v>
      </c>
      <c r="I692" s="2">
        <v>57</v>
      </c>
      <c r="J692" s="11">
        <v>7599</v>
      </c>
      <c r="K692" s="3">
        <v>16.967149689999999</v>
      </c>
      <c r="L692" s="3">
        <f t="shared" si="10"/>
        <v>0.1696714969</v>
      </c>
      <c r="M692">
        <v>19</v>
      </c>
      <c r="N692" s="6">
        <f>MediCare_Data[[#This Row],[Average_Wait_Time (mins)]]/1440</f>
        <v>1.3194444444444444E-2</v>
      </c>
      <c r="O692" s="2">
        <v>4</v>
      </c>
      <c r="P692" s="10">
        <v>19350</v>
      </c>
      <c r="Q692" s="17" t="str">
        <f>IF(AND(MediCare_Data[[#This Row],[Patient_Gender]]="Male", MediCare_Data[[#This Row],[Treatment_Type]]="Maternity"), "Gender-Treatment Mismatch", "Fine")</f>
        <v>Fine</v>
      </c>
      <c r="R692" s="10">
        <f>MediCare_Data[[#This Row],[Revenue_Generated]]-MediCare_Data[[#This Row],[Average_Treatment_Cost]]</f>
        <v>11751</v>
      </c>
      <c r="S692" s="3">
        <f>(MediCare_Data[[#This Row],[Profit]]/MediCare_Data[[#This Row],[Revenue_Generated]])</f>
        <v>0.60728682170542636</v>
      </c>
    </row>
    <row r="693" spans="1:19" x14ac:dyDescent="0.25">
      <c r="A693" t="s">
        <v>740</v>
      </c>
      <c r="B693" t="s">
        <v>28</v>
      </c>
      <c r="C693" t="s">
        <v>31</v>
      </c>
      <c r="D693" t="s">
        <v>21</v>
      </c>
      <c r="E693">
        <v>12</v>
      </c>
      <c r="F693" t="str">
        <f>IF(MediCare_Data[[#This Row],[Patient_Age]]&lt;=18,"0-18",IF(MediCare_Data[[#This Row],[Patient_Age]]&lt;=35,"19-35",IF(MediCare_Data[[#This Row],[Patient_Age]]&lt;=60,"36-60","60+")))</f>
        <v>0-18</v>
      </c>
      <c r="G693" t="s">
        <v>26</v>
      </c>
      <c r="H693" t="s">
        <v>18</v>
      </c>
      <c r="I693" s="2">
        <v>90</v>
      </c>
      <c r="J693" s="11">
        <v>5609</v>
      </c>
      <c r="K693" s="3">
        <v>10.94475615</v>
      </c>
      <c r="L693" s="3">
        <f t="shared" si="10"/>
        <v>0.1094475615</v>
      </c>
      <c r="M693">
        <v>107</v>
      </c>
      <c r="N693" s="6">
        <f>MediCare_Data[[#This Row],[Average_Wait_Time (mins)]]/1440</f>
        <v>7.4305555555555555E-2</v>
      </c>
      <c r="O693" s="2">
        <v>1</v>
      </c>
      <c r="P693" s="10">
        <v>1375</v>
      </c>
      <c r="Q693" s="17" t="str">
        <f>IF(AND(MediCare_Data[[#This Row],[Patient_Gender]]="Male", MediCare_Data[[#This Row],[Treatment_Type]]="Maternity"), "Gender-Treatment Mismatch", "Fine")</f>
        <v>Fine</v>
      </c>
      <c r="R693" s="10">
        <f>MediCare_Data[[#This Row],[Revenue_Generated]]-MediCare_Data[[#This Row],[Average_Treatment_Cost]]</f>
        <v>-4234</v>
      </c>
      <c r="S693" s="3">
        <f>(MediCare_Data[[#This Row],[Profit]]/MediCare_Data[[#This Row],[Revenue_Generated]])</f>
        <v>-3.0792727272727274</v>
      </c>
    </row>
    <row r="694" spans="1:19" x14ac:dyDescent="0.25">
      <c r="A694" t="s">
        <v>741</v>
      </c>
      <c r="B694" t="s">
        <v>64</v>
      </c>
      <c r="C694" t="s">
        <v>36</v>
      </c>
      <c r="D694" t="s">
        <v>16</v>
      </c>
      <c r="E694">
        <v>28</v>
      </c>
      <c r="F694" t="str">
        <f>IF(MediCare_Data[[#This Row],[Patient_Age]]&lt;=18,"0-18",IF(MediCare_Data[[#This Row],[Patient_Age]]&lt;=35,"19-35",IF(MediCare_Data[[#This Row],[Patient_Age]]&lt;=60,"36-60","60+")))</f>
        <v>19-35</v>
      </c>
      <c r="G694" t="s">
        <v>17</v>
      </c>
      <c r="H694" t="s">
        <v>47</v>
      </c>
      <c r="I694" s="2">
        <v>88</v>
      </c>
      <c r="J694" s="11">
        <v>7144</v>
      </c>
      <c r="K694" s="3">
        <v>10.998382230000001</v>
      </c>
      <c r="L694" s="3">
        <f t="shared" si="10"/>
        <v>0.10998382230000001</v>
      </c>
      <c r="M694">
        <v>98</v>
      </c>
      <c r="N694" s="6">
        <f>MediCare_Data[[#This Row],[Average_Wait_Time (mins)]]/1440</f>
        <v>6.805555555555555E-2</v>
      </c>
      <c r="O694" s="2">
        <v>3</v>
      </c>
      <c r="P694" s="10">
        <v>34030</v>
      </c>
      <c r="Q694" s="17" t="str">
        <f>IF(AND(MediCare_Data[[#This Row],[Patient_Gender]]="Male", MediCare_Data[[#This Row],[Treatment_Type]]="Maternity"), "Gender-Treatment Mismatch", "Fine")</f>
        <v>Fine</v>
      </c>
      <c r="R694" s="10">
        <f>MediCare_Data[[#This Row],[Revenue_Generated]]-MediCare_Data[[#This Row],[Average_Treatment_Cost]]</f>
        <v>26886</v>
      </c>
      <c r="S694" s="3">
        <f>(MediCare_Data[[#This Row],[Profit]]/MediCare_Data[[#This Row],[Revenue_Generated]])</f>
        <v>0.79006758742286221</v>
      </c>
    </row>
    <row r="695" spans="1:19" x14ac:dyDescent="0.25">
      <c r="A695" t="s">
        <v>742</v>
      </c>
      <c r="B695" t="s">
        <v>39</v>
      </c>
      <c r="C695" t="s">
        <v>20</v>
      </c>
      <c r="D695" t="s">
        <v>16</v>
      </c>
      <c r="E695">
        <v>17</v>
      </c>
      <c r="F695" t="str">
        <f>IF(MediCare_Data[[#This Row],[Patient_Age]]&lt;=18,"0-18",IF(MediCare_Data[[#This Row],[Patient_Age]]&lt;=35,"19-35",IF(MediCare_Data[[#This Row],[Patient_Age]]&lt;=60,"36-60","60+")))</f>
        <v>0-18</v>
      </c>
      <c r="G695" t="s">
        <v>26</v>
      </c>
      <c r="H695" t="s">
        <v>23</v>
      </c>
      <c r="I695" s="2">
        <v>50</v>
      </c>
      <c r="J695" s="11">
        <v>616</v>
      </c>
      <c r="K695" s="3">
        <v>19.863863970000001</v>
      </c>
      <c r="L695" s="3">
        <f t="shared" si="10"/>
        <v>0.19863863970000001</v>
      </c>
      <c r="M695">
        <v>44</v>
      </c>
      <c r="N695" s="6">
        <f>MediCare_Data[[#This Row],[Average_Wait_Time (mins)]]/1440</f>
        <v>3.0555555555555555E-2</v>
      </c>
      <c r="O695" s="2">
        <v>3</v>
      </c>
      <c r="P695" s="10">
        <v>21746</v>
      </c>
      <c r="Q695" s="17" t="str">
        <f>IF(AND(MediCare_Data[[#This Row],[Patient_Gender]]="Male", MediCare_Data[[#This Row],[Treatment_Type]]="Maternity"), "Gender-Treatment Mismatch", "Fine")</f>
        <v>Fine</v>
      </c>
      <c r="R695" s="10">
        <f>MediCare_Data[[#This Row],[Revenue_Generated]]-MediCare_Data[[#This Row],[Average_Treatment_Cost]]</f>
        <v>21130</v>
      </c>
      <c r="S695" s="3">
        <f>(MediCare_Data[[#This Row],[Profit]]/MediCare_Data[[#This Row],[Revenue_Generated]])</f>
        <v>0.97167295134737419</v>
      </c>
    </row>
    <row r="696" spans="1:19" x14ac:dyDescent="0.25">
      <c r="A696" t="s">
        <v>743</v>
      </c>
      <c r="B696" t="s">
        <v>45</v>
      </c>
      <c r="C696" t="s">
        <v>20</v>
      </c>
      <c r="D696" t="s">
        <v>32</v>
      </c>
      <c r="E696">
        <v>73</v>
      </c>
      <c r="F696" t="str">
        <f>IF(MediCare_Data[[#This Row],[Patient_Age]]&lt;=18,"0-18",IF(MediCare_Data[[#This Row],[Patient_Age]]&lt;=35,"19-35",IF(MediCare_Data[[#This Row],[Patient_Age]]&lt;=60,"36-60","60+")))</f>
        <v>60+</v>
      </c>
      <c r="G696" t="s">
        <v>17</v>
      </c>
      <c r="H696" t="s">
        <v>51</v>
      </c>
      <c r="I696" s="2">
        <v>52</v>
      </c>
      <c r="J696" s="11">
        <v>2933</v>
      </c>
      <c r="K696" s="3">
        <v>5.9628567200000004</v>
      </c>
      <c r="L696" s="3">
        <f t="shared" si="10"/>
        <v>5.9628567200000003E-2</v>
      </c>
      <c r="M696">
        <v>11</v>
      </c>
      <c r="N696" s="6">
        <f>MediCare_Data[[#This Row],[Average_Wait_Time (mins)]]/1440</f>
        <v>7.6388888888888886E-3</v>
      </c>
      <c r="O696" s="2">
        <v>1</v>
      </c>
      <c r="P696" s="10">
        <v>23886</v>
      </c>
      <c r="Q696" s="17" t="str">
        <f>IF(AND(MediCare_Data[[#This Row],[Patient_Gender]]="Male", MediCare_Data[[#This Row],[Treatment_Type]]="Maternity"), "Gender-Treatment Mismatch", "Fine")</f>
        <v>Fine</v>
      </c>
      <c r="R696" s="10">
        <f>MediCare_Data[[#This Row],[Revenue_Generated]]-MediCare_Data[[#This Row],[Average_Treatment_Cost]]</f>
        <v>20953</v>
      </c>
      <c r="S696" s="3">
        <f>(MediCare_Data[[#This Row],[Profit]]/MediCare_Data[[#This Row],[Revenue_Generated]])</f>
        <v>0.87720840659800725</v>
      </c>
    </row>
    <row r="697" spans="1:19" x14ac:dyDescent="0.25">
      <c r="A697" t="s">
        <v>744</v>
      </c>
      <c r="B697" t="s">
        <v>64</v>
      </c>
      <c r="C697" t="s">
        <v>36</v>
      </c>
      <c r="D697" t="s">
        <v>32</v>
      </c>
      <c r="E697">
        <v>38</v>
      </c>
      <c r="F697" t="str">
        <f>IF(MediCare_Data[[#This Row],[Patient_Age]]&lt;=18,"0-18",IF(MediCare_Data[[#This Row],[Patient_Age]]&lt;=35,"19-35",IF(MediCare_Data[[#This Row],[Patient_Age]]&lt;=60,"36-60","60+")))</f>
        <v>36-60</v>
      </c>
      <c r="G697" t="s">
        <v>26</v>
      </c>
      <c r="H697" t="s">
        <v>33</v>
      </c>
      <c r="I697" s="2">
        <v>62</v>
      </c>
      <c r="J697" s="11">
        <v>5963</v>
      </c>
      <c r="K697" s="3">
        <v>23.057899899999999</v>
      </c>
      <c r="L697" s="3">
        <f t="shared" si="10"/>
        <v>0.23057899899999998</v>
      </c>
      <c r="M697">
        <v>133</v>
      </c>
      <c r="N697" s="6">
        <f>MediCare_Data[[#This Row],[Average_Wait_Time (mins)]]/1440</f>
        <v>9.2361111111111116E-2</v>
      </c>
      <c r="O697" s="2">
        <v>3</v>
      </c>
      <c r="P697" s="10">
        <v>45348</v>
      </c>
      <c r="Q697" s="17" t="str">
        <f>IF(AND(MediCare_Data[[#This Row],[Patient_Gender]]="Male", MediCare_Data[[#This Row],[Treatment_Type]]="Maternity"), "Gender-Treatment Mismatch", "Fine")</f>
        <v>Fine</v>
      </c>
      <c r="R697" s="10">
        <f>MediCare_Data[[#This Row],[Revenue_Generated]]-MediCare_Data[[#This Row],[Average_Treatment_Cost]]</f>
        <v>39385</v>
      </c>
      <c r="S697" s="3">
        <f>(MediCare_Data[[#This Row],[Profit]]/MediCare_Data[[#This Row],[Revenue_Generated]])</f>
        <v>0.86850577754255975</v>
      </c>
    </row>
    <row r="698" spans="1:19" x14ac:dyDescent="0.25">
      <c r="A698" t="s">
        <v>745</v>
      </c>
      <c r="B698" t="s">
        <v>25</v>
      </c>
      <c r="C698" t="s">
        <v>42</v>
      </c>
      <c r="D698" t="s">
        <v>21</v>
      </c>
      <c r="E698">
        <v>47</v>
      </c>
      <c r="F698" t="str">
        <f>IF(MediCare_Data[[#This Row],[Patient_Age]]&lt;=18,"0-18",IF(MediCare_Data[[#This Row],[Patient_Age]]&lt;=35,"19-35",IF(MediCare_Data[[#This Row],[Patient_Age]]&lt;=60,"36-60","60+")))</f>
        <v>36-60</v>
      </c>
      <c r="G698" t="s">
        <v>26</v>
      </c>
      <c r="H698" t="s">
        <v>47</v>
      </c>
      <c r="I698" s="2">
        <v>77</v>
      </c>
      <c r="J698" s="11">
        <v>1083</v>
      </c>
      <c r="K698" s="3">
        <v>22.04527749</v>
      </c>
      <c r="L698" s="3">
        <f t="shared" si="10"/>
        <v>0.22045277490000001</v>
      </c>
      <c r="M698">
        <v>33</v>
      </c>
      <c r="N698" s="6">
        <f>MediCare_Data[[#This Row],[Average_Wait_Time (mins)]]/1440</f>
        <v>2.2916666666666665E-2</v>
      </c>
      <c r="O698" s="2">
        <v>1</v>
      </c>
      <c r="P698" s="10">
        <v>43904</v>
      </c>
      <c r="Q698" s="17" t="str">
        <f>IF(AND(MediCare_Data[[#This Row],[Patient_Gender]]="Male", MediCare_Data[[#This Row],[Treatment_Type]]="Maternity"), "Gender-Treatment Mismatch", "Fine")</f>
        <v>Fine</v>
      </c>
      <c r="R698" s="10">
        <f>MediCare_Data[[#This Row],[Revenue_Generated]]-MediCare_Data[[#This Row],[Average_Treatment_Cost]]</f>
        <v>42821</v>
      </c>
      <c r="S698" s="3">
        <f>(MediCare_Data[[#This Row],[Profit]]/MediCare_Data[[#This Row],[Revenue_Generated]])</f>
        <v>0.97533254373177847</v>
      </c>
    </row>
    <row r="699" spans="1:19" x14ac:dyDescent="0.25">
      <c r="A699" t="s">
        <v>746</v>
      </c>
      <c r="B699" t="s">
        <v>53</v>
      </c>
      <c r="C699" t="s">
        <v>46</v>
      </c>
      <c r="D699" t="s">
        <v>16</v>
      </c>
      <c r="E699">
        <v>50</v>
      </c>
      <c r="F699" t="str">
        <f>IF(MediCare_Data[[#This Row],[Patient_Age]]&lt;=18,"0-18",IF(MediCare_Data[[#This Row],[Patient_Age]]&lt;=35,"19-35",IF(MediCare_Data[[#This Row],[Patient_Age]]&lt;=60,"36-60","60+")))</f>
        <v>36-60</v>
      </c>
      <c r="G699" t="s">
        <v>43</v>
      </c>
      <c r="H699" t="s">
        <v>33</v>
      </c>
      <c r="I699" s="2">
        <v>98</v>
      </c>
      <c r="J699" s="11">
        <v>9086</v>
      </c>
      <c r="K699" s="3">
        <v>18.356093659999999</v>
      </c>
      <c r="L699" s="3">
        <f t="shared" si="10"/>
        <v>0.1835609366</v>
      </c>
      <c r="M699">
        <v>83</v>
      </c>
      <c r="N699" s="6">
        <f>MediCare_Data[[#This Row],[Average_Wait_Time (mins)]]/1440</f>
        <v>5.7638888888888892E-2</v>
      </c>
      <c r="O699" s="2">
        <v>2</v>
      </c>
      <c r="P699" s="10">
        <v>33651</v>
      </c>
      <c r="Q699" s="17" t="str">
        <f>IF(AND(MediCare_Data[[#This Row],[Patient_Gender]]="Male", MediCare_Data[[#This Row],[Treatment_Type]]="Maternity"), "Gender-Treatment Mismatch", "Fine")</f>
        <v>Fine</v>
      </c>
      <c r="R699" s="10">
        <f>MediCare_Data[[#This Row],[Revenue_Generated]]-MediCare_Data[[#This Row],[Average_Treatment_Cost]]</f>
        <v>24565</v>
      </c>
      <c r="S699" s="3">
        <f>(MediCare_Data[[#This Row],[Profit]]/MediCare_Data[[#This Row],[Revenue_Generated]])</f>
        <v>0.72999316513625156</v>
      </c>
    </row>
    <row r="700" spans="1:19" x14ac:dyDescent="0.25">
      <c r="A700" t="s">
        <v>747</v>
      </c>
      <c r="B700" t="s">
        <v>45</v>
      </c>
      <c r="C700" t="s">
        <v>20</v>
      </c>
      <c r="D700" t="s">
        <v>16</v>
      </c>
      <c r="E700">
        <v>44</v>
      </c>
      <c r="F700" t="str">
        <f>IF(MediCare_Data[[#This Row],[Patient_Age]]&lt;=18,"0-18",IF(MediCare_Data[[#This Row],[Patient_Age]]&lt;=35,"19-35",IF(MediCare_Data[[#This Row],[Patient_Age]]&lt;=60,"36-60","60+")))</f>
        <v>36-60</v>
      </c>
      <c r="G700" t="s">
        <v>17</v>
      </c>
      <c r="H700" t="s">
        <v>23</v>
      </c>
      <c r="I700" s="2">
        <v>74</v>
      </c>
      <c r="J700" s="11">
        <v>4288</v>
      </c>
      <c r="K700" s="3">
        <v>16.864431400000001</v>
      </c>
      <c r="L700" s="3">
        <f t="shared" si="10"/>
        <v>0.16864431400000002</v>
      </c>
      <c r="M700">
        <v>175</v>
      </c>
      <c r="N700" s="6">
        <f>MediCare_Data[[#This Row],[Average_Wait_Time (mins)]]/1440</f>
        <v>0.12152777777777778</v>
      </c>
      <c r="O700" s="2">
        <v>4</v>
      </c>
      <c r="P700" s="10">
        <v>8833</v>
      </c>
      <c r="Q700" s="17" t="str">
        <f>IF(AND(MediCare_Data[[#This Row],[Patient_Gender]]="Male", MediCare_Data[[#This Row],[Treatment_Type]]="Maternity"), "Gender-Treatment Mismatch", "Fine")</f>
        <v>Fine</v>
      </c>
      <c r="R700" s="10">
        <f>MediCare_Data[[#This Row],[Revenue_Generated]]-MediCare_Data[[#This Row],[Average_Treatment_Cost]]</f>
        <v>4545</v>
      </c>
      <c r="S700" s="3">
        <f>(MediCare_Data[[#This Row],[Profit]]/MediCare_Data[[#This Row],[Revenue_Generated]])</f>
        <v>0.5145477187818408</v>
      </c>
    </row>
    <row r="701" spans="1:19" x14ac:dyDescent="0.25">
      <c r="A701" t="s">
        <v>748</v>
      </c>
      <c r="B701" t="s">
        <v>41</v>
      </c>
      <c r="C701" t="s">
        <v>36</v>
      </c>
      <c r="D701" t="s">
        <v>32</v>
      </c>
      <c r="E701">
        <v>34</v>
      </c>
      <c r="F701" t="str">
        <f>IF(MediCare_Data[[#This Row],[Patient_Age]]&lt;=18,"0-18",IF(MediCare_Data[[#This Row],[Patient_Age]]&lt;=35,"19-35",IF(MediCare_Data[[#This Row],[Patient_Age]]&lt;=60,"36-60","60+")))</f>
        <v>19-35</v>
      </c>
      <c r="G701" t="s">
        <v>43</v>
      </c>
      <c r="H701" t="s">
        <v>33</v>
      </c>
      <c r="I701" s="2">
        <v>82</v>
      </c>
      <c r="J701" s="11">
        <v>4667</v>
      </c>
      <c r="K701" s="3">
        <v>22.846049959999998</v>
      </c>
      <c r="L701" s="3">
        <f t="shared" si="10"/>
        <v>0.22846049959999998</v>
      </c>
      <c r="M701">
        <v>31</v>
      </c>
      <c r="N701" s="6">
        <f>MediCare_Data[[#This Row],[Average_Wait_Time (mins)]]/1440</f>
        <v>2.1527777777777778E-2</v>
      </c>
      <c r="O701" s="2">
        <v>1</v>
      </c>
      <c r="P701" s="10">
        <v>2893</v>
      </c>
      <c r="Q701" s="17" t="str">
        <f>IF(AND(MediCare_Data[[#This Row],[Patient_Gender]]="Male", MediCare_Data[[#This Row],[Treatment_Type]]="Maternity"), "Gender-Treatment Mismatch", "Fine")</f>
        <v>Fine</v>
      </c>
      <c r="R701" s="10">
        <f>MediCare_Data[[#This Row],[Revenue_Generated]]-MediCare_Data[[#This Row],[Average_Treatment_Cost]]</f>
        <v>-1774</v>
      </c>
      <c r="S701" s="3">
        <f>(MediCare_Data[[#This Row],[Profit]]/MediCare_Data[[#This Row],[Revenue_Generated]])</f>
        <v>-0.61320428620808853</v>
      </c>
    </row>
    <row r="702" spans="1:19" x14ac:dyDescent="0.25">
      <c r="A702" t="s">
        <v>749</v>
      </c>
      <c r="B702" t="s">
        <v>58</v>
      </c>
      <c r="C702" t="s">
        <v>46</v>
      </c>
      <c r="D702" t="s">
        <v>32</v>
      </c>
      <c r="E702">
        <v>60</v>
      </c>
      <c r="F702" t="str">
        <f>IF(MediCare_Data[[#This Row],[Patient_Age]]&lt;=18,"0-18",IF(MediCare_Data[[#This Row],[Patient_Age]]&lt;=35,"19-35",IF(MediCare_Data[[#This Row],[Patient_Age]]&lt;=60,"36-60","60+")))</f>
        <v>36-60</v>
      </c>
      <c r="G702" t="s">
        <v>26</v>
      </c>
      <c r="H702" t="s">
        <v>47</v>
      </c>
      <c r="I702" s="2">
        <v>87</v>
      </c>
      <c r="J702" s="11">
        <v>8965</v>
      </c>
      <c r="K702" s="3">
        <v>8.7066035910000004</v>
      </c>
      <c r="L702" s="3">
        <f t="shared" si="10"/>
        <v>8.7066035910000006E-2</v>
      </c>
      <c r="M702">
        <v>163</v>
      </c>
      <c r="N702" s="6">
        <f>MediCare_Data[[#This Row],[Average_Wait_Time (mins)]]/1440</f>
        <v>0.11319444444444444</v>
      </c>
      <c r="O702" s="2">
        <v>3</v>
      </c>
      <c r="P702" s="10">
        <v>31573</v>
      </c>
      <c r="Q702" s="17" t="str">
        <f>IF(AND(MediCare_Data[[#This Row],[Patient_Gender]]="Male", MediCare_Data[[#This Row],[Treatment_Type]]="Maternity"), "Gender-Treatment Mismatch", "Fine")</f>
        <v>Fine</v>
      </c>
      <c r="R702" s="10">
        <f>MediCare_Data[[#This Row],[Revenue_Generated]]-MediCare_Data[[#This Row],[Average_Treatment_Cost]]</f>
        <v>22608</v>
      </c>
      <c r="S702" s="3">
        <f>(MediCare_Data[[#This Row],[Profit]]/MediCare_Data[[#This Row],[Revenue_Generated]])</f>
        <v>0.71605485699806792</v>
      </c>
    </row>
    <row r="703" spans="1:19" x14ac:dyDescent="0.25">
      <c r="A703" t="s">
        <v>750</v>
      </c>
      <c r="B703" t="s">
        <v>25</v>
      </c>
      <c r="C703" t="s">
        <v>15</v>
      </c>
      <c r="D703" t="s">
        <v>32</v>
      </c>
      <c r="E703">
        <v>14</v>
      </c>
      <c r="F703" t="str">
        <f>IF(MediCare_Data[[#This Row],[Patient_Age]]&lt;=18,"0-18",IF(MediCare_Data[[#This Row],[Patient_Age]]&lt;=35,"19-35",IF(MediCare_Data[[#This Row],[Patient_Age]]&lt;=60,"36-60","60+")))</f>
        <v>0-18</v>
      </c>
      <c r="G703" t="s">
        <v>17</v>
      </c>
      <c r="H703" t="s">
        <v>33</v>
      </c>
      <c r="I703" s="2">
        <v>55</v>
      </c>
      <c r="J703" s="11">
        <v>1889</v>
      </c>
      <c r="K703" s="3">
        <v>6.5793832439999997</v>
      </c>
      <c r="L703" s="3">
        <f t="shared" si="10"/>
        <v>6.5793832439999991E-2</v>
      </c>
      <c r="M703">
        <v>48</v>
      </c>
      <c r="N703" s="6">
        <f>MediCare_Data[[#This Row],[Average_Wait_Time (mins)]]/1440</f>
        <v>3.3333333333333333E-2</v>
      </c>
      <c r="O703" s="2">
        <v>1</v>
      </c>
      <c r="P703" s="10">
        <v>32371</v>
      </c>
      <c r="Q703" s="17" t="str">
        <f>IF(AND(MediCare_Data[[#This Row],[Patient_Gender]]="Male", MediCare_Data[[#This Row],[Treatment_Type]]="Maternity"), "Gender-Treatment Mismatch", "Fine")</f>
        <v>Fine</v>
      </c>
      <c r="R703" s="10">
        <f>MediCare_Data[[#This Row],[Revenue_Generated]]-MediCare_Data[[#This Row],[Average_Treatment_Cost]]</f>
        <v>30482</v>
      </c>
      <c r="S703" s="3">
        <f>(MediCare_Data[[#This Row],[Profit]]/MediCare_Data[[#This Row],[Revenue_Generated]])</f>
        <v>0.94164529980538136</v>
      </c>
    </row>
    <row r="704" spans="1:19" x14ac:dyDescent="0.25">
      <c r="A704" t="s">
        <v>751</v>
      </c>
      <c r="B704" t="s">
        <v>56</v>
      </c>
      <c r="C704" t="s">
        <v>29</v>
      </c>
      <c r="D704" t="s">
        <v>32</v>
      </c>
      <c r="E704">
        <v>43</v>
      </c>
      <c r="F704" t="str">
        <f>IF(MediCare_Data[[#This Row],[Patient_Age]]&lt;=18,"0-18",IF(MediCare_Data[[#This Row],[Patient_Age]]&lt;=35,"19-35",IF(MediCare_Data[[#This Row],[Patient_Age]]&lt;=60,"36-60","60+")))</f>
        <v>36-60</v>
      </c>
      <c r="G704" t="s">
        <v>17</v>
      </c>
      <c r="H704" t="s">
        <v>47</v>
      </c>
      <c r="I704" s="2">
        <v>93</v>
      </c>
      <c r="J704" s="11">
        <v>8857</v>
      </c>
      <c r="K704" s="3">
        <v>9.7902033979999992</v>
      </c>
      <c r="L704" s="3">
        <f t="shared" si="10"/>
        <v>9.7902033979999997E-2</v>
      </c>
      <c r="M704">
        <v>166</v>
      </c>
      <c r="N704" s="6">
        <f>MediCare_Data[[#This Row],[Average_Wait_Time (mins)]]/1440</f>
        <v>0.11527777777777778</v>
      </c>
      <c r="O704" s="2">
        <v>3</v>
      </c>
      <c r="P704" s="10">
        <v>41874</v>
      </c>
      <c r="Q704" s="17" t="str">
        <f>IF(AND(MediCare_Data[[#This Row],[Patient_Gender]]="Male", MediCare_Data[[#This Row],[Treatment_Type]]="Maternity"), "Gender-Treatment Mismatch", "Fine")</f>
        <v>Fine</v>
      </c>
      <c r="R704" s="10">
        <f>MediCare_Data[[#This Row],[Revenue_Generated]]-MediCare_Data[[#This Row],[Average_Treatment_Cost]]</f>
        <v>33017</v>
      </c>
      <c r="S704" s="3">
        <f>(MediCare_Data[[#This Row],[Profit]]/MediCare_Data[[#This Row],[Revenue_Generated]])</f>
        <v>0.78848450112241486</v>
      </c>
    </row>
    <row r="705" spans="1:19" x14ac:dyDescent="0.25">
      <c r="A705" t="s">
        <v>752</v>
      </c>
      <c r="B705" t="s">
        <v>45</v>
      </c>
      <c r="C705" t="s">
        <v>15</v>
      </c>
      <c r="D705" t="s">
        <v>16</v>
      </c>
      <c r="E705">
        <v>60</v>
      </c>
      <c r="F705" t="str">
        <f>IF(MediCare_Data[[#This Row],[Patient_Age]]&lt;=18,"0-18",IF(MediCare_Data[[#This Row],[Patient_Age]]&lt;=35,"19-35",IF(MediCare_Data[[#This Row],[Patient_Age]]&lt;=60,"36-60","60+")))</f>
        <v>36-60</v>
      </c>
      <c r="G705" t="s">
        <v>22</v>
      </c>
      <c r="H705" t="s">
        <v>33</v>
      </c>
      <c r="I705" s="2">
        <v>94</v>
      </c>
      <c r="J705" s="11">
        <v>6654</v>
      </c>
      <c r="K705" s="3">
        <v>20.891565570000001</v>
      </c>
      <c r="L705" s="3">
        <f t="shared" si="10"/>
        <v>0.20891565570000001</v>
      </c>
      <c r="M705">
        <v>29</v>
      </c>
      <c r="N705" s="6">
        <f>MediCare_Data[[#This Row],[Average_Wait_Time (mins)]]/1440</f>
        <v>2.013888888888889E-2</v>
      </c>
      <c r="O705" s="2">
        <v>2</v>
      </c>
      <c r="P705" s="10">
        <v>12826</v>
      </c>
      <c r="Q705" s="17" t="str">
        <f>IF(AND(MediCare_Data[[#This Row],[Patient_Gender]]="Male", MediCare_Data[[#This Row],[Treatment_Type]]="Maternity"), "Gender-Treatment Mismatch", "Fine")</f>
        <v>Fine</v>
      </c>
      <c r="R705" s="10">
        <f>MediCare_Data[[#This Row],[Revenue_Generated]]-MediCare_Data[[#This Row],[Average_Treatment_Cost]]</f>
        <v>6172</v>
      </c>
      <c r="S705" s="3">
        <f>(MediCare_Data[[#This Row],[Profit]]/MediCare_Data[[#This Row],[Revenue_Generated]])</f>
        <v>0.48121004210198037</v>
      </c>
    </row>
    <row r="706" spans="1:19" x14ac:dyDescent="0.25">
      <c r="A706" t="s">
        <v>753</v>
      </c>
      <c r="B706" t="s">
        <v>49</v>
      </c>
      <c r="C706" t="s">
        <v>29</v>
      </c>
      <c r="D706" t="s">
        <v>32</v>
      </c>
      <c r="E706">
        <v>89</v>
      </c>
      <c r="F706" t="str">
        <f>IF(MediCare_Data[[#This Row],[Patient_Age]]&lt;=18,"0-18",IF(MediCare_Data[[#This Row],[Patient_Age]]&lt;=35,"19-35",IF(MediCare_Data[[#This Row],[Patient_Age]]&lt;=60,"36-60","60+")))</f>
        <v>60+</v>
      </c>
      <c r="G706" t="s">
        <v>26</v>
      </c>
      <c r="H706" t="s">
        <v>37</v>
      </c>
      <c r="I706" s="2">
        <v>81</v>
      </c>
      <c r="J706" s="11">
        <v>5920</v>
      </c>
      <c r="K706" s="3">
        <v>5.6934053349999996</v>
      </c>
      <c r="L706" s="3">
        <f t="shared" ref="L706:L769" si="11">K706/100</f>
        <v>5.6934053349999993E-2</v>
      </c>
      <c r="M706">
        <v>50</v>
      </c>
      <c r="N706" s="6">
        <f>MediCare_Data[[#This Row],[Average_Wait_Time (mins)]]/1440</f>
        <v>3.4722222222222224E-2</v>
      </c>
      <c r="O706" s="2">
        <v>1</v>
      </c>
      <c r="P706" s="10">
        <v>35420</v>
      </c>
      <c r="Q706" s="17" t="str">
        <f>IF(AND(MediCare_Data[[#This Row],[Patient_Gender]]="Male", MediCare_Data[[#This Row],[Treatment_Type]]="Maternity"), "Gender-Treatment Mismatch", "Fine")</f>
        <v>Fine</v>
      </c>
      <c r="R706" s="10">
        <f>MediCare_Data[[#This Row],[Revenue_Generated]]-MediCare_Data[[#This Row],[Average_Treatment_Cost]]</f>
        <v>29500</v>
      </c>
      <c r="S706" s="3">
        <f>(MediCare_Data[[#This Row],[Profit]]/MediCare_Data[[#This Row],[Revenue_Generated]])</f>
        <v>0.83286278938452851</v>
      </c>
    </row>
    <row r="707" spans="1:19" x14ac:dyDescent="0.25">
      <c r="A707" t="s">
        <v>754</v>
      </c>
      <c r="B707" t="s">
        <v>25</v>
      </c>
      <c r="C707" t="s">
        <v>20</v>
      </c>
      <c r="D707" t="s">
        <v>16</v>
      </c>
      <c r="E707">
        <v>44</v>
      </c>
      <c r="F707" t="str">
        <f>IF(MediCare_Data[[#This Row],[Patient_Age]]&lt;=18,"0-18",IF(MediCare_Data[[#This Row],[Patient_Age]]&lt;=35,"19-35",IF(MediCare_Data[[#This Row],[Patient_Age]]&lt;=60,"36-60","60+")))</f>
        <v>36-60</v>
      </c>
      <c r="G707" t="s">
        <v>22</v>
      </c>
      <c r="H707" t="s">
        <v>51</v>
      </c>
      <c r="I707" s="2">
        <v>94</v>
      </c>
      <c r="J707" s="11">
        <v>9420</v>
      </c>
      <c r="K707" s="3">
        <v>16.656136700000001</v>
      </c>
      <c r="L707" s="3">
        <f t="shared" si="11"/>
        <v>0.16656136700000002</v>
      </c>
      <c r="M707">
        <v>157</v>
      </c>
      <c r="N707" s="6">
        <f>MediCare_Data[[#This Row],[Average_Wait_Time (mins)]]/1440</f>
        <v>0.10902777777777778</v>
      </c>
      <c r="O707" s="2">
        <v>2</v>
      </c>
      <c r="P707" s="10">
        <v>22924</v>
      </c>
      <c r="Q707" s="17" t="str">
        <f>IF(AND(MediCare_Data[[#This Row],[Patient_Gender]]="Male", MediCare_Data[[#This Row],[Treatment_Type]]="Maternity"), "Gender-Treatment Mismatch", "Fine")</f>
        <v>Fine</v>
      </c>
      <c r="R707" s="10">
        <f>MediCare_Data[[#This Row],[Revenue_Generated]]-MediCare_Data[[#This Row],[Average_Treatment_Cost]]</f>
        <v>13504</v>
      </c>
      <c r="S707" s="3">
        <f>(MediCare_Data[[#This Row],[Profit]]/MediCare_Data[[#This Row],[Revenue_Generated]])</f>
        <v>0.58907694992147963</v>
      </c>
    </row>
    <row r="708" spans="1:19" x14ac:dyDescent="0.25">
      <c r="A708" t="s">
        <v>755</v>
      </c>
      <c r="B708" t="s">
        <v>41</v>
      </c>
      <c r="C708" t="s">
        <v>31</v>
      </c>
      <c r="D708" t="s">
        <v>32</v>
      </c>
      <c r="E708">
        <v>54</v>
      </c>
      <c r="F708" t="str">
        <f>IF(MediCare_Data[[#This Row],[Patient_Age]]&lt;=18,"0-18",IF(MediCare_Data[[#This Row],[Patient_Age]]&lt;=35,"19-35",IF(MediCare_Data[[#This Row],[Patient_Age]]&lt;=60,"36-60","60+")))</f>
        <v>36-60</v>
      </c>
      <c r="G708" t="s">
        <v>22</v>
      </c>
      <c r="H708" t="s">
        <v>18</v>
      </c>
      <c r="I708" s="2">
        <v>96</v>
      </c>
      <c r="J708" s="11">
        <v>2543</v>
      </c>
      <c r="K708" s="3">
        <v>24.908750319999999</v>
      </c>
      <c r="L708" s="3">
        <f t="shared" si="11"/>
        <v>0.2490875032</v>
      </c>
      <c r="M708">
        <v>117</v>
      </c>
      <c r="N708" s="6">
        <f>MediCare_Data[[#This Row],[Average_Wait_Time (mins)]]/1440</f>
        <v>8.1250000000000003E-2</v>
      </c>
      <c r="O708" s="2">
        <v>4</v>
      </c>
      <c r="P708" s="10">
        <v>34367</v>
      </c>
      <c r="Q708" s="17" t="str">
        <f>IF(AND(MediCare_Data[[#This Row],[Patient_Gender]]="Male", MediCare_Data[[#This Row],[Treatment_Type]]="Maternity"), "Gender-Treatment Mismatch", "Fine")</f>
        <v>Fine</v>
      </c>
      <c r="R708" s="10">
        <f>MediCare_Data[[#This Row],[Revenue_Generated]]-MediCare_Data[[#This Row],[Average_Treatment_Cost]]</f>
        <v>31824</v>
      </c>
      <c r="S708" s="3">
        <f>(MediCare_Data[[#This Row],[Profit]]/MediCare_Data[[#This Row],[Revenue_Generated]])</f>
        <v>0.92600459743358454</v>
      </c>
    </row>
    <row r="709" spans="1:19" x14ac:dyDescent="0.25">
      <c r="A709" t="s">
        <v>756</v>
      </c>
      <c r="B709" t="s">
        <v>41</v>
      </c>
      <c r="C709" t="s">
        <v>36</v>
      </c>
      <c r="D709" t="s">
        <v>16</v>
      </c>
      <c r="E709">
        <v>21</v>
      </c>
      <c r="F709" t="str">
        <f>IF(MediCare_Data[[#This Row],[Patient_Age]]&lt;=18,"0-18",IF(MediCare_Data[[#This Row],[Patient_Age]]&lt;=35,"19-35",IF(MediCare_Data[[#This Row],[Patient_Age]]&lt;=60,"36-60","60+")))</f>
        <v>19-35</v>
      </c>
      <c r="G709" t="s">
        <v>17</v>
      </c>
      <c r="H709" t="s">
        <v>18</v>
      </c>
      <c r="I709" s="2">
        <v>70</v>
      </c>
      <c r="J709" s="11">
        <v>4697</v>
      </c>
      <c r="K709" s="3">
        <v>22.113921879999999</v>
      </c>
      <c r="L709" s="3">
        <f t="shared" si="11"/>
        <v>0.22113921879999998</v>
      </c>
      <c r="M709">
        <v>156</v>
      </c>
      <c r="N709" s="6">
        <f>MediCare_Data[[#This Row],[Average_Wait_Time (mins)]]/1440</f>
        <v>0.10833333333333334</v>
      </c>
      <c r="O709" s="2">
        <v>3</v>
      </c>
      <c r="P709" s="10">
        <v>22199</v>
      </c>
      <c r="Q709" s="17" t="str">
        <f>IF(AND(MediCare_Data[[#This Row],[Patient_Gender]]="Male", MediCare_Data[[#This Row],[Treatment_Type]]="Maternity"), "Gender-Treatment Mismatch", "Fine")</f>
        <v>Fine</v>
      </c>
      <c r="R709" s="10">
        <f>MediCare_Data[[#This Row],[Revenue_Generated]]-MediCare_Data[[#This Row],[Average_Treatment_Cost]]</f>
        <v>17502</v>
      </c>
      <c r="S709" s="3">
        <f>(MediCare_Data[[#This Row],[Profit]]/MediCare_Data[[#This Row],[Revenue_Generated]])</f>
        <v>0.78841389251768101</v>
      </c>
    </row>
    <row r="710" spans="1:19" x14ac:dyDescent="0.25">
      <c r="A710" t="s">
        <v>757</v>
      </c>
      <c r="B710" t="s">
        <v>41</v>
      </c>
      <c r="C710" t="s">
        <v>31</v>
      </c>
      <c r="D710" t="s">
        <v>21</v>
      </c>
      <c r="E710">
        <v>17</v>
      </c>
      <c r="F710" t="str">
        <f>IF(MediCare_Data[[#This Row],[Patient_Age]]&lt;=18,"0-18",IF(MediCare_Data[[#This Row],[Patient_Age]]&lt;=35,"19-35",IF(MediCare_Data[[#This Row],[Patient_Age]]&lt;=60,"36-60","60+")))</f>
        <v>0-18</v>
      </c>
      <c r="G710" t="s">
        <v>22</v>
      </c>
      <c r="H710" t="s">
        <v>37</v>
      </c>
      <c r="I710" s="2">
        <v>65</v>
      </c>
      <c r="J710" s="11">
        <v>3996</v>
      </c>
      <c r="K710" s="3">
        <v>15.42891378</v>
      </c>
      <c r="L710" s="3">
        <f t="shared" si="11"/>
        <v>0.1542891378</v>
      </c>
      <c r="M710">
        <v>93</v>
      </c>
      <c r="N710" s="6">
        <f>MediCare_Data[[#This Row],[Average_Wait_Time (mins)]]/1440</f>
        <v>6.458333333333334E-2</v>
      </c>
      <c r="O710" s="2">
        <v>3</v>
      </c>
      <c r="P710" s="10">
        <v>26868</v>
      </c>
      <c r="Q710" s="17" t="str">
        <f>IF(AND(MediCare_Data[[#This Row],[Patient_Gender]]="Male", MediCare_Data[[#This Row],[Treatment_Type]]="Maternity"), "Gender-Treatment Mismatch", "Fine")</f>
        <v>Fine</v>
      </c>
      <c r="R710" s="10">
        <f>MediCare_Data[[#This Row],[Revenue_Generated]]-MediCare_Data[[#This Row],[Average_Treatment_Cost]]</f>
        <v>22872</v>
      </c>
      <c r="S710" s="3">
        <f>(MediCare_Data[[#This Row],[Profit]]/MediCare_Data[[#This Row],[Revenue_Generated]])</f>
        <v>0.85127288968289416</v>
      </c>
    </row>
    <row r="711" spans="1:19" x14ac:dyDescent="0.25">
      <c r="A711" t="s">
        <v>758</v>
      </c>
      <c r="B711" t="s">
        <v>45</v>
      </c>
      <c r="C711" t="s">
        <v>36</v>
      </c>
      <c r="D711" t="s">
        <v>16</v>
      </c>
      <c r="E711">
        <v>45</v>
      </c>
      <c r="F711" t="str">
        <f>IF(MediCare_Data[[#This Row],[Patient_Age]]&lt;=18,"0-18",IF(MediCare_Data[[#This Row],[Patient_Age]]&lt;=35,"19-35",IF(MediCare_Data[[#This Row],[Patient_Age]]&lt;=60,"36-60","60+")))</f>
        <v>36-60</v>
      </c>
      <c r="G711" t="s">
        <v>26</v>
      </c>
      <c r="H711" t="s">
        <v>18</v>
      </c>
      <c r="I711" s="2">
        <v>70</v>
      </c>
      <c r="J711" s="11">
        <v>1278</v>
      </c>
      <c r="K711" s="3">
        <v>6.2728181860000003</v>
      </c>
      <c r="L711" s="3">
        <f t="shared" si="11"/>
        <v>6.272818186000001E-2</v>
      </c>
      <c r="M711">
        <v>120</v>
      </c>
      <c r="N711" s="6">
        <f>MediCare_Data[[#This Row],[Average_Wait_Time (mins)]]/1440</f>
        <v>8.3333333333333329E-2</v>
      </c>
      <c r="O711" s="2">
        <v>2</v>
      </c>
      <c r="P711" s="10">
        <v>9792</v>
      </c>
      <c r="Q711" s="17" t="str">
        <f>IF(AND(MediCare_Data[[#This Row],[Patient_Gender]]="Male", MediCare_Data[[#This Row],[Treatment_Type]]="Maternity"), "Gender-Treatment Mismatch", "Fine")</f>
        <v>Fine</v>
      </c>
      <c r="R711" s="10">
        <f>MediCare_Data[[#This Row],[Revenue_Generated]]-MediCare_Data[[#This Row],[Average_Treatment_Cost]]</f>
        <v>8514</v>
      </c>
      <c r="S711" s="3">
        <f>(MediCare_Data[[#This Row],[Profit]]/MediCare_Data[[#This Row],[Revenue_Generated]])</f>
        <v>0.86948529411764708</v>
      </c>
    </row>
    <row r="712" spans="1:19" x14ac:dyDescent="0.25">
      <c r="A712" t="s">
        <v>759</v>
      </c>
      <c r="B712" t="s">
        <v>64</v>
      </c>
      <c r="C712" t="s">
        <v>54</v>
      </c>
      <c r="D712" t="s">
        <v>32</v>
      </c>
      <c r="E712">
        <v>39</v>
      </c>
      <c r="F712" t="str">
        <f>IF(MediCare_Data[[#This Row],[Patient_Age]]&lt;=18,"0-18",IF(MediCare_Data[[#This Row],[Patient_Age]]&lt;=35,"19-35",IF(MediCare_Data[[#This Row],[Patient_Age]]&lt;=60,"36-60","60+")))</f>
        <v>36-60</v>
      </c>
      <c r="G712" t="s">
        <v>43</v>
      </c>
      <c r="H712" t="s">
        <v>18</v>
      </c>
      <c r="I712" s="2">
        <v>60</v>
      </c>
      <c r="J712" s="11">
        <v>713</v>
      </c>
      <c r="K712" s="3">
        <v>21.627470290000002</v>
      </c>
      <c r="L712" s="3">
        <f t="shared" si="11"/>
        <v>0.2162747029</v>
      </c>
      <c r="M712">
        <v>75</v>
      </c>
      <c r="N712" s="6">
        <f>MediCare_Data[[#This Row],[Average_Wait_Time (mins)]]/1440</f>
        <v>5.2083333333333336E-2</v>
      </c>
      <c r="O712" s="2">
        <v>4</v>
      </c>
      <c r="P712" s="10">
        <v>21597</v>
      </c>
      <c r="Q712" s="17" t="str">
        <f>IF(AND(MediCare_Data[[#This Row],[Patient_Gender]]="Male", MediCare_Data[[#This Row],[Treatment_Type]]="Maternity"), "Gender-Treatment Mismatch", "Fine")</f>
        <v>Fine</v>
      </c>
      <c r="R712" s="10">
        <f>MediCare_Data[[#This Row],[Revenue_Generated]]-MediCare_Data[[#This Row],[Average_Treatment_Cost]]</f>
        <v>20884</v>
      </c>
      <c r="S712" s="3">
        <f>(MediCare_Data[[#This Row],[Profit]]/MediCare_Data[[#This Row],[Revenue_Generated]])</f>
        <v>0.96698615548455802</v>
      </c>
    </row>
    <row r="713" spans="1:19" x14ac:dyDescent="0.25">
      <c r="A713" t="s">
        <v>760</v>
      </c>
      <c r="B713" t="s">
        <v>53</v>
      </c>
      <c r="C713" t="s">
        <v>20</v>
      </c>
      <c r="D713" t="s">
        <v>16</v>
      </c>
      <c r="E713">
        <v>32</v>
      </c>
      <c r="F713" t="str">
        <f>IF(MediCare_Data[[#This Row],[Patient_Age]]&lt;=18,"0-18",IF(MediCare_Data[[#This Row],[Patient_Age]]&lt;=35,"19-35",IF(MediCare_Data[[#This Row],[Patient_Age]]&lt;=60,"36-60","60+")))</f>
        <v>19-35</v>
      </c>
      <c r="G713" t="s">
        <v>22</v>
      </c>
      <c r="H713" t="s">
        <v>51</v>
      </c>
      <c r="I713" s="2">
        <v>86</v>
      </c>
      <c r="J713" s="11">
        <v>4262</v>
      </c>
      <c r="K713" s="3">
        <v>16.979570160000002</v>
      </c>
      <c r="L713" s="3">
        <f t="shared" si="11"/>
        <v>0.16979570160000002</v>
      </c>
      <c r="M713">
        <v>167</v>
      </c>
      <c r="N713" s="6">
        <f>MediCare_Data[[#This Row],[Average_Wait_Time (mins)]]/1440</f>
        <v>0.11597222222222223</v>
      </c>
      <c r="O713" s="2">
        <v>1</v>
      </c>
      <c r="P713" s="10">
        <v>37405</v>
      </c>
      <c r="Q713" s="17" t="str">
        <f>IF(AND(MediCare_Data[[#This Row],[Patient_Gender]]="Male", MediCare_Data[[#This Row],[Treatment_Type]]="Maternity"), "Gender-Treatment Mismatch", "Fine")</f>
        <v>Fine</v>
      </c>
      <c r="R713" s="10">
        <f>MediCare_Data[[#This Row],[Revenue_Generated]]-MediCare_Data[[#This Row],[Average_Treatment_Cost]]</f>
        <v>33143</v>
      </c>
      <c r="S713" s="3">
        <f>(MediCare_Data[[#This Row],[Profit]]/MediCare_Data[[#This Row],[Revenue_Generated]])</f>
        <v>0.88605801363454084</v>
      </c>
    </row>
    <row r="714" spans="1:19" x14ac:dyDescent="0.25">
      <c r="A714" t="s">
        <v>761</v>
      </c>
      <c r="B714" t="s">
        <v>58</v>
      </c>
      <c r="C714" t="s">
        <v>36</v>
      </c>
      <c r="D714" t="s">
        <v>16</v>
      </c>
      <c r="E714">
        <v>45</v>
      </c>
      <c r="F714" t="str">
        <f>IF(MediCare_Data[[#This Row],[Patient_Age]]&lt;=18,"0-18",IF(MediCare_Data[[#This Row],[Patient_Age]]&lt;=35,"19-35",IF(MediCare_Data[[#This Row],[Patient_Age]]&lt;=60,"36-60","60+")))</f>
        <v>36-60</v>
      </c>
      <c r="G714" t="s">
        <v>22</v>
      </c>
      <c r="H714" t="s">
        <v>23</v>
      </c>
      <c r="I714" s="2">
        <v>85</v>
      </c>
      <c r="J714" s="11">
        <v>7231</v>
      </c>
      <c r="K714" s="3">
        <v>7.2986599410000004</v>
      </c>
      <c r="L714" s="3">
        <f t="shared" si="11"/>
        <v>7.2986599410000005E-2</v>
      </c>
      <c r="M714">
        <v>62</v>
      </c>
      <c r="N714" s="6">
        <f>MediCare_Data[[#This Row],[Average_Wait_Time (mins)]]/1440</f>
        <v>4.3055555555555555E-2</v>
      </c>
      <c r="O714" s="2">
        <v>1</v>
      </c>
      <c r="P714" s="10">
        <v>33696</v>
      </c>
      <c r="Q714" s="17" t="str">
        <f>IF(AND(MediCare_Data[[#This Row],[Patient_Gender]]="Male", MediCare_Data[[#This Row],[Treatment_Type]]="Maternity"), "Gender-Treatment Mismatch", "Fine")</f>
        <v>Fine</v>
      </c>
      <c r="R714" s="10">
        <f>MediCare_Data[[#This Row],[Revenue_Generated]]-MediCare_Data[[#This Row],[Average_Treatment_Cost]]</f>
        <v>26465</v>
      </c>
      <c r="S714" s="3">
        <f>(MediCare_Data[[#This Row],[Profit]]/MediCare_Data[[#This Row],[Revenue_Generated]])</f>
        <v>0.7854047958214625</v>
      </c>
    </row>
    <row r="715" spans="1:19" x14ac:dyDescent="0.25">
      <c r="A715" t="s">
        <v>762</v>
      </c>
      <c r="B715" t="s">
        <v>14</v>
      </c>
      <c r="C715" t="s">
        <v>42</v>
      </c>
      <c r="D715" t="s">
        <v>16</v>
      </c>
      <c r="E715">
        <v>49</v>
      </c>
      <c r="F715" t="str">
        <f>IF(MediCare_Data[[#This Row],[Patient_Age]]&lt;=18,"0-18",IF(MediCare_Data[[#This Row],[Patient_Age]]&lt;=35,"19-35",IF(MediCare_Data[[#This Row],[Patient_Age]]&lt;=60,"36-60","60+")))</f>
        <v>36-60</v>
      </c>
      <c r="G715" t="s">
        <v>17</v>
      </c>
      <c r="H715" t="s">
        <v>47</v>
      </c>
      <c r="I715" s="2">
        <v>84</v>
      </c>
      <c r="J715" s="11">
        <v>3617</v>
      </c>
      <c r="K715" s="3">
        <v>6.8771456960000004</v>
      </c>
      <c r="L715" s="3">
        <f t="shared" si="11"/>
        <v>6.8771456960000005E-2</v>
      </c>
      <c r="M715">
        <v>43</v>
      </c>
      <c r="N715" s="6">
        <f>MediCare_Data[[#This Row],[Average_Wait_Time (mins)]]/1440</f>
        <v>2.9861111111111113E-2</v>
      </c>
      <c r="O715" s="2">
        <v>3</v>
      </c>
      <c r="P715" s="10">
        <v>44123</v>
      </c>
      <c r="Q715" s="17" t="str">
        <f>IF(AND(MediCare_Data[[#This Row],[Patient_Gender]]="Male", MediCare_Data[[#This Row],[Treatment_Type]]="Maternity"), "Gender-Treatment Mismatch", "Fine")</f>
        <v>Fine</v>
      </c>
      <c r="R715" s="10">
        <f>MediCare_Data[[#This Row],[Revenue_Generated]]-MediCare_Data[[#This Row],[Average_Treatment_Cost]]</f>
        <v>40506</v>
      </c>
      <c r="S715" s="3">
        <f>(MediCare_Data[[#This Row],[Profit]]/MediCare_Data[[#This Row],[Revenue_Generated]])</f>
        <v>0.91802461301362104</v>
      </c>
    </row>
    <row r="716" spans="1:19" x14ac:dyDescent="0.25">
      <c r="A716" t="s">
        <v>763</v>
      </c>
      <c r="B716" t="s">
        <v>61</v>
      </c>
      <c r="C716" t="s">
        <v>42</v>
      </c>
      <c r="D716" t="s">
        <v>21</v>
      </c>
      <c r="E716">
        <v>18</v>
      </c>
      <c r="F716" t="str">
        <f>IF(MediCare_Data[[#This Row],[Patient_Age]]&lt;=18,"0-18",IF(MediCare_Data[[#This Row],[Patient_Age]]&lt;=35,"19-35",IF(MediCare_Data[[#This Row],[Patient_Age]]&lt;=60,"36-60","60+")))</f>
        <v>0-18</v>
      </c>
      <c r="G716" t="s">
        <v>17</v>
      </c>
      <c r="H716" t="s">
        <v>51</v>
      </c>
      <c r="I716" s="2">
        <v>68</v>
      </c>
      <c r="J716" s="11">
        <v>6291</v>
      </c>
      <c r="K716" s="3">
        <v>23.192536390000001</v>
      </c>
      <c r="L716" s="3">
        <f t="shared" si="11"/>
        <v>0.23192536390000001</v>
      </c>
      <c r="M716">
        <v>159</v>
      </c>
      <c r="N716" s="6">
        <f>MediCare_Data[[#This Row],[Average_Wait_Time (mins)]]/1440</f>
        <v>0.11041666666666666</v>
      </c>
      <c r="O716" s="2">
        <v>2</v>
      </c>
      <c r="P716" s="10">
        <v>16989</v>
      </c>
      <c r="Q716" s="17" t="str">
        <f>IF(AND(MediCare_Data[[#This Row],[Patient_Gender]]="Male", MediCare_Data[[#This Row],[Treatment_Type]]="Maternity"), "Gender-Treatment Mismatch", "Fine")</f>
        <v>Fine</v>
      </c>
      <c r="R716" s="10">
        <f>MediCare_Data[[#This Row],[Revenue_Generated]]-MediCare_Data[[#This Row],[Average_Treatment_Cost]]</f>
        <v>10698</v>
      </c>
      <c r="S716" s="3">
        <f>(MediCare_Data[[#This Row],[Profit]]/MediCare_Data[[#This Row],[Revenue_Generated]])</f>
        <v>0.62970157160515627</v>
      </c>
    </row>
    <row r="717" spans="1:19" x14ac:dyDescent="0.25">
      <c r="A717" t="s">
        <v>764</v>
      </c>
      <c r="B717" t="s">
        <v>82</v>
      </c>
      <c r="C717" t="s">
        <v>46</v>
      </c>
      <c r="D717" t="s">
        <v>21</v>
      </c>
      <c r="E717">
        <v>69</v>
      </c>
      <c r="F717" t="str">
        <f>IF(MediCare_Data[[#This Row],[Patient_Age]]&lt;=18,"0-18",IF(MediCare_Data[[#This Row],[Patient_Age]]&lt;=35,"19-35",IF(MediCare_Data[[#This Row],[Patient_Age]]&lt;=60,"36-60","60+")))</f>
        <v>60+</v>
      </c>
      <c r="G717" t="s">
        <v>17</v>
      </c>
      <c r="H717" t="s">
        <v>37</v>
      </c>
      <c r="I717" s="2">
        <v>69</v>
      </c>
      <c r="J717" s="11">
        <v>9283</v>
      </c>
      <c r="K717" s="3">
        <v>18.384005259999999</v>
      </c>
      <c r="L717" s="3">
        <f t="shared" si="11"/>
        <v>0.1838400526</v>
      </c>
      <c r="M717">
        <v>76</v>
      </c>
      <c r="N717" s="6">
        <f>MediCare_Data[[#This Row],[Average_Wait_Time (mins)]]/1440</f>
        <v>5.2777777777777778E-2</v>
      </c>
      <c r="O717" s="2">
        <v>2</v>
      </c>
      <c r="P717" s="10">
        <v>29931</v>
      </c>
      <c r="Q717" s="17" t="str">
        <f>IF(AND(MediCare_Data[[#This Row],[Patient_Gender]]="Male", MediCare_Data[[#This Row],[Treatment_Type]]="Maternity"), "Gender-Treatment Mismatch", "Fine")</f>
        <v>Fine</v>
      </c>
      <c r="R717" s="10">
        <f>MediCare_Data[[#This Row],[Revenue_Generated]]-MediCare_Data[[#This Row],[Average_Treatment_Cost]]</f>
        <v>20648</v>
      </c>
      <c r="S717" s="3">
        <f>(MediCare_Data[[#This Row],[Profit]]/MediCare_Data[[#This Row],[Revenue_Generated]])</f>
        <v>0.68985332932411214</v>
      </c>
    </row>
    <row r="718" spans="1:19" x14ac:dyDescent="0.25">
      <c r="A718" t="s">
        <v>765</v>
      </c>
      <c r="B718" t="s">
        <v>39</v>
      </c>
      <c r="C718" t="s">
        <v>20</v>
      </c>
      <c r="D718" t="s">
        <v>21</v>
      </c>
      <c r="E718">
        <v>23</v>
      </c>
      <c r="F718" t="str">
        <f>IF(MediCare_Data[[#This Row],[Patient_Age]]&lt;=18,"0-18",IF(MediCare_Data[[#This Row],[Patient_Age]]&lt;=35,"19-35",IF(MediCare_Data[[#This Row],[Patient_Age]]&lt;=60,"36-60","60+")))</f>
        <v>19-35</v>
      </c>
      <c r="G718" t="s">
        <v>43</v>
      </c>
      <c r="H718" t="s">
        <v>33</v>
      </c>
      <c r="I718" s="2">
        <v>67</v>
      </c>
      <c r="J718" s="11">
        <v>3220</v>
      </c>
      <c r="K718" s="3">
        <v>21.58573599</v>
      </c>
      <c r="L718" s="3">
        <f t="shared" si="11"/>
        <v>0.21585735989999999</v>
      </c>
      <c r="M718">
        <v>143</v>
      </c>
      <c r="N718" s="6">
        <f>MediCare_Data[[#This Row],[Average_Wait_Time (mins)]]/1440</f>
        <v>9.930555555555555E-2</v>
      </c>
      <c r="O718" s="2">
        <v>1</v>
      </c>
      <c r="P718" s="10">
        <v>10290</v>
      </c>
      <c r="Q718" s="17" t="str">
        <f>IF(AND(MediCare_Data[[#This Row],[Patient_Gender]]="Male", MediCare_Data[[#This Row],[Treatment_Type]]="Maternity"), "Gender-Treatment Mismatch", "Fine")</f>
        <v>Fine</v>
      </c>
      <c r="R718" s="10">
        <f>MediCare_Data[[#This Row],[Revenue_Generated]]-MediCare_Data[[#This Row],[Average_Treatment_Cost]]</f>
        <v>7070</v>
      </c>
      <c r="S718" s="3">
        <f>(MediCare_Data[[#This Row],[Profit]]/MediCare_Data[[#This Row],[Revenue_Generated]])</f>
        <v>0.68707482993197277</v>
      </c>
    </row>
    <row r="719" spans="1:19" x14ac:dyDescent="0.25">
      <c r="A719" t="s">
        <v>766</v>
      </c>
      <c r="B719" t="s">
        <v>49</v>
      </c>
      <c r="C719" t="s">
        <v>42</v>
      </c>
      <c r="D719" t="s">
        <v>32</v>
      </c>
      <c r="E719">
        <v>51</v>
      </c>
      <c r="F719" t="str">
        <f>IF(MediCare_Data[[#This Row],[Patient_Age]]&lt;=18,"0-18",IF(MediCare_Data[[#This Row],[Patient_Age]]&lt;=35,"19-35",IF(MediCare_Data[[#This Row],[Patient_Age]]&lt;=60,"36-60","60+")))</f>
        <v>36-60</v>
      </c>
      <c r="G719" t="s">
        <v>17</v>
      </c>
      <c r="H719" t="s">
        <v>37</v>
      </c>
      <c r="I719" s="2">
        <v>96</v>
      </c>
      <c r="J719" s="11">
        <v>9405</v>
      </c>
      <c r="K719" s="3">
        <v>22.579578009999999</v>
      </c>
      <c r="L719" s="3">
        <f t="shared" si="11"/>
        <v>0.22579578009999998</v>
      </c>
      <c r="M719">
        <v>36</v>
      </c>
      <c r="N719" s="6">
        <f>MediCare_Data[[#This Row],[Average_Wait_Time (mins)]]/1440</f>
        <v>2.5000000000000001E-2</v>
      </c>
      <c r="O719" s="2">
        <v>4</v>
      </c>
      <c r="P719" s="10">
        <v>39367</v>
      </c>
      <c r="Q719" s="17" t="str">
        <f>IF(AND(MediCare_Data[[#This Row],[Patient_Gender]]="Male", MediCare_Data[[#This Row],[Treatment_Type]]="Maternity"), "Gender-Treatment Mismatch", "Fine")</f>
        <v>Fine</v>
      </c>
      <c r="R719" s="10">
        <f>MediCare_Data[[#This Row],[Revenue_Generated]]-MediCare_Data[[#This Row],[Average_Treatment_Cost]]</f>
        <v>29962</v>
      </c>
      <c r="S719" s="3">
        <f>(MediCare_Data[[#This Row],[Profit]]/MediCare_Data[[#This Row],[Revenue_Generated]])</f>
        <v>0.76109431757563439</v>
      </c>
    </row>
    <row r="720" spans="1:19" x14ac:dyDescent="0.25">
      <c r="A720" t="s">
        <v>767</v>
      </c>
      <c r="B720" t="s">
        <v>64</v>
      </c>
      <c r="C720" t="s">
        <v>46</v>
      </c>
      <c r="D720" t="s">
        <v>21</v>
      </c>
      <c r="E720">
        <v>28</v>
      </c>
      <c r="F720" t="str">
        <f>IF(MediCare_Data[[#This Row],[Patient_Age]]&lt;=18,"0-18",IF(MediCare_Data[[#This Row],[Patient_Age]]&lt;=35,"19-35",IF(MediCare_Data[[#This Row],[Patient_Age]]&lt;=60,"36-60","60+")))</f>
        <v>19-35</v>
      </c>
      <c r="G720" t="s">
        <v>26</v>
      </c>
      <c r="H720" t="s">
        <v>33</v>
      </c>
      <c r="I720" s="2">
        <v>90</v>
      </c>
      <c r="J720" s="11">
        <v>9627</v>
      </c>
      <c r="K720" s="3">
        <v>16.43544704</v>
      </c>
      <c r="L720" s="3">
        <f t="shared" si="11"/>
        <v>0.16435447040000001</v>
      </c>
      <c r="M720">
        <v>19</v>
      </c>
      <c r="N720" s="6">
        <f>MediCare_Data[[#This Row],[Average_Wait_Time (mins)]]/1440</f>
        <v>1.3194444444444444E-2</v>
      </c>
      <c r="O720" s="2">
        <v>4</v>
      </c>
      <c r="P720" s="10">
        <v>15342</v>
      </c>
      <c r="Q720" s="17" t="str">
        <f>IF(AND(MediCare_Data[[#This Row],[Patient_Gender]]="Male", MediCare_Data[[#This Row],[Treatment_Type]]="Maternity"), "Gender-Treatment Mismatch", "Fine")</f>
        <v>Fine</v>
      </c>
      <c r="R720" s="10">
        <f>MediCare_Data[[#This Row],[Revenue_Generated]]-MediCare_Data[[#This Row],[Average_Treatment_Cost]]</f>
        <v>5715</v>
      </c>
      <c r="S720" s="3">
        <f>(MediCare_Data[[#This Row],[Profit]]/MediCare_Data[[#This Row],[Revenue_Generated]])</f>
        <v>0.37250684395776301</v>
      </c>
    </row>
    <row r="721" spans="1:19" x14ac:dyDescent="0.25">
      <c r="A721" t="s">
        <v>768</v>
      </c>
      <c r="B721" t="s">
        <v>58</v>
      </c>
      <c r="C721" t="s">
        <v>54</v>
      </c>
      <c r="D721" t="s">
        <v>21</v>
      </c>
      <c r="E721">
        <v>37</v>
      </c>
      <c r="F721" t="str">
        <f>IF(MediCare_Data[[#This Row],[Patient_Age]]&lt;=18,"0-18",IF(MediCare_Data[[#This Row],[Patient_Age]]&lt;=35,"19-35",IF(MediCare_Data[[#This Row],[Patient_Age]]&lt;=60,"36-60","60+")))</f>
        <v>36-60</v>
      </c>
      <c r="G721" t="s">
        <v>26</v>
      </c>
      <c r="H721" t="s">
        <v>33</v>
      </c>
      <c r="I721" s="2">
        <v>98</v>
      </c>
      <c r="J721" s="11">
        <v>6547</v>
      </c>
      <c r="K721" s="3">
        <v>15.34892704</v>
      </c>
      <c r="L721" s="3">
        <f t="shared" si="11"/>
        <v>0.15348927039999999</v>
      </c>
      <c r="M721">
        <v>82</v>
      </c>
      <c r="N721" s="6">
        <f>MediCare_Data[[#This Row],[Average_Wait_Time (mins)]]/1440</f>
        <v>5.6944444444444443E-2</v>
      </c>
      <c r="O721" s="2">
        <v>1</v>
      </c>
      <c r="P721" s="10">
        <v>25941</v>
      </c>
      <c r="Q721" s="17" t="str">
        <f>IF(AND(MediCare_Data[[#This Row],[Patient_Gender]]="Male", MediCare_Data[[#This Row],[Treatment_Type]]="Maternity"), "Gender-Treatment Mismatch", "Fine")</f>
        <v>Fine</v>
      </c>
      <c r="R721" s="10">
        <f>MediCare_Data[[#This Row],[Revenue_Generated]]-MediCare_Data[[#This Row],[Average_Treatment_Cost]]</f>
        <v>19394</v>
      </c>
      <c r="S721" s="3">
        <f>(MediCare_Data[[#This Row],[Profit]]/MediCare_Data[[#This Row],[Revenue_Generated]])</f>
        <v>0.74761959831926295</v>
      </c>
    </row>
    <row r="722" spans="1:19" x14ac:dyDescent="0.25">
      <c r="A722" t="s">
        <v>769</v>
      </c>
      <c r="B722" t="s">
        <v>74</v>
      </c>
      <c r="C722" t="s">
        <v>20</v>
      </c>
      <c r="D722" t="s">
        <v>32</v>
      </c>
      <c r="E722">
        <v>23</v>
      </c>
      <c r="F722" t="str">
        <f>IF(MediCare_Data[[#This Row],[Patient_Age]]&lt;=18,"0-18",IF(MediCare_Data[[#This Row],[Patient_Age]]&lt;=35,"19-35",IF(MediCare_Data[[#This Row],[Patient_Age]]&lt;=60,"36-60","60+")))</f>
        <v>19-35</v>
      </c>
      <c r="G722" t="s">
        <v>17</v>
      </c>
      <c r="H722" t="s">
        <v>18</v>
      </c>
      <c r="I722" s="2">
        <v>63</v>
      </c>
      <c r="J722" s="11">
        <v>8532</v>
      </c>
      <c r="K722" s="3">
        <v>13.60854821</v>
      </c>
      <c r="L722" s="3">
        <f t="shared" si="11"/>
        <v>0.13608548210000002</v>
      </c>
      <c r="M722">
        <v>105</v>
      </c>
      <c r="N722" s="6">
        <f>MediCare_Data[[#This Row],[Average_Wait_Time (mins)]]/1440</f>
        <v>7.2916666666666671E-2</v>
      </c>
      <c r="O722" s="2">
        <v>1</v>
      </c>
      <c r="P722" s="10">
        <v>14945</v>
      </c>
      <c r="Q722" s="17" t="str">
        <f>IF(AND(MediCare_Data[[#This Row],[Patient_Gender]]="Male", MediCare_Data[[#This Row],[Treatment_Type]]="Maternity"), "Gender-Treatment Mismatch", "Fine")</f>
        <v>Fine</v>
      </c>
      <c r="R722" s="10">
        <f>MediCare_Data[[#This Row],[Revenue_Generated]]-MediCare_Data[[#This Row],[Average_Treatment_Cost]]</f>
        <v>6413</v>
      </c>
      <c r="S722" s="3">
        <f>(MediCare_Data[[#This Row],[Profit]]/MediCare_Data[[#This Row],[Revenue_Generated]])</f>
        <v>0.42910672465707594</v>
      </c>
    </row>
    <row r="723" spans="1:19" x14ac:dyDescent="0.25">
      <c r="A723" t="s">
        <v>770</v>
      </c>
      <c r="B723" t="s">
        <v>35</v>
      </c>
      <c r="C723" t="s">
        <v>20</v>
      </c>
      <c r="D723" t="s">
        <v>16</v>
      </c>
      <c r="E723">
        <v>88</v>
      </c>
      <c r="F723" t="str">
        <f>IF(MediCare_Data[[#This Row],[Patient_Age]]&lt;=18,"0-18",IF(MediCare_Data[[#This Row],[Patient_Age]]&lt;=35,"19-35",IF(MediCare_Data[[#This Row],[Patient_Age]]&lt;=60,"36-60","60+")))</f>
        <v>60+</v>
      </c>
      <c r="G723" t="s">
        <v>17</v>
      </c>
      <c r="H723" t="s">
        <v>18</v>
      </c>
      <c r="I723" s="2">
        <v>64</v>
      </c>
      <c r="J723" s="11">
        <v>501</v>
      </c>
      <c r="K723" s="3">
        <v>11.338931759999999</v>
      </c>
      <c r="L723" s="3">
        <f t="shared" si="11"/>
        <v>0.1133893176</v>
      </c>
      <c r="M723">
        <v>57</v>
      </c>
      <c r="N723" s="6">
        <f>MediCare_Data[[#This Row],[Average_Wait_Time (mins)]]/1440</f>
        <v>3.9583333333333331E-2</v>
      </c>
      <c r="O723" s="2">
        <v>2</v>
      </c>
      <c r="P723" s="10">
        <v>11762</v>
      </c>
      <c r="Q723" s="17" t="str">
        <f>IF(AND(MediCare_Data[[#This Row],[Patient_Gender]]="Male", MediCare_Data[[#This Row],[Treatment_Type]]="Maternity"), "Gender-Treatment Mismatch", "Fine")</f>
        <v>Fine</v>
      </c>
      <c r="R723" s="10">
        <f>MediCare_Data[[#This Row],[Revenue_Generated]]-MediCare_Data[[#This Row],[Average_Treatment_Cost]]</f>
        <v>11261</v>
      </c>
      <c r="S723" s="3">
        <f>(MediCare_Data[[#This Row],[Profit]]/MediCare_Data[[#This Row],[Revenue_Generated]])</f>
        <v>0.95740520319673528</v>
      </c>
    </row>
    <row r="724" spans="1:19" x14ac:dyDescent="0.25">
      <c r="A724" t="s">
        <v>771</v>
      </c>
      <c r="B724" t="s">
        <v>61</v>
      </c>
      <c r="C724" t="s">
        <v>42</v>
      </c>
      <c r="D724" t="s">
        <v>32</v>
      </c>
      <c r="E724">
        <v>17</v>
      </c>
      <c r="F724" t="str">
        <f>IF(MediCare_Data[[#This Row],[Patient_Age]]&lt;=18,"0-18",IF(MediCare_Data[[#This Row],[Patient_Age]]&lt;=35,"19-35",IF(MediCare_Data[[#This Row],[Patient_Age]]&lt;=60,"36-60","60+")))</f>
        <v>0-18</v>
      </c>
      <c r="G724" t="s">
        <v>43</v>
      </c>
      <c r="H724" t="s">
        <v>51</v>
      </c>
      <c r="I724" s="2">
        <v>80</v>
      </c>
      <c r="J724" s="11">
        <v>6868</v>
      </c>
      <c r="K724" s="3">
        <v>13.691919220000001</v>
      </c>
      <c r="L724" s="3">
        <f t="shared" si="11"/>
        <v>0.13691919220000001</v>
      </c>
      <c r="M724">
        <v>79</v>
      </c>
      <c r="N724" s="6">
        <f>MediCare_Data[[#This Row],[Average_Wait_Time (mins)]]/1440</f>
        <v>5.486111111111111E-2</v>
      </c>
      <c r="O724" s="2">
        <v>4</v>
      </c>
      <c r="P724" s="10">
        <v>31133</v>
      </c>
      <c r="Q724" s="17" t="str">
        <f>IF(AND(MediCare_Data[[#This Row],[Patient_Gender]]="Male", MediCare_Data[[#This Row],[Treatment_Type]]="Maternity"), "Gender-Treatment Mismatch", "Fine")</f>
        <v>Fine</v>
      </c>
      <c r="R724" s="10">
        <f>MediCare_Data[[#This Row],[Revenue_Generated]]-MediCare_Data[[#This Row],[Average_Treatment_Cost]]</f>
        <v>24265</v>
      </c>
      <c r="S724" s="3">
        <f>(MediCare_Data[[#This Row],[Profit]]/MediCare_Data[[#This Row],[Revenue_Generated]])</f>
        <v>0.7793980663604535</v>
      </c>
    </row>
    <row r="725" spans="1:19" x14ac:dyDescent="0.25">
      <c r="A725" t="s">
        <v>772</v>
      </c>
      <c r="B725" t="s">
        <v>14</v>
      </c>
      <c r="C725" t="s">
        <v>15</v>
      </c>
      <c r="D725" t="s">
        <v>16</v>
      </c>
      <c r="E725">
        <v>86</v>
      </c>
      <c r="F725" t="str">
        <f>IF(MediCare_Data[[#This Row],[Patient_Age]]&lt;=18,"0-18",IF(MediCare_Data[[#This Row],[Patient_Age]]&lt;=35,"19-35",IF(MediCare_Data[[#This Row],[Patient_Age]]&lt;=60,"36-60","60+")))</f>
        <v>60+</v>
      </c>
      <c r="G725" t="s">
        <v>43</v>
      </c>
      <c r="H725" t="s">
        <v>37</v>
      </c>
      <c r="I725" s="2">
        <v>50</v>
      </c>
      <c r="J725" s="11">
        <v>2449</v>
      </c>
      <c r="K725" s="3">
        <v>20.477593110000001</v>
      </c>
      <c r="L725" s="3">
        <f t="shared" si="11"/>
        <v>0.2047759311</v>
      </c>
      <c r="M725">
        <v>109</v>
      </c>
      <c r="N725" s="6">
        <f>MediCare_Data[[#This Row],[Average_Wait_Time (mins)]]/1440</f>
        <v>7.5694444444444439E-2</v>
      </c>
      <c r="O725" s="2">
        <v>1</v>
      </c>
      <c r="P725" s="10">
        <v>48080</v>
      </c>
      <c r="Q725" s="17" t="str">
        <f>IF(AND(MediCare_Data[[#This Row],[Patient_Gender]]="Male", MediCare_Data[[#This Row],[Treatment_Type]]="Maternity"), "Gender-Treatment Mismatch", "Fine")</f>
        <v>Gender-Treatment Mismatch</v>
      </c>
      <c r="R725" s="10">
        <f>MediCare_Data[[#This Row],[Revenue_Generated]]-MediCare_Data[[#This Row],[Average_Treatment_Cost]]</f>
        <v>45631</v>
      </c>
      <c r="S725" s="3">
        <f>(MediCare_Data[[#This Row],[Profit]]/MediCare_Data[[#This Row],[Revenue_Generated]])</f>
        <v>0.9490640599001664</v>
      </c>
    </row>
    <row r="726" spans="1:19" x14ac:dyDescent="0.25">
      <c r="A726" t="s">
        <v>773</v>
      </c>
      <c r="B726" t="s">
        <v>25</v>
      </c>
      <c r="C726" t="s">
        <v>29</v>
      </c>
      <c r="D726" t="s">
        <v>32</v>
      </c>
      <c r="E726">
        <v>82</v>
      </c>
      <c r="F726" t="str">
        <f>IF(MediCare_Data[[#This Row],[Patient_Age]]&lt;=18,"0-18",IF(MediCare_Data[[#This Row],[Patient_Age]]&lt;=35,"19-35",IF(MediCare_Data[[#This Row],[Patient_Age]]&lt;=60,"36-60","60+")))</f>
        <v>60+</v>
      </c>
      <c r="G726" t="s">
        <v>26</v>
      </c>
      <c r="H726" t="s">
        <v>37</v>
      </c>
      <c r="I726" s="2">
        <v>52</v>
      </c>
      <c r="J726" s="11">
        <v>7232</v>
      </c>
      <c r="K726" s="3">
        <v>17.03846862</v>
      </c>
      <c r="L726" s="3">
        <f t="shared" si="11"/>
        <v>0.1703846862</v>
      </c>
      <c r="M726">
        <v>68</v>
      </c>
      <c r="N726" s="6">
        <f>MediCare_Data[[#This Row],[Average_Wait_Time (mins)]]/1440</f>
        <v>4.7222222222222221E-2</v>
      </c>
      <c r="O726" s="2">
        <v>1</v>
      </c>
      <c r="P726" s="10">
        <v>41150</v>
      </c>
      <c r="Q726" s="17" t="str">
        <f>IF(AND(MediCare_Data[[#This Row],[Patient_Gender]]="Male", MediCare_Data[[#This Row],[Treatment_Type]]="Maternity"), "Gender-Treatment Mismatch", "Fine")</f>
        <v>Fine</v>
      </c>
      <c r="R726" s="10">
        <f>MediCare_Data[[#This Row],[Revenue_Generated]]-MediCare_Data[[#This Row],[Average_Treatment_Cost]]</f>
        <v>33918</v>
      </c>
      <c r="S726" s="3">
        <f>(MediCare_Data[[#This Row],[Profit]]/MediCare_Data[[#This Row],[Revenue_Generated]])</f>
        <v>0.82425273390036446</v>
      </c>
    </row>
    <row r="727" spans="1:19" x14ac:dyDescent="0.25">
      <c r="A727" t="s">
        <v>774</v>
      </c>
      <c r="B727" t="s">
        <v>14</v>
      </c>
      <c r="C727" t="s">
        <v>54</v>
      </c>
      <c r="D727" t="s">
        <v>32</v>
      </c>
      <c r="E727">
        <v>43</v>
      </c>
      <c r="F727" t="str">
        <f>IF(MediCare_Data[[#This Row],[Patient_Age]]&lt;=18,"0-18",IF(MediCare_Data[[#This Row],[Patient_Age]]&lt;=35,"19-35",IF(MediCare_Data[[#This Row],[Patient_Age]]&lt;=60,"36-60","60+")))</f>
        <v>36-60</v>
      </c>
      <c r="G727" t="s">
        <v>43</v>
      </c>
      <c r="H727" t="s">
        <v>47</v>
      </c>
      <c r="I727" s="2">
        <v>65</v>
      </c>
      <c r="J727" s="11">
        <v>8333</v>
      </c>
      <c r="K727" s="3">
        <v>22.850465799999998</v>
      </c>
      <c r="L727" s="3">
        <f t="shared" si="11"/>
        <v>0.22850465799999997</v>
      </c>
      <c r="M727">
        <v>11</v>
      </c>
      <c r="N727" s="6">
        <f>MediCare_Data[[#This Row],[Average_Wait_Time (mins)]]/1440</f>
        <v>7.6388888888888886E-3</v>
      </c>
      <c r="O727" s="2">
        <v>3</v>
      </c>
      <c r="P727" s="10">
        <v>28052</v>
      </c>
      <c r="Q727" s="17" t="str">
        <f>IF(AND(MediCare_Data[[#This Row],[Patient_Gender]]="Male", MediCare_Data[[#This Row],[Treatment_Type]]="Maternity"), "Gender-Treatment Mismatch", "Fine")</f>
        <v>Fine</v>
      </c>
      <c r="R727" s="10">
        <f>MediCare_Data[[#This Row],[Revenue_Generated]]-MediCare_Data[[#This Row],[Average_Treatment_Cost]]</f>
        <v>19719</v>
      </c>
      <c r="S727" s="3">
        <f>(MediCare_Data[[#This Row],[Profit]]/MediCare_Data[[#This Row],[Revenue_Generated]])</f>
        <v>0.70294453158420078</v>
      </c>
    </row>
    <row r="728" spans="1:19" x14ac:dyDescent="0.25">
      <c r="A728" t="s">
        <v>775</v>
      </c>
      <c r="B728" t="s">
        <v>14</v>
      </c>
      <c r="C728" t="s">
        <v>31</v>
      </c>
      <c r="D728" t="s">
        <v>16</v>
      </c>
      <c r="E728">
        <v>50</v>
      </c>
      <c r="F728" t="str">
        <f>IF(MediCare_Data[[#This Row],[Patient_Age]]&lt;=18,"0-18",IF(MediCare_Data[[#This Row],[Patient_Age]]&lt;=35,"19-35",IF(MediCare_Data[[#This Row],[Patient_Age]]&lt;=60,"36-60","60+")))</f>
        <v>36-60</v>
      </c>
      <c r="G728" t="s">
        <v>17</v>
      </c>
      <c r="H728" t="s">
        <v>51</v>
      </c>
      <c r="I728" s="2">
        <v>72</v>
      </c>
      <c r="J728" s="11">
        <v>1417</v>
      </c>
      <c r="K728" s="3">
        <v>13.86760029</v>
      </c>
      <c r="L728" s="3">
        <f t="shared" si="11"/>
        <v>0.13867600290000001</v>
      </c>
      <c r="M728">
        <v>166</v>
      </c>
      <c r="N728" s="6">
        <f>MediCare_Data[[#This Row],[Average_Wait_Time (mins)]]/1440</f>
        <v>0.11527777777777778</v>
      </c>
      <c r="O728" s="2">
        <v>1</v>
      </c>
      <c r="P728" s="10">
        <v>42750</v>
      </c>
      <c r="Q728" s="17" t="str">
        <f>IF(AND(MediCare_Data[[#This Row],[Patient_Gender]]="Male", MediCare_Data[[#This Row],[Treatment_Type]]="Maternity"), "Gender-Treatment Mismatch", "Fine")</f>
        <v>Fine</v>
      </c>
      <c r="R728" s="10">
        <f>MediCare_Data[[#This Row],[Revenue_Generated]]-MediCare_Data[[#This Row],[Average_Treatment_Cost]]</f>
        <v>41333</v>
      </c>
      <c r="S728" s="3">
        <f>(MediCare_Data[[#This Row],[Profit]]/MediCare_Data[[#This Row],[Revenue_Generated]])</f>
        <v>0.96685380116959063</v>
      </c>
    </row>
    <row r="729" spans="1:19" x14ac:dyDescent="0.25">
      <c r="A729" t="s">
        <v>776</v>
      </c>
      <c r="B729" t="s">
        <v>82</v>
      </c>
      <c r="C729" t="s">
        <v>54</v>
      </c>
      <c r="D729" t="s">
        <v>16</v>
      </c>
      <c r="E729">
        <v>26</v>
      </c>
      <c r="F729" t="str">
        <f>IF(MediCare_Data[[#This Row],[Patient_Age]]&lt;=18,"0-18",IF(MediCare_Data[[#This Row],[Patient_Age]]&lt;=35,"19-35",IF(MediCare_Data[[#This Row],[Patient_Age]]&lt;=60,"36-60","60+")))</f>
        <v>19-35</v>
      </c>
      <c r="G729" t="s">
        <v>43</v>
      </c>
      <c r="H729" t="s">
        <v>47</v>
      </c>
      <c r="I729" s="2">
        <v>60</v>
      </c>
      <c r="J729" s="11">
        <v>3674</v>
      </c>
      <c r="K729" s="3">
        <v>17.141791569999999</v>
      </c>
      <c r="L729" s="3">
        <f t="shared" si="11"/>
        <v>0.17141791569999998</v>
      </c>
      <c r="M729">
        <v>74</v>
      </c>
      <c r="N729" s="6">
        <f>MediCare_Data[[#This Row],[Average_Wait_Time (mins)]]/1440</f>
        <v>5.1388888888888887E-2</v>
      </c>
      <c r="O729" s="2">
        <v>1</v>
      </c>
      <c r="P729" s="10">
        <v>20953</v>
      </c>
      <c r="Q729" s="17" t="str">
        <f>IF(AND(MediCare_Data[[#This Row],[Patient_Gender]]="Male", MediCare_Data[[#This Row],[Treatment_Type]]="Maternity"), "Gender-Treatment Mismatch", "Fine")</f>
        <v>Fine</v>
      </c>
      <c r="R729" s="10">
        <f>MediCare_Data[[#This Row],[Revenue_Generated]]-MediCare_Data[[#This Row],[Average_Treatment_Cost]]</f>
        <v>17279</v>
      </c>
      <c r="S729" s="3">
        <f>(MediCare_Data[[#This Row],[Profit]]/MediCare_Data[[#This Row],[Revenue_Generated]])</f>
        <v>0.82465518064239007</v>
      </c>
    </row>
    <row r="730" spans="1:19" x14ac:dyDescent="0.25">
      <c r="A730" t="s">
        <v>777</v>
      </c>
      <c r="B730" t="s">
        <v>35</v>
      </c>
      <c r="C730" t="s">
        <v>31</v>
      </c>
      <c r="D730" t="s">
        <v>32</v>
      </c>
      <c r="E730">
        <v>37</v>
      </c>
      <c r="F730" t="str">
        <f>IF(MediCare_Data[[#This Row],[Patient_Age]]&lt;=18,"0-18",IF(MediCare_Data[[#This Row],[Patient_Age]]&lt;=35,"19-35",IF(MediCare_Data[[#This Row],[Patient_Age]]&lt;=60,"36-60","60+")))</f>
        <v>36-60</v>
      </c>
      <c r="G730" t="s">
        <v>17</v>
      </c>
      <c r="H730" t="s">
        <v>33</v>
      </c>
      <c r="I730" s="2">
        <v>61</v>
      </c>
      <c r="J730" s="11">
        <v>7514</v>
      </c>
      <c r="K730" s="3">
        <v>17.626151060000002</v>
      </c>
      <c r="L730" s="3">
        <f t="shared" si="11"/>
        <v>0.1762615106</v>
      </c>
      <c r="M730">
        <v>92</v>
      </c>
      <c r="N730" s="6">
        <f>MediCare_Data[[#This Row],[Average_Wait_Time (mins)]]/1440</f>
        <v>6.3888888888888884E-2</v>
      </c>
      <c r="O730" s="2">
        <v>4</v>
      </c>
      <c r="P730" s="10">
        <v>41475</v>
      </c>
      <c r="Q730" s="17" t="str">
        <f>IF(AND(MediCare_Data[[#This Row],[Patient_Gender]]="Male", MediCare_Data[[#This Row],[Treatment_Type]]="Maternity"), "Gender-Treatment Mismatch", "Fine")</f>
        <v>Fine</v>
      </c>
      <c r="R730" s="10">
        <f>MediCare_Data[[#This Row],[Revenue_Generated]]-MediCare_Data[[#This Row],[Average_Treatment_Cost]]</f>
        <v>33961</v>
      </c>
      <c r="S730" s="3">
        <f>(MediCare_Data[[#This Row],[Profit]]/MediCare_Data[[#This Row],[Revenue_Generated]])</f>
        <v>0.81883062085593727</v>
      </c>
    </row>
    <row r="731" spans="1:19" x14ac:dyDescent="0.25">
      <c r="A731" t="s">
        <v>778</v>
      </c>
      <c r="B731" t="s">
        <v>53</v>
      </c>
      <c r="C731" t="s">
        <v>46</v>
      </c>
      <c r="D731" t="s">
        <v>21</v>
      </c>
      <c r="E731">
        <v>88</v>
      </c>
      <c r="F731" t="str">
        <f>IF(MediCare_Data[[#This Row],[Patient_Age]]&lt;=18,"0-18",IF(MediCare_Data[[#This Row],[Patient_Age]]&lt;=35,"19-35",IF(MediCare_Data[[#This Row],[Patient_Age]]&lt;=60,"36-60","60+")))</f>
        <v>60+</v>
      </c>
      <c r="G731" t="s">
        <v>26</v>
      </c>
      <c r="H731" t="s">
        <v>51</v>
      </c>
      <c r="I731" s="2">
        <v>59</v>
      </c>
      <c r="J731" s="11">
        <v>589</v>
      </c>
      <c r="K731" s="3">
        <v>16.833943250000001</v>
      </c>
      <c r="L731" s="3">
        <f t="shared" si="11"/>
        <v>0.1683394325</v>
      </c>
      <c r="M731">
        <v>163</v>
      </c>
      <c r="N731" s="6">
        <f>MediCare_Data[[#This Row],[Average_Wait_Time (mins)]]/1440</f>
        <v>0.11319444444444444</v>
      </c>
      <c r="O731" s="2">
        <v>2</v>
      </c>
      <c r="P731" s="10">
        <v>18130</v>
      </c>
      <c r="Q731" s="17" t="str">
        <f>IF(AND(MediCare_Data[[#This Row],[Patient_Gender]]="Male", MediCare_Data[[#This Row],[Treatment_Type]]="Maternity"), "Gender-Treatment Mismatch", "Fine")</f>
        <v>Fine</v>
      </c>
      <c r="R731" s="10">
        <f>MediCare_Data[[#This Row],[Revenue_Generated]]-MediCare_Data[[#This Row],[Average_Treatment_Cost]]</f>
        <v>17541</v>
      </c>
      <c r="S731" s="3">
        <f>(MediCare_Data[[#This Row],[Profit]]/MediCare_Data[[#This Row],[Revenue_Generated]])</f>
        <v>0.96751241036955327</v>
      </c>
    </row>
    <row r="732" spans="1:19" x14ac:dyDescent="0.25">
      <c r="A732" t="s">
        <v>779</v>
      </c>
      <c r="B732" t="s">
        <v>82</v>
      </c>
      <c r="C732" t="s">
        <v>36</v>
      </c>
      <c r="D732" t="s">
        <v>32</v>
      </c>
      <c r="E732">
        <v>23</v>
      </c>
      <c r="F732" t="str">
        <f>IF(MediCare_Data[[#This Row],[Patient_Age]]&lt;=18,"0-18",IF(MediCare_Data[[#This Row],[Patient_Age]]&lt;=35,"19-35",IF(MediCare_Data[[#This Row],[Patient_Age]]&lt;=60,"36-60","60+")))</f>
        <v>19-35</v>
      </c>
      <c r="G732" t="s">
        <v>22</v>
      </c>
      <c r="H732" t="s">
        <v>23</v>
      </c>
      <c r="I732" s="2">
        <v>81</v>
      </c>
      <c r="J732" s="11">
        <v>2209</v>
      </c>
      <c r="K732" s="3">
        <v>19.05267546</v>
      </c>
      <c r="L732" s="3">
        <f t="shared" si="11"/>
        <v>0.19052675459999999</v>
      </c>
      <c r="M732">
        <v>19</v>
      </c>
      <c r="N732" s="6">
        <f>MediCare_Data[[#This Row],[Average_Wait_Time (mins)]]/1440</f>
        <v>1.3194444444444444E-2</v>
      </c>
      <c r="O732" s="2">
        <v>4</v>
      </c>
      <c r="P732" s="10">
        <v>32086</v>
      </c>
      <c r="Q732" s="17" t="str">
        <f>IF(AND(MediCare_Data[[#This Row],[Patient_Gender]]="Male", MediCare_Data[[#This Row],[Treatment_Type]]="Maternity"), "Gender-Treatment Mismatch", "Fine")</f>
        <v>Fine</v>
      </c>
      <c r="R732" s="10">
        <f>MediCare_Data[[#This Row],[Revenue_Generated]]-MediCare_Data[[#This Row],[Average_Treatment_Cost]]</f>
        <v>29877</v>
      </c>
      <c r="S732" s="3">
        <f>(MediCare_Data[[#This Row],[Profit]]/MediCare_Data[[#This Row],[Revenue_Generated]])</f>
        <v>0.93115377423175216</v>
      </c>
    </row>
    <row r="733" spans="1:19" x14ac:dyDescent="0.25">
      <c r="A733" t="s">
        <v>780</v>
      </c>
      <c r="B733" t="s">
        <v>25</v>
      </c>
      <c r="C733" t="s">
        <v>31</v>
      </c>
      <c r="D733" t="s">
        <v>32</v>
      </c>
      <c r="E733">
        <v>5</v>
      </c>
      <c r="F733" t="str">
        <f>IF(MediCare_Data[[#This Row],[Patient_Age]]&lt;=18,"0-18",IF(MediCare_Data[[#This Row],[Patient_Age]]&lt;=35,"19-35",IF(MediCare_Data[[#This Row],[Patient_Age]]&lt;=60,"36-60","60+")))</f>
        <v>0-18</v>
      </c>
      <c r="G733" t="s">
        <v>43</v>
      </c>
      <c r="H733" t="s">
        <v>37</v>
      </c>
      <c r="I733" s="2">
        <v>65</v>
      </c>
      <c r="J733" s="11">
        <v>3541</v>
      </c>
      <c r="K733" s="3">
        <v>9.7486693669999998</v>
      </c>
      <c r="L733" s="3">
        <f t="shared" si="11"/>
        <v>9.7486693669999999E-2</v>
      </c>
      <c r="M733">
        <v>62</v>
      </c>
      <c r="N733" s="6">
        <f>MediCare_Data[[#This Row],[Average_Wait_Time (mins)]]/1440</f>
        <v>4.3055555555555555E-2</v>
      </c>
      <c r="O733" s="2">
        <v>2</v>
      </c>
      <c r="P733" s="10">
        <v>5633</v>
      </c>
      <c r="Q733" s="17" t="str">
        <f>IF(AND(MediCare_Data[[#This Row],[Patient_Gender]]="Male", MediCare_Data[[#This Row],[Treatment_Type]]="Maternity"), "Gender-Treatment Mismatch", "Fine")</f>
        <v>Fine</v>
      </c>
      <c r="R733" s="10">
        <f>MediCare_Data[[#This Row],[Revenue_Generated]]-MediCare_Data[[#This Row],[Average_Treatment_Cost]]</f>
        <v>2092</v>
      </c>
      <c r="S733" s="3">
        <f>(MediCare_Data[[#This Row],[Profit]]/MediCare_Data[[#This Row],[Revenue_Generated]])</f>
        <v>0.37138292206639445</v>
      </c>
    </row>
    <row r="734" spans="1:19" x14ac:dyDescent="0.25">
      <c r="A734" t="s">
        <v>781</v>
      </c>
      <c r="B734" t="s">
        <v>64</v>
      </c>
      <c r="C734" t="s">
        <v>46</v>
      </c>
      <c r="D734" t="s">
        <v>32</v>
      </c>
      <c r="E734">
        <v>11</v>
      </c>
      <c r="F734" t="str">
        <f>IF(MediCare_Data[[#This Row],[Patient_Age]]&lt;=18,"0-18",IF(MediCare_Data[[#This Row],[Patient_Age]]&lt;=35,"19-35",IF(MediCare_Data[[#This Row],[Patient_Age]]&lt;=60,"36-60","60+")))</f>
        <v>0-18</v>
      </c>
      <c r="G734" t="s">
        <v>26</v>
      </c>
      <c r="H734" t="s">
        <v>18</v>
      </c>
      <c r="I734" s="2">
        <v>57</v>
      </c>
      <c r="J734" s="11">
        <v>605</v>
      </c>
      <c r="K734" s="3">
        <v>15.247275549999999</v>
      </c>
      <c r="L734" s="3">
        <f t="shared" si="11"/>
        <v>0.1524727555</v>
      </c>
      <c r="M734">
        <v>88</v>
      </c>
      <c r="N734" s="6">
        <f>MediCare_Data[[#This Row],[Average_Wait_Time (mins)]]/1440</f>
        <v>6.1111111111111109E-2</v>
      </c>
      <c r="O734" s="2">
        <v>3</v>
      </c>
      <c r="P734" s="10">
        <v>18304</v>
      </c>
      <c r="Q734" s="17" t="str">
        <f>IF(AND(MediCare_Data[[#This Row],[Patient_Gender]]="Male", MediCare_Data[[#This Row],[Treatment_Type]]="Maternity"), "Gender-Treatment Mismatch", "Fine")</f>
        <v>Fine</v>
      </c>
      <c r="R734" s="10">
        <f>MediCare_Data[[#This Row],[Revenue_Generated]]-MediCare_Data[[#This Row],[Average_Treatment_Cost]]</f>
        <v>17699</v>
      </c>
      <c r="S734" s="3">
        <f>(MediCare_Data[[#This Row],[Profit]]/MediCare_Data[[#This Row],[Revenue_Generated]])</f>
        <v>0.96694711538461542</v>
      </c>
    </row>
    <row r="735" spans="1:19" x14ac:dyDescent="0.25">
      <c r="A735" t="s">
        <v>782</v>
      </c>
      <c r="B735" t="s">
        <v>56</v>
      </c>
      <c r="C735" t="s">
        <v>36</v>
      </c>
      <c r="D735" t="s">
        <v>21</v>
      </c>
      <c r="E735">
        <v>45</v>
      </c>
      <c r="F735" t="str">
        <f>IF(MediCare_Data[[#This Row],[Patient_Age]]&lt;=18,"0-18",IF(MediCare_Data[[#This Row],[Patient_Age]]&lt;=35,"19-35",IF(MediCare_Data[[#This Row],[Patient_Age]]&lt;=60,"36-60","60+")))</f>
        <v>36-60</v>
      </c>
      <c r="G735" t="s">
        <v>26</v>
      </c>
      <c r="H735" t="s">
        <v>37</v>
      </c>
      <c r="I735" s="2">
        <v>87</v>
      </c>
      <c r="J735" s="11">
        <v>9578</v>
      </c>
      <c r="K735" s="3">
        <v>7.0844960559999999</v>
      </c>
      <c r="L735" s="3">
        <f t="shared" si="11"/>
        <v>7.0844960560000003E-2</v>
      </c>
      <c r="M735">
        <v>68</v>
      </c>
      <c r="N735" s="6">
        <f>MediCare_Data[[#This Row],[Average_Wait_Time (mins)]]/1440</f>
        <v>4.7222222222222221E-2</v>
      </c>
      <c r="O735" s="2">
        <v>1</v>
      </c>
      <c r="P735" s="10">
        <v>43037</v>
      </c>
      <c r="Q735" s="17" t="str">
        <f>IF(AND(MediCare_Data[[#This Row],[Patient_Gender]]="Male", MediCare_Data[[#This Row],[Treatment_Type]]="Maternity"), "Gender-Treatment Mismatch", "Fine")</f>
        <v>Fine</v>
      </c>
      <c r="R735" s="10">
        <f>MediCare_Data[[#This Row],[Revenue_Generated]]-MediCare_Data[[#This Row],[Average_Treatment_Cost]]</f>
        <v>33459</v>
      </c>
      <c r="S735" s="3">
        <f>(MediCare_Data[[#This Row],[Profit]]/MediCare_Data[[#This Row],[Revenue_Generated]])</f>
        <v>0.77744731277737755</v>
      </c>
    </row>
    <row r="736" spans="1:19" x14ac:dyDescent="0.25">
      <c r="A736" t="s">
        <v>783</v>
      </c>
      <c r="B736" t="s">
        <v>28</v>
      </c>
      <c r="C736" t="s">
        <v>54</v>
      </c>
      <c r="D736" t="s">
        <v>21</v>
      </c>
      <c r="E736">
        <v>42</v>
      </c>
      <c r="F736" t="str">
        <f>IF(MediCare_Data[[#This Row],[Patient_Age]]&lt;=18,"0-18",IF(MediCare_Data[[#This Row],[Patient_Age]]&lt;=35,"19-35",IF(MediCare_Data[[#This Row],[Patient_Age]]&lt;=60,"36-60","60+")))</f>
        <v>36-60</v>
      </c>
      <c r="G736" t="s">
        <v>43</v>
      </c>
      <c r="H736" t="s">
        <v>23</v>
      </c>
      <c r="I736" s="2">
        <v>61</v>
      </c>
      <c r="J736" s="11">
        <v>9119</v>
      </c>
      <c r="K736" s="3">
        <v>12.69022655</v>
      </c>
      <c r="L736" s="3">
        <f t="shared" si="11"/>
        <v>0.1269022655</v>
      </c>
      <c r="M736">
        <v>159</v>
      </c>
      <c r="N736" s="6">
        <f>MediCare_Data[[#This Row],[Average_Wait_Time (mins)]]/1440</f>
        <v>0.11041666666666666</v>
      </c>
      <c r="O736" s="2">
        <v>3</v>
      </c>
      <c r="P736" s="10">
        <v>33284</v>
      </c>
      <c r="Q736" s="17" t="str">
        <f>IF(AND(MediCare_Data[[#This Row],[Patient_Gender]]="Male", MediCare_Data[[#This Row],[Treatment_Type]]="Maternity"), "Gender-Treatment Mismatch", "Fine")</f>
        <v>Fine</v>
      </c>
      <c r="R736" s="10">
        <f>MediCare_Data[[#This Row],[Revenue_Generated]]-MediCare_Data[[#This Row],[Average_Treatment_Cost]]</f>
        <v>24165</v>
      </c>
      <c r="S736" s="3">
        <f>(MediCare_Data[[#This Row],[Profit]]/MediCare_Data[[#This Row],[Revenue_Generated]])</f>
        <v>0.72602451628410047</v>
      </c>
    </row>
    <row r="737" spans="1:19" x14ac:dyDescent="0.25">
      <c r="A737" t="s">
        <v>784</v>
      </c>
      <c r="B737" t="s">
        <v>49</v>
      </c>
      <c r="C737" t="s">
        <v>42</v>
      </c>
      <c r="D737" t="s">
        <v>21</v>
      </c>
      <c r="E737">
        <v>11</v>
      </c>
      <c r="F737" t="str">
        <f>IF(MediCare_Data[[#This Row],[Patient_Age]]&lt;=18,"0-18",IF(MediCare_Data[[#This Row],[Patient_Age]]&lt;=35,"19-35",IF(MediCare_Data[[#This Row],[Patient_Age]]&lt;=60,"36-60","60+")))</f>
        <v>0-18</v>
      </c>
      <c r="G737" t="s">
        <v>22</v>
      </c>
      <c r="H737" t="s">
        <v>51</v>
      </c>
      <c r="I737" s="2">
        <v>73</v>
      </c>
      <c r="J737" s="11">
        <v>2395</v>
      </c>
      <c r="K737" s="3">
        <v>14.753341369999999</v>
      </c>
      <c r="L737" s="3">
        <f t="shared" si="11"/>
        <v>0.1475334137</v>
      </c>
      <c r="M737">
        <v>57</v>
      </c>
      <c r="N737" s="6">
        <f>MediCare_Data[[#This Row],[Average_Wait_Time (mins)]]/1440</f>
        <v>3.9583333333333331E-2</v>
      </c>
      <c r="O737" s="2">
        <v>2</v>
      </c>
      <c r="P737" s="10">
        <v>47546</v>
      </c>
      <c r="Q737" s="17" t="str">
        <f>IF(AND(MediCare_Data[[#This Row],[Patient_Gender]]="Male", MediCare_Data[[#This Row],[Treatment_Type]]="Maternity"), "Gender-Treatment Mismatch", "Fine")</f>
        <v>Fine</v>
      </c>
      <c r="R737" s="10">
        <f>MediCare_Data[[#This Row],[Revenue_Generated]]-MediCare_Data[[#This Row],[Average_Treatment_Cost]]</f>
        <v>45151</v>
      </c>
      <c r="S737" s="3">
        <f>(MediCare_Data[[#This Row],[Profit]]/MediCare_Data[[#This Row],[Revenue_Generated]])</f>
        <v>0.94962772893618808</v>
      </c>
    </row>
    <row r="738" spans="1:19" x14ac:dyDescent="0.25">
      <c r="A738" t="s">
        <v>785</v>
      </c>
      <c r="B738" t="s">
        <v>58</v>
      </c>
      <c r="C738" t="s">
        <v>15</v>
      </c>
      <c r="D738" t="s">
        <v>16</v>
      </c>
      <c r="E738">
        <v>24</v>
      </c>
      <c r="F738" t="str">
        <f>IF(MediCare_Data[[#This Row],[Patient_Age]]&lt;=18,"0-18",IF(MediCare_Data[[#This Row],[Patient_Age]]&lt;=35,"19-35",IF(MediCare_Data[[#This Row],[Patient_Age]]&lt;=60,"36-60","60+")))</f>
        <v>19-35</v>
      </c>
      <c r="G738" t="s">
        <v>17</v>
      </c>
      <c r="H738" t="s">
        <v>23</v>
      </c>
      <c r="I738" s="2">
        <v>77</v>
      </c>
      <c r="J738" s="11">
        <v>6590</v>
      </c>
      <c r="K738" s="3">
        <v>18.04448519</v>
      </c>
      <c r="L738" s="3">
        <f t="shared" si="11"/>
        <v>0.18044485190000001</v>
      </c>
      <c r="M738">
        <v>158</v>
      </c>
      <c r="N738" s="6">
        <f>MediCare_Data[[#This Row],[Average_Wait_Time (mins)]]/1440</f>
        <v>0.10972222222222222</v>
      </c>
      <c r="O738" s="2">
        <v>4</v>
      </c>
      <c r="P738" s="10">
        <v>8008</v>
      </c>
      <c r="Q738" s="17" t="str">
        <f>IF(AND(MediCare_Data[[#This Row],[Patient_Gender]]="Male", MediCare_Data[[#This Row],[Treatment_Type]]="Maternity"), "Gender-Treatment Mismatch", "Fine")</f>
        <v>Fine</v>
      </c>
      <c r="R738" s="10">
        <f>MediCare_Data[[#This Row],[Revenue_Generated]]-MediCare_Data[[#This Row],[Average_Treatment_Cost]]</f>
        <v>1418</v>
      </c>
      <c r="S738" s="3">
        <f>(MediCare_Data[[#This Row],[Profit]]/MediCare_Data[[#This Row],[Revenue_Generated]])</f>
        <v>0.17707292707292707</v>
      </c>
    </row>
    <row r="739" spans="1:19" x14ac:dyDescent="0.25">
      <c r="A739" t="s">
        <v>786</v>
      </c>
      <c r="B739" t="s">
        <v>28</v>
      </c>
      <c r="C739" t="s">
        <v>31</v>
      </c>
      <c r="D739" t="s">
        <v>32</v>
      </c>
      <c r="E739">
        <v>74</v>
      </c>
      <c r="F739" t="str">
        <f>IF(MediCare_Data[[#This Row],[Patient_Age]]&lt;=18,"0-18",IF(MediCare_Data[[#This Row],[Patient_Age]]&lt;=35,"19-35",IF(MediCare_Data[[#This Row],[Patient_Age]]&lt;=60,"36-60","60+")))</f>
        <v>60+</v>
      </c>
      <c r="G739" t="s">
        <v>26</v>
      </c>
      <c r="H739" t="s">
        <v>37</v>
      </c>
      <c r="I739" s="2">
        <v>57</v>
      </c>
      <c r="J739" s="11">
        <v>9008</v>
      </c>
      <c r="K739" s="3">
        <v>24.010621050000001</v>
      </c>
      <c r="L739" s="3">
        <f t="shared" si="11"/>
        <v>0.2401062105</v>
      </c>
      <c r="M739">
        <v>132</v>
      </c>
      <c r="N739" s="6">
        <f>MediCare_Data[[#This Row],[Average_Wait_Time (mins)]]/1440</f>
        <v>9.166666666666666E-2</v>
      </c>
      <c r="O739" s="2">
        <v>4</v>
      </c>
      <c r="P739" s="10">
        <v>49291</v>
      </c>
      <c r="Q739" s="17" t="str">
        <f>IF(AND(MediCare_Data[[#This Row],[Patient_Gender]]="Male", MediCare_Data[[#This Row],[Treatment_Type]]="Maternity"), "Gender-Treatment Mismatch", "Fine")</f>
        <v>Fine</v>
      </c>
      <c r="R739" s="10">
        <f>MediCare_Data[[#This Row],[Revenue_Generated]]-MediCare_Data[[#This Row],[Average_Treatment_Cost]]</f>
        <v>40283</v>
      </c>
      <c r="S739" s="3">
        <f>(MediCare_Data[[#This Row],[Profit]]/MediCare_Data[[#This Row],[Revenue_Generated]])</f>
        <v>0.81724858493436936</v>
      </c>
    </row>
    <row r="740" spans="1:19" x14ac:dyDescent="0.25">
      <c r="A740" t="s">
        <v>787</v>
      </c>
      <c r="B740" t="s">
        <v>35</v>
      </c>
      <c r="C740" t="s">
        <v>29</v>
      </c>
      <c r="D740" t="s">
        <v>16</v>
      </c>
      <c r="E740">
        <v>74</v>
      </c>
      <c r="F740" t="str">
        <f>IF(MediCare_Data[[#This Row],[Patient_Age]]&lt;=18,"0-18",IF(MediCare_Data[[#This Row],[Patient_Age]]&lt;=35,"19-35",IF(MediCare_Data[[#This Row],[Patient_Age]]&lt;=60,"36-60","60+")))</f>
        <v>60+</v>
      </c>
      <c r="G740" t="s">
        <v>26</v>
      </c>
      <c r="H740" t="s">
        <v>47</v>
      </c>
      <c r="I740" s="2">
        <v>77</v>
      </c>
      <c r="J740" s="11">
        <v>6582</v>
      </c>
      <c r="K740" s="3">
        <v>17.013021330000001</v>
      </c>
      <c r="L740" s="3">
        <f t="shared" si="11"/>
        <v>0.1701302133</v>
      </c>
      <c r="M740">
        <v>31</v>
      </c>
      <c r="N740" s="6">
        <f>MediCare_Data[[#This Row],[Average_Wait_Time (mins)]]/1440</f>
        <v>2.1527777777777778E-2</v>
      </c>
      <c r="O740" s="2">
        <v>3</v>
      </c>
      <c r="P740" s="10">
        <v>28405</v>
      </c>
      <c r="Q740" s="17" t="str">
        <f>IF(AND(MediCare_Data[[#This Row],[Patient_Gender]]="Male", MediCare_Data[[#This Row],[Treatment_Type]]="Maternity"), "Gender-Treatment Mismatch", "Fine")</f>
        <v>Fine</v>
      </c>
      <c r="R740" s="10">
        <f>MediCare_Data[[#This Row],[Revenue_Generated]]-MediCare_Data[[#This Row],[Average_Treatment_Cost]]</f>
        <v>21823</v>
      </c>
      <c r="S740" s="3">
        <f>(MediCare_Data[[#This Row],[Profit]]/MediCare_Data[[#This Row],[Revenue_Generated]])</f>
        <v>0.76828023235345888</v>
      </c>
    </row>
    <row r="741" spans="1:19" x14ac:dyDescent="0.25">
      <c r="A741" t="s">
        <v>788</v>
      </c>
      <c r="B741" t="s">
        <v>61</v>
      </c>
      <c r="C741" t="s">
        <v>15</v>
      </c>
      <c r="D741" t="s">
        <v>21</v>
      </c>
      <c r="E741">
        <v>65</v>
      </c>
      <c r="F741" t="str">
        <f>IF(MediCare_Data[[#This Row],[Patient_Age]]&lt;=18,"0-18",IF(MediCare_Data[[#This Row],[Patient_Age]]&lt;=35,"19-35",IF(MediCare_Data[[#This Row],[Patient_Age]]&lt;=60,"36-60","60+")))</f>
        <v>60+</v>
      </c>
      <c r="G741" t="s">
        <v>22</v>
      </c>
      <c r="H741" t="s">
        <v>51</v>
      </c>
      <c r="I741" s="2">
        <v>85</v>
      </c>
      <c r="J741" s="11">
        <v>1134</v>
      </c>
      <c r="K741" s="3">
        <v>19.87187832</v>
      </c>
      <c r="L741" s="3">
        <f t="shared" si="11"/>
        <v>0.1987187832</v>
      </c>
      <c r="M741">
        <v>109</v>
      </c>
      <c r="N741" s="6">
        <f>MediCare_Data[[#This Row],[Average_Wait_Time (mins)]]/1440</f>
        <v>7.5694444444444439E-2</v>
      </c>
      <c r="O741" s="2">
        <v>2</v>
      </c>
      <c r="P741" s="10">
        <v>37386</v>
      </c>
      <c r="Q741" s="17" t="str">
        <f>IF(AND(MediCare_Data[[#This Row],[Patient_Gender]]="Male", MediCare_Data[[#This Row],[Treatment_Type]]="Maternity"), "Gender-Treatment Mismatch", "Fine")</f>
        <v>Fine</v>
      </c>
      <c r="R741" s="10">
        <f>MediCare_Data[[#This Row],[Revenue_Generated]]-MediCare_Data[[#This Row],[Average_Treatment_Cost]]</f>
        <v>36252</v>
      </c>
      <c r="S741" s="3">
        <f>(MediCare_Data[[#This Row],[Profit]]/MediCare_Data[[#This Row],[Revenue_Generated]])</f>
        <v>0.96966779008184878</v>
      </c>
    </row>
    <row r="742" spans="1:19" x14ac:dyDescent="0.25">
      <c r="A742" t="s">
        <v>789</v>
      </c>
      <c r="B742" t="s">
        <v>45</v>
      </c>
      <c r="C742" t="s">
        <v>46</v>
      </c>
      <c r="D742" t="s">
        <v>21</v>
      </c>
      <c r="E742">
        <v>53</v>
      </c>
      <c r="F742" t="str">
        <f>IF(MediCare_Data[[#This Row],[Patient_Age]]&lt;=18,"0-18",IF(MediCare_Data[[#This Row],[Patient_Age]]&lt;=35,"19-35",IF(MediCare_Data[[#This Row],[Patient_Age]]&lt;=60,"36-60","60+")))</f>
        <v>36-60</v>
      </c>
      <c r="G742" t="s">
        <v>17</v>
      </c>
      <c r="H742" t="s">
        <v>47</v>
      </c>
      <c r="I742" s="2">
        <v>75</v>
      </c>
      <c r="J742" s="11">
        <v>2425</v>
      </c>
      <c r="K742" s="3">
        <v>15.125321189999999</v>
      </c>
      <c r="L742" s="3">
        <f t="shared" si="11"/>
        <v>0.15125321189999999</v>
      </c>
      <c r="M742">
        <v>107</v>
      </c>
      <c r="N742" s="6">
        <f>MediCare_Data[[#This Row],[Average_Wait_Time (mins)]]/1440</f>
        <v>7.4305555555555555E-2</v>
      </c>
      <c r="O742" s="2">
        <v>3</v>
      </c>
      <c r="P742" s="10">
        <v>26373</v>
      </c>
      <c r="Q742" s="17" t="str">
        <f>IF(AND(MediCare_Data[[#This Row],[Patient_Gender]]="Male", MediCare_Data[[#This Row],[Treatment_Type]]="Maternity"), "Gender-Treatment Mismatch", "Fine")</f>
        <v>Fine</v>
      </c>
      <c r="R742" s="10">
        <f>MediCare_Data[[#This Row],[Revenue_Generated]]-MediCare_Data[[#This Row],[Average_Treatment_Cost]]</f>
        <v>23948</v>
      </c>
      <c r="S742" s="3">
        <f>(MediCare_Data[[#This Row],[Profit]]/MediCare_Data[[#This Row],[Revenue_Generated]])</f>
        <v>0.90804989951844695</v>
      </c>
    </row>
    <row r="743" spans="1:19" x14ac:dyDescent="0.25">
      <c r="A743" t="s">
        <v>790</v>
      </c>
      <c r="B743" t="s">
        <v>74</v>
      </c>
      <c r="C743" t="s">
        <v>46</v>
      </c>
      <c r="D743" t="s">
        <v>32</v>
      </c>
      <c r="E743">
        <v>77</v>
      </c>
      <c r="F743" t="str">
        <f>IF(MediCare_Data[[#This Row],[Patient_Age]]&lt;=18,"0-18",IF(MediCare_Data[[#This Row],[Patient_Age]]&lt;=35,"19-35",IF(MediCare_Data[[#This Row],[Patient_Age]]&lt;=60,"36-60","60+")))</f>
        <v>60+</v>
      </c>
      <c r="G743" t="s">
        <v>26</v>
      </c>
      <c r="H743" t="s">
        <v>23</v>
      </c>
      <c r="I743" s="2">
        <v>57</v>
      </c>
      <c r="J743" s="11">
        <v>2556</v>
      </c>
      <c r="K743" s="3">
        <v>17.682080630000002</v>
      </c>
      <c r="L743" s="3">
        <f t="shared" si="11"/>
        <v>0.17682080630000002</v>
      </c>
      <c r="M743">
        <v>167</v>
      </c>
      <c r="N743" s="6">
        <f>MediCare_Data[[#This Row],[Average_Wait_Time (mins)]]/1440</f>
        <v>0.11597222222222223</v>
      </c>
      <c r="O743" s="2">
        <v>3</v>
      </c>
      <c r="P743" s="10">
        <v>21827</v>
      </c>
      <c r="Q743" s="17" t="str">
        <f>IF(AND(MediCare_Data[[#This Row],[Patient_Gender]]="Male", MediCare_Data[[#This Row],[Treatment_Type]]="Maternity"), "Gender-Treatment Mismatch", "Fine")</f>
        <v>Fine</v>
      </c>
      <c r="R743" s="10">
        <f>MediCare_Data[[#This Row],[Revenue_Generated]]-MediCare_Data[[#This Row],[Average_Treatment_Cost]]</f>
        <v>19271</v>
      </c>
      <c r="S743" s="3">
        <f>(MediCare_Data[[#This Row],[Profit]]/MediCare_Data[[#This Row],[Revenue_Generated]])</f>
        <v>0.88289732899619733</v>
      </c>
    </row>
    <row r="744" spans="1:19" x14ac:dyDescent="0.25">
      <c r="A744" t="s">
        <v>791</v>
      </c>
      <c r="B744" t="s">
        <v>64</v>
      </c>
      <c r="C744" t="s">
        <v>42</v>
      </c>
      <c r="D744" t="s">
        <v>16</v>
      </c>
      <c r="E744">
        <v>42</v>
      </c>
      <c r="F744" t="str">
        <f>IF(MediCare_Data[[#This Row],[Patient_Age]]&lt;=18,"0-18",IF(MediCare_Data[[#This Row],[Patient_Age]]&lt;=35,"19-35",IF(MediCare_Data[[#This Row],[Patient_Age]]&lt;=60,"36-60","60+")))</f>
        <v>36-60</v>
      </c>
      <c r="G744" t="s">
        <v>22</v>
      </c>
      <c r="H744" t="s">
        <v>18</v>
      </c>
      <c r="I744" s="2">
        <v>99</v>
      </c>
      <c r="J744" s="11">
        <v>7417</v>
      </c>
      <c r="K744" s="3">
        <v>6.4186443229999997</v>
      </c>
      <c r="L744" s="3">
        <f t="shared" si="11"/>
        <v>6.4186443230000001E-2</v>
      </c>
      <c r="M744">
        <v>34</v>
      </c>
      <c r="N744" s="6">
        <f>MediCare_Data[[#This Row],[Average_Wait_Time (mins)]]/1440</f>
        <v>2.361111111111111E-2</v>
      </c>
      <c r="O744" s="2">
        <v>1</v>
      </c>
      <c r="P744" s="10">
        <v>34040</v>
      </c>
      <c r="Q744" s="17" t="str">
        <f>IF(AND(MediCare_Data[[#This Row],[Patient_Gender]]="Male", MediCare_Data[[#This Row],[Treatment_Type]]="Maternity"), "Gender-Treatment Mismatch", "Fine")</f>
        <v>Fine</v>
      </c>
      <c r="R744" s="10">
        <f>MediCare_Data[[#This Row],[Revenue_Generated]]-MediCare_Data[[#This Row],[Average_Treatment_Cost]]</f>
        <v>26623</v>
      </c>
      <c r="S744" s="3">
        <f>(MediCare_Data[[#This Row],[Profit]]/MediCare_Data[[#This Row],[Revenue_Generated]])</f>
        <v>0.78210928319623974</v>
      </c>
    </row>
    <row r="745" spans="1:19" x14ac:dyDescent="0.25">
      <c r="A745" t="s">
        <v>792</v>
      </c>
      <c r="B745" t="s">
        <v>82</v>
      </c>
      <c r="C745" t="s">
        <v>29</v>
      </c>
      <c r="D745" t="s">
        <v>21</v>
      </c>
      <c r="E745">
        <v>82</v>
      </c>
      <c r="F745" t="str">
        <f>IF(MediCare_Data[[#This Row],[Patient_Age]]&lt;=18,"0-18",IF(MediCare_Data[[#This Row],[Patient_Age]]&lt;=35,"19-35",IF(MediCare_Data[[#This Row],[Patient_Age]]&lt;=60,"36-60","60+")))</f>
        <v>60+</v>
      </c>
      <c r="G745" t="s">
        <v>43</v>
      </c>
      <c r="H745" t="s">
        <v>51</v>
      </c>
      <c r="I745" s="2">
        <v>77</v>
      </c>
      <c r="J745" s="11">
        <v>3644</v>
      </c>
      <c r="K745" s="3">
        <v>10.087831619999999</v>
      </c>
      <c r="L745" s="3">
        <f t="shared" si="11"/>
        <v>0.1008783162</v>
      </c>
      <c r="M745">
        <v>37</v>
      </c>
      <c r="N745" s="6">
        <f>MediCare_Data[[#This Row],[Average_Wait_Time (mins)]]/1440</f>
        <v>2.5694444444444443E-2</v>
      </c>
      <c r="O745" s="2">
        <v>3</v>
      </c>
      <c r="P745" s="10">
        <v>14007</v>
      </c>
      <c r="Q745" s="17" t="str">
        <f>IF(AND(MediCare_Data[[#This Row],[Patient_Gender]]="Male", MediCare_Data[[#This Row],[Treatment_Type]]="Maternity"), "Gender-Treatment Mismatch", "Fine")</f>
        <v>Fine</v>
      </c>
      <c r="R745" s="10">
        <f>MediCare_Data[[#This Row],[Revenue_Generated]]-MediCare_Data[[#This Row],[Average_Treatment_Cost]]</f>
        <v>10363</v>
      </c>
      <c r="S745" s="3">
        <f>(MediCare_Data[[#This Row],[Profit]]/MediCare_Data[[#This Row],[Revenue_Generated]])</f>
        <v>0.73984436353251948</v>
      </c>
    </row>
    <row r="746" spans="1:19" x14ac:dyDescent="0.25">
      <c r="A746" t="s">
        <v>793</v>
      </c>
      <c r="B746" t="s">
        <v>74</v>
      </c>
      <c r="C746" t="s">
        <v>20</v>
      </c>
      <c r="D746" t="s">
        <v>16</v>
      </c>
      <c r="E746">
        <v>41</v>
      </c>
      <c r="F746" t="str">
        <f>IF(MediCare_Data[[#This Row],[Patient_Age]]&lt;=18,"0-18",IF(MediCare_Data[[#This Row],[Patient_Age]]&lt;=35,"19-35",IF(MediCare_Data[[#This Row],[Patient_Age]]&lt;=60,"36-60","60+")))</f>
        <v>36-60</v>
      </c>
      <c r="G746" t="s">
        <v>22</v>
      </c>
      <c r="H746" t="s">
        <v>33</v>
      </c>
      <c r="I746" s="2">
        <v>77</v>
      </c>
      <c r="J746" s="11">
        <v>1052</v>
      </c>
      <c r="K746" s="3">
        <v>12.237061860000001</v>
      </c>
      <c r="L746" s="3">
        <f t="shared" si="11"/>
        <v>0.12237061860000001</v>
      </c>
      <c r="M746">
        <v>122</v>
      </c>
      <c r="N746" s="6">
        <f>MediCare_Data[[#This Row],[Average_Wait_Time (mins)]]/1440</f>
        <v>8.4722222222222227E-2</v>
      </c>
      <c r="O746" s="2">
        <v>1</v>
      </c>
      <c r="P746" s="10">
        <v>19157</v>
      </c>
      <c r="Q746" s="17" t="str">
        <f>IF(AND(MediCare_Data[[#This Row],[Patient_Gender]]="Male", MediCare_Data[[#This Row],[Treatment_Type]]="Maternity"), "Gender-Treatment Mismatch", "Fine")</f>
        <v>Fine</v>
      </c>
      <c r="R746" s="10">
        <f>MediCare_Data[[#This Row],[Revenue_Generated]]-MediCare_Data[[#This Row],[Average_Treatment_Cost]]</f>
        <v>18105</v>
      </c>
      <c r="S746" s="3">
        <f>(MediCare_Data[[#This Row],[Profit]]/MediCare_Data[[#This Row],[Revenue_Generated]])</f>
        <v>0.94508534739259797</v>
      </c>
    </row>
    <row r="747" spans="1:19" x14ac:dyDescent="0.25">
      <c r="A747" t="s">
        <v>794</v>
      </c>
      <c r="B747" t="s">
        <v>39</v>
      </c>
      <c r="C747" t="s">
        <v>46</v>
      </c>
      <c r="D747" t="s">
        <v>21</v>
      </c>
      <c r="E747">
        <v>90</v>
      </c>
      <c r="F747" t="str">
        <f>IF(MediCare_Data[[#This Row],[Patient_Age]]&lt;=18,"0-18",IF(MediCare_Data[[#This Row],[Patient_Age]]&lt;=35,"19-35",IF(MediCare_Data[[#This Row],[Patient_Age]]&lt;=60,"36-60","60+")))</f>
        <v>60+</v>
      </c>
      <c r="G747" t="s">
        <v>22</v>
      </c>
      <c r="H747" t="s">
        <v>37</v>
      </c>
      <c r="I747" s="2">
        <v>86</v>
      </c>
      <c r="J747" s="11">
        <v>9407</v>
      </c>
      <c r="K747" s="3">
        <v>14.449867100000001</v>
      </c>
      <c r="L747" s="3">
        <f t="shared" si="11"/>
        <v>0.144498671</v>
      </c>
      <c r="M747">
        <v>54</v>
      </c>
      <c r="N747" s="6">
        <f>MediCare_Data[[#This Row],[Average_Wait_Time (mins)]]/1440</f>
        <v>3.7499999999999999E-2</v>
      </c>
      <c r="O747" s="2">
        <v>1</v>
      </c>
      <c r="P747" s="10">
        <v>33157</v>
      </c>
      <c r="Q747" s="17" t="str">
        <f>IF(AND(MediCare_Data[[#This Row],[Patient_Gender]]="Male", MediCare_Data[[#This Row],[Treatment_Type]]="Maternity"), "Gender-Treatment Mismatch", "Fine")</f>
        <v>Fine</v>
      </c>
      <c r="R747" s="10">
        <f>MediCare_Data[[#This Row],[Revenue_Generated]]-MediCare_Data[[#This Row],[Average_Treatment_Cost]]</f>
        <v>23750</v>
      </c>
      <c r="S747" s="3">
        <f>(MediCare_Data[[#This Row],[Profit]]/MediCare_Data[[#This Row],[Revenue_Generated]])</f>
        <v>0.71628916970775403</v>
      </c>
    </row>
    <row r="748" spans="1:19" x14ac:dyDescent="0.25">
      <c r="A748" t="s">
        <v>795</v>
      </c>
      <c r="B748" t="s">
        <v>41</v>
      </c>
      <c r="C748" t="s">
        <v>54</v>
      </c>
      <c r="D748" t="s">
        <v>32</v>
      </c>
      <c r="E748">
        <v>81</v>
      </c>
      <c r="F748" t="str">
        <f>IF(MediCare_Data[[#This Row],[Patient_Age]]&lt;=18,"0-18",IF(MediCare_Data[[#This Row],[Patient_Age]]&lt;=35,"19-35",IF(MediCare_Data[[#This Row],[Patient_Age]]&lt;=60,"36-60","60+")))</f>
        <v>60+</v>
      </c>
      <c r="G748" t="s">
        <v>26</v>
      </c>
      <c r="H748" t="s">
        <v>47</v>
      </c>
      <c r="I748" s="2">
        <v>90</v>
      </c>
      <c r="J748" s="11">
        <v>5883</v>
      </c>
      <c r="K748" s="3">
        <v>5.91297491</v>
      </c>
      <c r="L748" s="3">
        <f t="shared" si="11"/>
        <v>5.9129749099999997E-2</v>
      </c>
      <c r="M748">
        <v>77</v>
      </c>
      <c r="N748" s="6">
        <f>MediCare_Data[[#This Row],[Average_Wait_Time (mins)]]/1440</f>
        <v>5.347222222222222E-2</v>
      </c>
      <c r="O748" s="2">
        <v>4</v>
      </c>
      <c r="P748" s="10">
        <v>36315</v>
      </c>
      <c r="Q748" s="17" t="str">
        <f>IF(AND(MediCare_Data[[#This Row],[Patient_Gender]]="Male", MediCare_Data[[#This Row],[Treatment_Type]]="Maternity"), "Gender-Treatment Mismatch", "Fine")</f>
        <v>Fine</v>
      </c>
      <c r="R748" s="10">
        <f>MediCare_Data[[#This Row],[Revenue_Generated]]-MediCare_Data[[#This Row],[Average_Treatment_Cost]]</f>
        <v>30432</v>
      </c>
      <c r="S748" s="3">
        <f>(MediCare_Data[[#This Row],[Profit]]/MediCare_Data[[#This Row],[Revenue_Generated]])</f>
        <v>0.83800082610491533</v>
      </c>
    </row>
    <row r="749" spans="1:19" x14ac:dyDescent="0.25">
      <c r="A749" t="s">
        <v>796</v>
      </c>
      <c r="B749" t="s">
        <v>82</v>
      </c>
      <c r="C749" t="s">
        <v>29</v>
      </c>
      <c r="D749" t="s">
        <v>16</v>
      </c>
      <c r="E749">
        <v>39</v>
      </c>
      <c r="F749" t="str">
        <f>IF(MediCare_Data[[#This Row],[Patient_Age]]&lt;=18,"0-18",IF(MediCare_Data[[#This Row],[Patient_Age]]&lt;=35,"19-35",IF(MediCare_Data[[#This Row],[Patient_Age]]&lt;=60,"36-60","60+")))</f>
        <v>36-60</v>
      </c>
      <c r="G749" t="s">
        <v>17</v>
      </c>
      <c r="H749" t="s">
        <v>23</v>
      </c>
      <c r="I749" s="2">
        <v>85</v>
      </c>
      <c r="J749" s="11">
        <v>4411</v>
      </c>
      <c r="K749" s="3">
        <v>7.8004819510000001</v>
      </c>
      <c r="L749" s="3">
        <f t="shared" si="11"/>
        <v>7.8004819510000004E-2</v>
      </c>
      <c r="M749">
        <v>16</v>
      </c>
      <c r="N749" s="6">
        <f>MediCare_Data[[#This Row],[Average_Wait_Time (mins)]]/1440</f>
        <v>1.1111111111111112E-2</v>
      </c>
      <c r="O749" s="2">
        <v>1</v>
      </c>
      <c r="P749" s="10">
        <v>36932</v>
      </c>
      <c r="Q749" s="17" t="str">
        <f>IF(AND(MediCare_Data[[#This Row],[Patient_Gender]]="Male", MediCare_Data[[#This Row],[Treatment_Type]]="Maternity"), "Gender-Treatment Mismatch", "Fine")</f>
        <v>Fine</v>
      </c>
      <c r="R749" s="10">
        <f>MediCare_Data[[#This Row],[Revenue_Generated]]-MediCare_Data[[#This Row],[Average_Treatment_Cost]]</f>
        <v>32521</v>
      </c>
      <c r="S749" s="3">
        <f>(MediCare_Data[[#This Row],[Profit]]/MediCare_Data[[#This Row],[Revenue_Generated]])</f>
        <v>0.88056428029892775</v>
      </c>
    </row>
    <row r="750" spans="1:19" x14ac:dyDescent="0.25">
      <c r="A750" t="s">
        <v>797</v>
      </c>
      <c r="B750" t="s">
        <v>39</v>
      </c>
      <c r="C750" t="s">
        <v>20</v>
      </c>
      <c r="D750" t="s">
        <v>32</v>
      </c>
      <c r="E750">
        <v>75</v>
      </c>
      <c r="F750" t="str">
        <f>IF(MediCare_Data[[#This Row],[Patient_Age]]&lt;=18,"0-18",IF(MediCare_Data[[#This Row],[Patient_Age]]&lt;=35,"19-35",IF(MediCare_Data[[#This Row],[Patient_Age]]&lt;=60,"36-60","60+")))</f>
        <v>60+</v>
      </c>
      <c r="G750" t="s">
        <v>43</v>
      </c>
      <c r="H750" t="s">
        <v>51</v>
      </c>
      <c r="I750" s="2">
        <v>76</v>
      </c>
      <c r="J750" s="11">
        <v>3889</v>
      </c>
      <c r="K750" s="3">
        <v>10.53628616</v>
      </c>
      <c r="L750" s="3">
        <f t="shared" si="11"/>
        <v>0.1053628616</v>
      </c>
      <c r="M750">
        <v>58</v>
      </c>
      <c r="N750" s="6">
        <f>MediCare_Data[[#This Row],[Average_Wait_Time (mins)]]/1440</f>
        <v>4.027777777777778E-2</v>
      </c>
      <c r="O750" s="2">
        <v>1</v>
      </c>
      <c r="P750" s="10">
        <v>22164</v>
      </c>
      <c r="Q750" s="17" t="str">
        <f>IF(AND(MediCare_Data[[#This Row],[Patient_Gender]]="Male", MediCare_Data[[#This Row],[Treatment_Type]]="Maternity"), "Gender-Treatment Mismatch", "Fine")</f>
        <v>Fine</v>
      </c>
      <c r="R750" s="10">
        <f>MediCare_Data[[#This Row],[Revenue_Generated]]-MediCare_Data[[#This Row],[Average_Treatment_Cost]]</f>
        <v>18275</v>
      </c>
      <c r="S750" s="3">
        <f>(MediCare_Data[[#This Row],[Profit]]/MediCare_Data[[#This Row],[Revenue_Generated]])</f>
        <v>0.82453528243999274</v>
      </c>
    </row>
    <row r="751" spans="1:19" x14ac:dyDescent="0.25">
      <c r="A751" t="s">
        <v>798</v>
      </c>
      <c r="B751" t="s">
        <v>35</v>
      </c>
      <c r="C751" t="s">
        <v>42</v>
      </c>
      <c r="D751" t="s">
        <v>16</v>
      </c>
      <c r="E751">
        <v>72</v>
      </c>
      <c r="F751" t="str">
        <f>IF(MediCare_Data[[#This Row],[Patient_Age]]&lt;=18,"0-18",IF(MediCare_Data[[#This Row],[Patient_Age]]&lt;=35,"19-35",IF(MediCare_Data[[#This Row],[Patient_Age]]&lt;=60,"36-60","60+")))</f>
        <v>60+</v>
      </c>
      <c r="G751" t="s">
        <v>22</v>
      </c>
      <c r="H751" t="s">
        <v>18</v>
      </c>
      <c r="I751" s="2">
        <v>66</v>
      </c>
      <c r="J751" s="11">
        <v>9799</v>
      </c>
      <c r="K751" s="3">
        <v>24.43065382</v>
      </c>
      <c r="L751" s="3">
        <f t="shared" si="11"/>
        <v>0.24430653820000001</v>
      </c>
      <c r="M751">
        <v>146</v>
      </c>
      <c r="N751" s="6">
        <f>MediCare_Data[[#This Row],[Average_Wait_Time (mins)]]/1440</f>
        <v>0.10138888888888889</v>
      </c>
      <c r="O751" s="2">
        <v>4</v>
      </c>
      <c r="P751" s="10">
        <v>15414</v>
      </c>
      <c r="Q751" s="17" t="str">
        <f>IF(AND(MediCare_Data[[#This Row],[Patient_Gender]]="Male", MediCare_Data[[#This Row],[Treatment_Type]]="Maternity"), "Gender-Treatment Mismatch", "Fine")</f>
        <v>Fine</v>
      </c>
      <c r="R751" s="10">
        <f>MediCare_Data[[#This Row],[Revenue_Generated]]-MediCare_Data[[#This Row],[Average_Treatment_Cost]]</f>
        <v>5615</v>
      </c>
      <c r="S751" s="3">
        <f>(MediCare_Data[[#This Row],[Profit]]/MediCare_Data[[#This Row],[Revenue_Generated]])</f>
        <v>0.36427922667704682</v>
      </c>
    </row>
    <row r="752" spans="1:19" x14ac:dyDescent="0.25">
      <c r="A752" t="s">
        <v>799</v>
      </c>
      <c r="B752" t="s">
        <v>14</v>
      </c>
      <c r="C752" t="s">
        <v>42</v>
      </c>
      <c r="D752" t="s">
        <v>32</v>
      </c>
      <c r="E752">
        <v>16</v>
      </c>
      <c r="F752" t="str">
        <f>IF(MediCare_Data[[#This Row],[Patient_Age]]&lt;=18,"0-18",IF(MediCare_Data[[#This Row],[Patient_Age]]&lt;=35,"19-35",IF(MediCare_Data[[#This Row],[Patient_Age]]&lt;=60,"36-60","60+")))</f>
        <v>0-18</v>
      </c>
      <c r="G752" t="s">
        <v>43</v>
      </c>
      <c r="H752" t="s">
        <v>51</v>
      </c>
      <c r="I752" s="2">
        <v>58</v>
      </c>
      <c r="J752" s="11">
        <v>8942</v>
      </c>
      <c r="K752" s="3">
        <v>11.62694014</v>
      </c>
      <c r="L752" s="3">
        <f t="shared" si="11"/>
        <v>0.1162694014</v>
      </c>
      <c r="M752">
        <v>173</v>
      </c>
      <c r="N752" s="6">
        <f>MediCare_Data[[#This Row],[Average_Wait_Time (mins)]]/1440</f>
        <v>0.12013888888888889</v>
      </c>
      <c r="O752" s="2">
        <v>3</v>
      </c>
      <c r="P752" s="10">
        <v>15327</v>
      </c>
      <c r="Q752" s="17" t="str">
        <f>IF(AND(MediCare_Data[[#This Row],[Patient_Gender]]="Male", MediCare_Data[[#This Row],[Treatment_Type]]="Maternity"), "Gender-Treatment Mismatch", "Fine")</f>
        <v>Fine</v>
      </c>
      <c r="R752" s="10">
        <f>MediCare_Data[[#This Row],[Revenue_Generated]]-MediCare_Data[[#This Row],[Average_Treatment_Cost]]</f>
        <v>6385</v>
      </c>
      <c r="S752" s="3">
        <f>(MediCare_Data[[#This Row],[Profit]]/MediCare_Data[[#This Row],[Revenue_Generated]])</f>
        <v>0.4165851112415998</v>
      </c>
    </row>
    <row r="753" spans="1:19" x14ac:dyDescent="0.25">
      <c r="A753" t="s">
        <v>800</v>
      </c>
      <c r="B753" t="s">
        <v>64</v>
      </c>
      <c r="C753" t="s">
        <v>36</v>
      </c>
      <c r="D753" t="s">
        <v>21</v>
      </c>
      <c r="E753">
        <v>52</v>
      </c>
      <c r="F753" t="str">
        <f>IF(MediCare_Data[[#This Row],[Patient_Age]]&lt;=18,"0-18",IF(MediCare_Data[[#This Row],[Patient_Age]]&lt;=35,"19-35",IF(MediCare_Data[[#This Row],[Patient_Age]]&lt;=60,"36-60","60+")))</f>
        <v>36-60</v>
      </c>
      <c r="G753" t="s">
        <v>17</v>
      </c>
      <c r="H753" t="s">
        <v>18</v>
      </c>
      <c r="I753" s="2">
        <v>82</v>
      </c>
      <c r="J753" s="11">
        <v>2930</v>
      </c>
      <c r="K753" s="3">
        <v>14.64082116</v>
      </c>
      <c r="L753" s="3">
        <f t="shared" si="11"/>
        <v>0.1464082116</v>
      </c>
      <c r="M753">
        <v>92</v>
      </c>
      <c r="N753" s="6">
        <f>MediCare_Data[[#This Row],[Average_Wait_Time (mins)]]/1440</f>
        <v>6.3888888888888884E-2</v>
      </c>
      <c r="O753" s="2">
        <v>2</v>
      </c>
      <c r="P753" s="10">
        <v>49344</v>
      </c>
      <c r="Q753" s="17" t="str">
        <f>IF(AND(MediCare_Data[[#This Row],[Patient_Gender]]="Male", MediCare_Data[[#This Row],[Treatment_Type]]="Maternity"), "Gender-Treatment Mismatch", "Fine")</f>
        <v>Fine</v>
      </c>
      <c r="R753" s="10">
        <f>MediCare_Data[[#This Row],[Revenue_Generated]]-MediCare_Data[[#This Row],[Average_Treatment_Cost]]</f>
        <v>46414</v>
      </c>
      <c r="S753" s="3">
        <f>(MediCare_Data[[#This Row],[Profit]]/MediCare_Data[[#This Row],[Revenue_Generated]])</f>
        <v>0.94062094682230868</v>
      </c>
    </row>
    <row r="754" spans="1:19" x14ac:dyDescent="0.25">
      <c r="A754" t="s">
        <v>801</v>
      </c>
      <c r="B754" t="s">
        <v>82</v>
      </c>
      <c r="C754" t="s">
        <v>46</v>
      </c>
      <c r="D754" t="s">
        <v>21</v>
      </c>
      <c r="E754">
        <v>41</v>
      </c>
      <c r="F754" t="str">
        <f>IF(MediCare_Data[[#This Row],[Patient_Age]]&lt;=18,"0-18",IF(MediCare_Data[[#This Row],[Patient_Age]]&lt;=35,"19-35",IF(MediCare_Data[[#This Row],[Patient_Age]]&lt;=60,"36-60","60+")))</f>
        <v>36-60</v>
      </c>
      <c r="G754" t="s">
        <v>43</v>
      </c>
      <c r="H754" t="s">
        <v>23</v>
      </c>
      <c r="I754" s="2">
        <v>69</v>
      </c>
      <c r="J754" s="11">
        <v>958</v>
      </c>
      <c r="K754" s="3">
        <v>8.9219542549999993</v>
      </c>
      <c r="L754" s="3">
        <f t="shared" si="11"/>
        <v>8.9219542549999989E-2</v>
      </c>
      <c r="M754">
        <v>138</v>
      </c>
      <c r="N754" s="6">
        <f>MediCare_Data[[#This Row],[Average_Wait_Time (mins)]]/1440</f>
        <v>9.583333333333334E-2</v>
      </c>
      <c r="O754" s="2">
        <v>2</v>
      </c>
      <c r="P754" s="10">
        <v>1946</v>
      </c>
      <c r="Q754" s="17" t="str">
        <f>IF(AND(MediCare_Data[[#This Row],[Patient_Gender]]="Male", MediCare_Data[[#This Row],[Treatment_Type]]="Maternity"), "Gender-Treatment Mismatch", "Fine")</f>
        <v>Fine</v>
      </c>
      <c r="R754" s="10">
        <f>MediCare_Data[[#This Row],[Revenue_Generated]]-MediCare_Data[[#This Row],[Average_Treatment_Cost]]</f>
        <v>988</v>
      </c>
      <c r="S754" s="3">
        <f>(MediCare_Data[[#This Row],[Profit]]/MediCare_Data[[#This Row],[Revenue_Generated]])</f>
        <v>0.50770811921891057</v>
      </c>
    </row>
    <row r="755" spans="1:19" x14ac:dyDescent="0.25">
      <c r="A755" t="s">
        <v>802</v>
      </c>
      <c r="B755" t="s">
        <v>61</v>
      </c>
      <c r="C755" t="s">
        <v>15</v>
      </c>
      <c r="D755" t="s">
        <v>16</v>
      </c>
      <c r="E755">
        <v>64</v>
      </c>
      <c r="F755" t="str">
        <f>IF(MediCare_Data[[#This Row],[Patient_Age]]&lt;=18,"0-18",IF(MediCare_Data[[#This Row],[Patient_Age]]&lt;=35,"19-35",IF(MediCare_Data[[#This Row],[Patient_Age]]&lt;=60,"36-60","60+")))</f>
        <v>60+</v>
      </c>
      <c r="G755" t="s">
        <v>43</v>
      </c>
      <c r="H755" t="s">
        <v>47</v>
      </c>
      <c r="I755" s="2">
        <v>62</v>
      </c>
      <c r="J755" s="11">
        <v>707</v>
      </c>
      <c r="K755" s="3">
        <v>17.215601419999999</v>
      </c>
      <c r="L755" s="3">
        <f t="shared" si="11"/>
        <v>0.17215601419999998</v>
      </c>
      <c r="M755">
        <v>147</v>
      </c>
      <c r="N755" s="6">
        <f>MediCare_Data[[#This Row],[Average_Wait_Time (mins)]]/1440</f>
        <v>0.10208333333333333</v>
      </c>
      <c r="O755" s="2">
        <v>2</v>
      </c>
      <c r="P755" s="10">
        <v>15693</v>
      </c>
      <c r="Q755" s="17" t="str">
        <f>IF(AND(MediCare_Data[[#This Row],[Patient_Gender]]="Male", MediCare_Data[[#This Row],[Treatment_Type]]="Maternity"), "Gender-Treatment Mismatch", "Fine")</f>
        <v>Fine</v>
      </c>
      <c r="R755" s="10">
        <f>MediCare_Data[[#This Row],[Revenue_Generated]]-MediCare_Data[[#This Row],[Average_Treatment_Cost]]</f>
        <v>14986</v>
      </c>
      <c r="S755" s="3">
        <f>(MediCare_Data[[#This Row],[Profit]]/MediCare_Data[[#This Row],[Revenue_Generated]])</f>
        <v>0.95494806601669535</v>
      </c>
    </row>
    <row r="756" spans="1:19" x14ac:dyDescent="0.25">
      <c r="A756" t="s">
        <v>803</v>
      </c>
      <c r="B756" t="s">
        <v>61</v>
      </c>
      <c r="C756" t="s">
        <v>54</v>
      </c>
      <c r="D756" t="s">
        <v>32</v>
      </c>
      <c r="E756">
        <v>37</v>
      </c>
      <c r="F756" t="str">
        <f>IF(MediCare_Data[[#This Row],[Patient_Age]]&lt;=18,"0-18",IF(MediCare_Data[[#This Row],[Patient_Age]]&lt;=35,"19-35",IF(MediCare_Data[[#This Row],[Patient_Age]]&lt;=60,"36-60","60+")))</f>
        <v>36-60</v>
      </c>
      <c r="G756" t="s">
        <v>26</v>
      </c>
      <c r="H756" t="s">
        <v>51</v>
      </c>
      <c r="I756" s="2">
        <v>77</v>
      </c>
      <c r="J756" s="11">
        <v>1399</v>
      </c>
      <c r="K756" s="3">
        <v>10.613664310000001</v>
      </c>
      <c r="L756" s="3">
        <f t="shared" si="11"/>
        <v>0.10613664310000001</v>
      </c>
      <c r="M756">
        <v>173</v>
      </c>
      <c r="N756" s="6">
        <f>MediCare_Data[[#This Row],[Average_Wait_Time (mins)]]/1440</f>
        <v>0.12013888888888889</v>
      </c>
      <c r="O756" s="2">
        <v>3</v>
      </c>
      <c r="P756" s="10">
        <v>28241</v>
      </c>
      <c r="Q756" s="17" t="str">
        <f>IF(AND(MediCare_Data[[#This Row],[Patient_Gender]]="Male", MediCare_Data[[#This Row],[Treatment_Type]]="Maternity"), "Gender-Treatment Mismatch", "Fine")</f>
        <v>Fine</v>
      </c>
      <c r="R756" s="10">
        <f>MediCare_Data[[#This Row],[Revenue_Generated]]-MediCare_Data[[#This Row],[Average_Treatment_Cost]]</f>
        <v>26842</v>
      </c>
      <c r="S756" s="3">
        <f>(MediCare_Data[[#This Row],[Profit]]/MediCare_Data[[#This Row],[Revenue_Generated]])</f>
        <v>0.95046209411848026</v>
      </c>
    </row>
    <row r="757" spans="1:19" x14ac:dyDescent="0.25">
      <c r="A757" t="s">
        <v>804</v>
      </c>
      <c r="B757" t="s">
        <v>35</v>
      </c>
      <c r="C757" t="s">
        <v>20</v>
      </c>
      <c r="D757" t="s">
        <v>21</v>
      </c>
      <c r="E757">
        <v>75</v>
      </c>
      <c r="F757" t="str">
        <f>IF(MediCare_Data[[#This Row],[Patient_Age]]&lt;=18,"0-18",IF(MediCare_Data[[#This Row],[Patient_Age]]&lt;=35,"19-35",IF(MediCare_Data[[#This Row],[Patient_Age]]&lt;=60,"36-60","60+")))</f>
        <v>60+</v>
      </c>
      <c r="G757" t="s">
        <v>17</v>
      </c>
      <c r="H757" t="s">
        <v>33</v>
      </c>
      <c r="I757" s="2">
        <v>97</v>
      </c>
      <c r="J757" s="11">
        <v>521</v>
      </c>
      <c r="K757" s="3">
        <v>9.1398515689999993</v>
      </c>
      <c r="L757" s="3">
        <f t="shared" si="11"/>
        <v>9.1398515689999987E-2</v>
      </c>
      <c r="M757">
        <v>82</v>
      </c>
      <c r="N757" s="6">
        <f>MediCare_Data[[#This Row],[Average_Wait_Time (mins)]]/1440</f>
        <v>5.6944444444444443E-2</v>
      </c>
      <c r="O757" s="2">
        <v>1</v>
      </c>
      <c r="P757" s="10">
        <v>31254</v>
      </c>
      <c r="Q757" s="17" t="str">
        <f>IF(AND(MediCare_Data[[#This Row],[Patient_Gender]]="Male", MediCare_Data[[#This Row],[Treatment_Type]]="Maternity"), "Gender-Treatment Mismatch", "Fine")</f>
        <v>Fine</v>
      </c>
      <c r="R757" s="10">
        <f>MediCare_Data[[#This Row],[Revenue_Generated]]-MediCare_Data[[#This Row],[Average_Treatment_Cost]]</f>
        <v>30733</v>
      </c>
      <c r="S757" s="3">
        <f>(MediCare_Data[[#This Row],[Profit]]/MediCare_Data[[#This Row],[Revenue_Generated]])</f>
        <v>0.98333013374288092</v>
      </c>
    </row>
    <row r="758" spans="1:19" x14ac:dyDescent="0.25">
      <c r="A758" t="s">
        <v>805</v>
      </c>
      <c r="B758" t="s">
        <v>53</v>
      </c>
      <c r="C758" t="s">
        <v>46</v>
      </c>
      <c r="D758" t="s">
        <v>32</v>
      </c>
      <c r="E758">
        <v>29</v>
      </c>
      <c r="F758" t="str">
        <f>IF(MediCare_Data[[#This Row],[Patient_Age]]&lt;=18,"0-18",IF(MediCare_Data[[#This Row],[Patient_Age]]&lt;=35,"19-35",IF(MediCare_Data[[#This Row],[Patient_Age]]&lt;=60,"36-60","60+")))</f>
        <v>19-35</v>
      </c>
      <c r="G758" t="s">
        <v>22</v>
      </c>
      <c r="H758" t="s">
        <v>51</v>
      </c>
      <c r="I758" s="2">
        <v>78</v>
      </c>
      <c r="J758" s="11">
        <v>9101</v>
      </c>
      <c r="K758" s="3">
        <v>15.33145257</v>
      </c>
      <c r="L758" s="3">
        <f t="shared" si="11"/>
        <v>0.15331452570000001</v>
      </c>
      <c r="M758">
        <v>55</v>
      </c>
      <c r="N758" s="6">
        <f>MediCare_Data[[#This Row],[Average_Wait_Time (mins)]]/1440</f>
        <v>3.8194444444444448E-2</v>
      </c>
      <c r="O758" s="2">
        <v>2</v>
      </c>
      <c r="P758" s="10">
        <v>16540</v>
      </c>
      <c r="Q758" s="17" t="str">
        <f>IF(AND(MediCare_Data[[#This Row],[Patient_Gender]]="Male", MediCare_Data[[#This Row],[Treatment_Type]]="Maternity"), "Gender-Treatment Mismatch", "Fine")</f>
        <v>Fine</v>
      </c>
      <c r="R758" s="10">
        <f>MediCare_Data[[#This Row],[Revenue_Generated]]-MediCare_Data[[#This Row],[Average_Treatment_Cost]]</f>
        <v>7439</v>
      </c>
      <c r="S758" s="3">
        <f>(MediCare_Data[[#This Row],[Profit]]/MediCare_Data[[#This Row],[Revenue_Generated]])</f>
        <v>0.44975816203143892</v>
      </c>
    </row>
    <row r="759" spans="1:19" x14ac:dyDescent="0.25">
      <c r="A759" t="s">
        <v>806</v>
      </c>
      <c r="B759" t="s">
        <v>35</v>
      </c>
      <c r="C759" t="s">
        <v>29</v>
      </c>
      <c r="D759" t="s">
        <v>32</v>
      </c>
      <c r="E759">
        <v>79</v>
      </c>
      <c r="F759" t="str">
        <f>IF(MediCare_Data[[#This Row],[Patient_Age]]&lt;=18,"0-18",IF(MediCare_Data[[#This Row],[Patient_Age]]&lt;=35,"19-35",IF(MediCare_Data[[#This Row],[Patient_Age]]&lt;=60,"36-60","60+")))</f>
        <v>60+</v>
      </c>
      <c r="G759" t="s">
        <v>26</v>
      </c>
      <c r="H759" t="s">
        <v>47</v>
      </c>
      <c r="I759" s="2">
        <v>62</v>
      </c>
      <c r="J759" s="11">
        <v>1394</v>
      </c>
      <c r="K759" s="3">
        <v>5.110115983</v>
      </c>
      <c r="L759" s="3">
        <f t="shared" si="11"/>
        <v>5.1101159829999999E-2</v>
      </c>
      <c r="M759">
        <v>115</v>
      </c>
      <c r="N759" s="6">
        <f>MediCare_Data[[#This Row],[Average_Wait_Time (mins)]]/1440</f>
        <v>7.9861111111111105E-2</v>
      </c>
      <c r="O759" s="2">
        <v>3</v>
      </c>
      <c r="P759" s="10">
        <v>7719</v>
      </c>
      <c r="Q759" s="17" t="str">
        <f>IF(AND(MediCare_Data[[#This Row],[Patient_Gender]]="Male", MediCare_Data[[#This Row],[Treatment_Type]]="Maternity"), "Gender-Treatment Mismatch", "Fine")</f>
        <v>Fine</v>
      </c>
      <c r="R759" s="10">
        <f>MediCare_Data[[#This Row],[Revenue_Generated]]-MediCare_Data[[#This Row],[Average_Treatment_Cost]]</f>
        <v>6325</v>
      </c>
      <c r="S759" s="3">
        <f>(MediCare_Data[[#This Row],[Profit]]/MediCare_Data[[#This Row],[Revenue_Generated]])</f>
        <v>0.81940665889363906</v>
      </c>
    </row>
    <row r="760" spans="1:19" x14ac:dyDescent="0.25">
      <c r="A760" t="s">
        <v>807</v>
      </c>
      <c r="B760" t="s">
        <v>45</v>
      </c>
      <c r="C760" t="s">
        <v>15</v>
      </c>
      <c r="D760" t="s">
        <v>21</v>
      </c>
      <c r="E760">
        <v>77</v>
      </c>
      <c r="F760" t="str">
        <f>IF(MediCare_Data[[#This Row],[Patient_Age]]&lt;=18,"0-18",IF(MediCare_Data[[#This Row],[Patient_Age]]&lt;=35,"19-35",IF(MediCare_Data[[#This Row],[Patient_Age]]&lt;=60,"36-60","60+")))</f>
        <v>60+</v>
      </c>
      <c r="G760" t="s">
        <v>26</v>
      </c>
      <c r="H760" t="s">
        <v>51</v>
      </c>
      <c r="I760" s="2">
        <v>95</v>
      </c>
      <c r="J760" s="11">
        <v>1014</v>
      </c>
      <c r="K760" s="3">
        <v>5.1532806530000004</v>
      </c>
      <c r="L760" s="3">
        <f t="shared" si="11"/>
        <v>5.1532806530000003E-2</v>
      </c>
      <c r="M760">
        <v>169</v>
      </c>
      <c r="N760" s="6">
        <f>MediCare_Data[[#This Row],[Average_Wait_Time (mins)]]/1440</f>
        <v>0.11736111111111111</v>
      </c>
      <c r="O760" s="2">
        <v>1</v>
      </c>
      <c r="P760" s="10">
        <v>42203</v>
      </c>
      <c r="Q760" s="17" t="str">
        <f>IF(AND(MediCare_Data[[#This Row],[Patient_Gender]]="Male", MediCare_Data[[#This Row],[Treatment_Type]]="Maternity"), "Gender-Treatment Mismatch", "Fine")</f>
        <v>Fine</v>
      </c>
      <c r="R760" s="10">
        <f>MediCare_Data[[#This Row],[Revenue_Generated]]-MediCare_Data[[#This Row],[Average_Treatment_Cost]]</f>
        <v>41189</v>
      </c>
      <c r="S760" s="3">
        <f>(MediCare_Data[[#This Row],[Profit]]/MediCare_Data[[#This Row],[Revenue_Generated]])</f>
        <v>0.97597327204227191</v>
      </c>
    </row>
    <row r="761" spans="1:19" x14ac:dyDescent="0.25">
      <c r="A761" t="s">
        <v>808</v>
      </c>
      <c r="B761" t="s">
        <v>61</v>
      </c>
      <c r="C761" t="s">
        <v>46</v>
      </c>
      <c r="D761" t="s">
        <v>32</v>
      </c>
      <c r="E761">
        <v>48</v>
      </c>
      <c r="F761" t="str">
        <f>IF(MediCare_Data[[#This Row],[Patient_Age]]&lt;=18,"0-18",IF(MediCare_Data[[#This Row],[Patient_Age]]&lt;=35,"19-35",IF(MediCare_Data[[#This Row],[Patient_Age]]&lt;=60,"36-60","60+")))</f>
        <v>36-60</v>
      </c>
      <c r="G761" t="s">
        <v>22</v>
      </c>
      <c r="H761" t="s">
        <v>51</v>
      </c>
      <c r="I761" s="2">
        <v>84</v>
      </c>
      <c r="J761" s="11">
        <v>7794</v>
      </c>
      <c r="K761" s="3">
        <v>9.3813761820000003</v>
      </c>
      <c r="L761" s="3">
        <f t="shared" si="11"/>
        <v>9.3813761820000008E-2</v>
      </c>
      <c r="M761">
        <v>41</v>
      </c>
      <c r="N761" s="6">
        <f>MediCare_Data[[#This Row],[Average_Wait_Time (mins)]]/1440</f>
        <v>2.8472222222222222E-2</v>
      </c>
      <c r="O761" s="2">
        <v>4</v>
      </c>
      <c r="P761" s="10">
        <v>26081</v>
      </c>
      <c r="Q761" s="17" t="str">
        <f>IF(AND(MediCare_Data[[#This Row],[Patient_Gender]]="Male", MediCare_Data[[#This Row],[Treatment_Type]]="Maternity"), "Gender-Treatment Mismatch", "Fine")</f>
        <v>Fine</v>
      </c>
      <c r="R761" s="10">
        <f>MediCare_Data[[#This Row],[Revenue_Generated]]-MediCare_Data[[#This Row],[Average_Treatment_Cost]]</f>
        <v>18287</v>
      </c>
      <c r="S761" s="3">
        <f>(MediCare_Data[[#This Row],[Profit]]/MediCare_Data[[#This Row],[Revenue_Generated]])</f>
        <v>0.70116176526973661</v>
      </c>
    </row>
    <row r="762" spans="1:19" x14ac:dyDescent="0.25">
      <c r="A762" t="s">
        <v>809</v>
      </c>
      <c r="B762" t="s">
        <v>45</v>
      </c>
      <c r="C762" t="s">
        <v>46</v>
      </c>
      <c r="D762" t="s">
        <v>21</v>
      </c>
      <c r="E762">
        <v>38</v>
      </c>
      <c r="F762" t="str">
        <f>IF(MediCare_Data[[#This Row],[Patient_Age]]&lt;=18,"0-18",IF(MediCare_Data[[#This Row],[Patient_Age]]&lt;=35,"19-35",IF(MediCare_Data[[#This Row],[Patient_Age]]&lt;=60,"36-60","60+")))</f>
        <v>36-60</v>
      </c>
      <c r="G762" t="s">
        <v>17</v>
      </c>
      <c r="H762" t="s">
        <v>37</v>
      </c>
      <c r="I762" s="2">
        <v>55</v>
      </c>
      <c r="J762" s="11">
        <v>5404</v>
      </c>
      <c r="K762" s="3">
        <v>5.7344272500000004</v>
      </c>
      <c r="L762" s="3">
        <f t="shared" si="11"/>
        <v>5.7344272500000001E-2</v>
      </c>
      <c r="M762">
        <v>15</v>
      </c>
      <c r="N762" s="6">
        <f>MediCare_Data[[#This Row],[Average_Wait_Time (mins)]]/1440</f>
        <v>1.0416666666666666E-2</v>
      </c>
      <c r="O762" s="2">
        <v>2</v>
      </c>
      <c r="P762" s="10">
        <v>12350</v>
      </c>
      <c r="Q762" s="17" t="str">
        <f>IF(AND(MediCare_Data[[#This Row],[Patient_Gender]]="Male", MediCare_Data[[#This Row],[Treatment_Type]]="Maternity"), "Gender-Treatment Mismatch", "Fine")</f>
        <v>Fine</v>
      </c>
      <c r="R762" s="10">
        <f>MediCare_Data[[#This Row],[Revenue_Generated]]-MediCare_Data[[#This Row],[Average_Treatment_Cost]]</f>
        <v>6946</v>
      </c>
      <c r="S762" s="3">
        <f>(MediCare_Data[[#This Row],[Profit]]/MediCare_Data[[#This Row],[Revenue_Generated]])</f>
        <v>0.56242914979757086</v>
      </c>
    </row>
    <row r="763" spans="1:19" x14ac:dyDescent="0.25">
      <c r="A763" t="s">
        <v>810</v>
      </c>
      <c r="B763" t="s">
        <v>58</v>
      </c>
      <c r="C763" t="s">
        <v>46</v>
      </c>
      <c r="D763" t="s">
        <v>21</v>
      </c>
      <c r="E763">
        <v>88</v>
      </c>
      <c r="F763" t="str">
        <f>IF(MediCare_Data[[#This Row],[Patient_Age]]&lt;=18,"0-18",IF(MediCare_Data[[#This Row],[Patient_Age]]&lt;=35,"19-35",IF(MediCare_Data[[#This Row],[Patient_Age]]&lt;=60,"36-60","60+")))</f>
        <v>60+</v>
      </c>
      <c r="G763" t="s">
        <v>43</v>
      </c>
      <c r="H763" t="s">
        <v>51</v>
      </c>
      <c r="I763" s="2">
        <v>67</v>
      </c>
      <c r="J763" s="11">
        <v>8367</v>
      </c>
      <c r="K763" s="3">
        <v>7.1605150829999999</v>
      </c>
      <c r="L763" s="3">
        <f t="shared" si="11"/>
        <v>7.1605150830000006E-2</v>
      </c>
      <c r="M763">
        <v>175</v>
      </c>
      <c r="N763" s="6">
        <f>MediCare_Data[[#This Row],[Average_Wait_Time (mins)]]/1440</f>
        <v>0.12152777777777778</v>
      </c>
      <c r="O763" s="2">
        <v>1</v>
      </c>
      <c r="P763" s="10">
        <v>37358</v>
      </c>
      <c r="Q763" s="17" t="str">
        <f>IF(AND(MediCare_Data[[#This Row],[Patient_Gender]]="Male", MediCare_Data[[#This Row],[Treatment_Type]]="Maternity"), "Gender-Treatment Mismatch", "Fine")</f>
        <v>Fine</v>
      </c>
      <c r="R763" s="10">
        <f>MediCare_Data[[#This Row],[Revenue_Generated]]-MediCare_Data[[#This Row],[Average_Treatment_Cost]]</f>
        <v>28991</v>
      </c>
      <c r="S763" s="3">
        <f>(MediCare_Data[[#This Row],[Profit]]/MediCare_Data[[#This Row],[Revenue_Generated]])</f>
        <v>0.77603190748969431</v>
      </c>
    </row>
    <row r="764" spans="1:19" x14ac:dyDescent="0.25">
      <c r="A764" t="s">
        <v>811</v>
      </c>
      <c r="B764" t="s">
        <v>49</v>
      </c>
      <c r="C764" t="s">
        <v>36</v>
      </c>
      <c r="D764" t="s">
        <v>32</v>
      </c>
      <c r="E764">
        <v>15</v>
      </c>
      <c r="F764" t="str">
        <f>IF(MediCare_Data[[#This Row],[Patient_Age]]&lt;=18,"0-18",IF(MediCare_Data[[#This Row],[Patient_Age]]&lt;=35,"19-35",IF(MediCare_Data[[#This Row],[Patient_Age]]&lt;=60,"36-60","60+")))</f>
        <v>0-18</v>
      </c>
      <c r="G764" t="s">
        <v>17</v>
      </c>
      <c r="H764" t="s">
        <v>37</v>
      </c>
      <c r="I764" s="2">
        <v>54</v>
      </c>
      <c r="J764" s="11">
        <v>4609</v>
      </c>
      <c r="K764" s="3">
        <v>11.777212990000001</v>
      </c>
      <c r="L764" s="3">
        <f t="shared" si="11"/>
        <v>0.11777212990000001</v>
      </c>
      <c r="M764">
        <v>154</v>
      </c>
      <c r="N764" s="6">
        <f>MediCare_Data[[#This Row],[Average_Wait_Time (mins)]]/1440</f>
        <v>0.10694444444444444</v>
      </c>
      <c r="O764" s="2">
        <v>2</v>
      </c>
      <c r="P764" s="10">
        <v>33021</v>
      </c>
      <c r="Q764" s="17" t="str">
        <f>IF(AND(MediCare_Data[[#This Row],[Patient_Gender]]="Male", MediCare_Data[[#This Row],[Treatment_Type]]="Maternity"), "Gender-Treatment Mismatch", "Fine")</f>
        <v>Fine</v>
      </c>
      <c r="R764" s="10">
        <f>MediCare_Data[[#This Row],[Revenue_Generated]]-MediCare_Data[[#This Row],[Average_Treatment_Cost]]</f>
        <v>28412</v>
      </c>
      <c r="S764" s="3">
        <f>(MediCare_Data[[#This Row],[Profit]]/MediCare_Data[[#This Row],[Revenue_Generated]])</f>
        <v>0.86042215559795276</v>
      </c>
    </row>
    <row r="765" spans="1:19" x14ac:dyDescent="0.25">
      <c r="A765" t="s">
        <v>812</v>
      </c>
      <c r="B765" t="s">
        <v>14</v>
      </c>
      <c r="C765" t="s">
        <v>36</v>
      </c>
      <c r="D765" t="s">
        <v>21</v>
      </c>
      <c r="E765">
        <v>9</v>
      </c>
      <c r="F765" t="str">
        <f>IF(MediCare_Data[[#This Row],[Patient_Age]]&lt;=18,"0-18",IF(MediCare_Data[[#This Row],[Patient_Age]]&lt;=35,"19-35",IF(MediCare_Data[[#This Row],[Patient_Age]]&lt;=60,"36-60","60+")))</f>
        <v>0-18</v>
      </c>
      <c r="G765" t="s">
        <v>17</v>
      </c>
      <c r="H765" t="s">
        <v>51</v>
      </c>
      <c r="I765" s="2">
        <v>96</v>
      </c>
      <c r="J765" s="11">
        <v>7679</v>
      </c>
      <c r="K765" s="3">
        <v>21.051713589999999</v>
      </c>
      <c r="L765" s="3">
        <f t="shared" si="11"/>
        <v>0.21051713589999999</v>
      </c>
      <c r="M765">
        <v>83</v>
      </c>
      <c r="N765" s="6">
        <f>MediCare_Data[[#This Row],[Average_Wait_Time (mins)]]/1440</f>
        <v>5.7638888888888892E-2</v>
      </c>
      <c r="O765" s="2">
        <v>2</v>
      </c>
      <c r="P765" s="10">
        <v>43832</v>
      </c>
      <c r="Q765" s="17" t="str">
        <f>IF(AND(MediCare_Data[[#This Row],[Patient_Gender]]="Male", MediCare_Data[[#This Row],[Treatment_Type]]="Maternity"), "Gender-Treatment Mismatch", "Fine")</f>
        <v>Fine</v>
      </c>
      <c r="R765" s="10">
        <f>MediCare_Data[[#This Row],[Revenue_Generated]]-MediCare_Data[[#This Row],[Average_Treatment_Cost]]</f>
        <v>36153</v>
      </c>
      <c r="S765" s="3">
        <f>(MediCare_Data[[#This Row],[Profit]]/MediCare_Data[[#This Row],[Revenue_Generated]])</f>
        <v>0.82480835918963313</v>
      </c>
    </row>
    <row r="766" spans="1:19" x14ac:dyDescent="0.25">
      <c r="A766" t="s">
        <v>813</v>
      </c>
      <c r="B766" t="s">
        <v>58</v>
      </c>
      <c r="C766" t="s">
        <v>31</v>
      </c>
      <c r="D766" t="s">
        <v>16</v>
      </c>
      <c r="E766">
        <v>54</v>
      </c>
      <c r="F766" t="str">
        <f>IF(MediCare_Data[[#This Row],[Patient_Age]]&lt;=18,"0-18",IF(MediCare_Data[[#This Row],[Patient_Age]]&lt;=35,"19-35",IF(MediCare_Data[[#This Row],[Patient_Age]]&lt;=60,"36-60","60+")))</f>
        <v>36-60</v>
      </c>
      <c r="G766" t="s">
        <v>43</v>
      </c>
      <c r="H766" t="s">
        <v>47</v>
      </c>
      <c r="I766" s="2">
        <v>74</v>
      </c>
      <c r="J766" s="11">
        <v>2060</v>
      </c>
      <c r="K766" s="3">
        <v>16.44097287</v>
      </c>
      <c r="L766" s="3">
        <f t="shared" si="11"/>
        <v>0.16440972870000001</v>
      </c>
      <c r="M766">
        <v>123</v>
      </c>
      <c r="N766" s="6">
        <f>MediCare_Data[[#This Row],[Average_Wait_Time (mins)]]/1440</f>
        <v>8.5416666666666669E-2</v>
      </c>
      <c r="O766" s="2">
        <v>2</v>
      </c>
      <c r="P766" s="10">
        <v>29369</v>
      </c>
      <c r="Q766" s="17" t="str">
        <f>IF(AND(MediCare_Data[[#This Row],[Patient_Gender]]="Male", MediCare_Data[[#This Row],[Treatment_Type]]="Maternity"), "Gender-Treatment Mismatch", "Fine")</f>
        <v>Fine</v>
      </c>
      <c r="R766" s="10">
        <f>MediCare_Data[[#This Row],[Revenue_Generated]]-MediCare_Data[[#This Row],[Average_Treatment_Cost]]</f>
        <v>27309</v>
      </c>
      <c r="S766" s="3">
        <f>(MediCare_Data[[#This Row],[Profit]]/MediCare_Data[[#This Row],[Revenue_Generated]])</f>
        <v>0.92985801355170417</v>
      </c>
    </row>
    <row r="767" spans="1:19" x14ac:dyDescent="0.25">
      <c r="A767" t="s">
        <v>814</v>
      </c>
      <c r="B767" t="s">
        <v>49</v>
      </c>
      <c r="C767" t="s">
        <v>54</v>
      </c>
      <c r="D767" t="s">
        <v>21</v>
      </c>
      <c r="E767">
        <v>69</v>
      </c>
      <c r="F767" t="str">
        <f>IF(MediCare_Data[[#This Row],[Patient_Age]]&lt;=18,"0-18",IF(MediCare_Data[[#This Row],[Patient_Age]]&lt;=35,"19-35",IF(MediCare_Data[[#This Row],[Patient_Age]]&lt;=60,"36-60","60+")))</f>
        <v>60+</v>
      </c>
      <c r="G767" t="s">
        <v>43</v>
      </c>
      <c r="H767" t="s">
        <v>23</v>
      </c>
      <c r="I767" s="2">
        <v>51</v>
      </c>
      <c r="J767" s="11">
        <v>1766</v>
      </c>
      <c r="K767" s="3">
        <v>15.25335452</v>
      </c>
      <c r="L767" s="3">
        <f t="shared" si="11"/>
        <v>0.15253354520000001</v>
      </c>
      <c r="M767">
        <v>36</v>
      </c>
      <c r="N767" s="6">
        <f>MediCare_Data[[#This Row],[Average_Wait_Time (mins)]]/1440</f>
        <v>2.5000000000000001E-2</v>
      </c>
      <c r="O767" s="2">
        <v>1</v>
      </c>
      <c r="P767" s="10">
        <v>32728</v>
      </c>
      <c r="Q767" s="17" t="str">
        <f>IF(AND(MediCare_Data[[#This Row],[Patient_Gender]]="Male", MediCare_Data[[#This Row],[Treatment_Type]]="Maternity"), "Gender-Treatment Mismatch", "Fine")</f>
        <v>Fine</v>
      </c>
      <c r="R767" s="10">
        <f>MediCare_Data[[#This Row],[Revenue_Generated]]-MediCare_Data[[#This Row],[Average_Treatment_Cost]]</f>
        <v>30962</v>
      </c>
      <c r="S767" s="3">
        <f>(MediCare_Data[[#This Row],[Profit]]/MediCare_Data[[#This Row],[Revenue_Generated]])</f>
        <v>0.94604008799804451</v>
      </c>
    </row>
    <row r="768" spans="1:19" x14ac:dyDescent="0.25">
      <c r="A768" t="s">
        <v>815</v>
      </c>
      <c r="B768" t="s">
        <v>14</v>
      </c>
      <c r="C768" t="s">
        <v>15</v>
      </c>
      <c r="D768" t="s">
        <v>21</v>
      </c>
      <c r="E768">
        <v>6</v>
      </c>
      <c r="F768" t="str">
        <f>IF(MediCare_Data[[#This Row],[Patient_Age]]&lt;=18,"0-18",IF(MediCare_Data[[#This Row],[Patient_Age]]&lt;=35,"19-35",IF(MediCare_Data[[#This Row],[Patient_Age]]&lt;=60,"36-60","60+")))</f>
        <v>0-18</v>
      </c>
      <c r="G768" t="s">
        <v>43</v>
      </c>
      <c r="H768" t="s">
        <v>51</v>
      </c>
      <c r="I768" s="2">
        <v>59</v>
      </c>
      <c r="J768" s="11">
        <v>4138</v>
      </c>
      <c r="K768" s="3">
        <v>10.869776460000001</v>
      </c>
      <c r="L768" s="3">
        <f t="shared" si="11"/>
        <v>0.10869776460000001</v>
      </c>
      <c r="M768">
        <v>63</v>
      </c>
      <c r="N768" s="6">
        <f>MediCare_Data[[#This Row],[Average_Wait_Time (mins)]]/1440</f>
        <v>4.3749999999999997E-2</v>
      </c>
      <c r="O768" s="2">
        <v>3</v>
      </c>
      <c r="P768" s="10">
        <v>18576</v>
      </c>
      <c r="Q768" s="17" t="str">
        <f>IF(AND(MediCare_Data[[#This Row],[Patient_Gender]]="Male", MediCare_Data[[#This Row],[Treatment_Type]]="Maternity"), "Gender-Treatment Mismatch", "Fine")</f>
        <v>Fine</v>
      </c>
      <c r="R768" s="10">
        <f>MediCare_Data[[#This Row],[Revenue_Generated]]-MediCare_Data[[#This Row],[Average_Treatment_Cost]]</f>
        <v>14438</v>
      </c>
      <c r="S768" s="3">
        <f>(MediCare_Data[[#This Row],[Profit]]/MediCare_Data[[#This Row],[Revenue_Generated]])</f>
        <v>0.77723944875107664</v>
      </c>
    </row>
    <row r="769" spans="1:19" x14ac:dyDescent="0.25">
      <c r="A769" t="s">
        <v>816</v>
      </c>
      <c r="B769" t="s">
        <v>58</v>
      </c>
      <c r="C769" t="s">
        <v>54</v>
      </c>
      <c r="D769" t="s">
        <v>32</v>
      </c>
      <c r="E769">
        <v>14</v>
      </c>
      <c r="F769" t="str">
        <f>IF(MediCare_Data[[#This Row],[Patient_Age]]&lt;=18,"0-18",IF(MediCare_Data[[#This Row],[Patient_Age]]&lt;=35,"19-35",IF(MediCare_Data[[#This Row],[Patient_Age]]&lt;=60,"36-60","60+")))</f>
        <v>0-18</v>
      </c>
      <c r="G769" t="s">
        <v>17</v>
      </c>
      <c r="H769" t="s">
        <v>33</v>
      </c>
      <c r="I769" s="2">
        <v>79</v>
      </c>
      <c r="J769" s="11">
        <v>9441</v>
      </c>
      <c r="K769" s="3">
        <v>23.63507439</v>
      </c>
      <c r="L769" s="3">
        <f t="shared" si="11"/>
        <v>0.23635074389999999</v>
      </c>
      <c r="M769">
        <v>172</v>
      </c>
      <c r="N769" s="6">
        <f>MediCare_Data[[#This Row],[Average_Wait_Time (mins)]]/1440</f>
        <v>0.11944444444444445</v>
      </c>
      <c r="O769" s="2">
        <v>1</v>
      </c>
      <c r="P769" s="10">
        <v>30001</v>
      </c>
      <c r="Q769" s="17" t="str">
        <f>IF(AND(MediCare_Data[[#This Row],[Patient_Gender]]="Male", MediCare_Data[[#This Row],[Treatment_Type]]="Maternity"), "Gender-Treatment Mismatch", "Fine")</f>
        <v>Fine</v>
      </c>
      <c r="R769" s="10">
        <f>MediCare_Data[[#This Row],[Revenue_Generated]]-MediCare_Data[[#This Row],[Average_Treatment_Cost]]</f>
        <v>20560</v>
      </c>
      <c r="S769" s="3">
        <f>(MediCare_Data[[#This Row],[Profit]]/MediCare_Data[[#This Row],[Revenue_Generated]])</f>
        <v>0.68531048965034502</v>
      </c>
    </row>
    <row r="770" spans="1:19" x14ac:dyDescent="0.25">
      <c r="A770" t="s">
        <v>817</v>
      </c>
      <c r="B770" t="s">
        <v>61</v>
      </c>
      <c r="C770" t="s">
        <v>54</v>
      </c>
      <c r="D770" t="s">
        <v>21</v>
      </c>
      <c r="E770">
        <v>53</v>
      </c>
      <c r="F770" t="str">
        <f>IF(MediCare_Data[[#This Row],[Patient_Age]]&lt;=18,"0-18",IF(MediCare_Data[[#This Row],[Patient_Age]]&lt;=35,"19-35",IF(MediCare_Data[[#This Row],[Patient_Age]]&lt;=60,"36-60","60+")))</f>
        <v>36-60</v>
      </c>
      <c r="G770" t="s">
        <v>22</v>
      </c>
      <c r="H770" t="s">
        <v>47</v>
      </c>
      <c r="I770" s="2">
        <v>99</v>
      </c>
      <c r="J770" s="11">
        <v>3927</v>
      </c>
      <c r="K770" s="3">
        <v>12.940300819999999</v>
      </c>
      <c r="L770" s="3">
        <f t="shared" ref="L770:L833" si="12">K770/100</f>
        <v>0.1294030082</v>
      </c>
      <c r="M770">
        <v>94</v>
      </c>
      <c r="N770" s="6">
        <f>MediCare_Data[[#This Row],[Average_Wait_Time (mins)]]/1440</f>
        <v>6.5277777777777782E-2</v>
      </c>
      <c r="O770" s="2">
        <v>2</v>
      </c>
      <c r="P770" s="10">
        <v>18848</v>
      </c>
      <c r="Q770" s="17" t="str">
        <f>IF(AND(MediCare_Data[[#This Row],[Patient_Gender]]="Male", MediCare_Data[[#This Row],[Treatment_Type]]="Maternity"), "Gender-Treatment Mismatch", "Fine")</f>
        <v>Fine</v>
      </c>
      <c r="R770" s="10">
        <f>MediCare_Data[[#This Row],[Revenue_Generated]]-MediCare_Data[[#This Row],[Average_Treatment_Cost]]</f>
        <v>14921</v>
      </c>
      <c r="S770" s="3">
        <f>(MediCare_Data[[#This Row],[Profit]]/MediCare_Data[[#This Row],[Revenue_Generated]])</f>
        <v>0.79164898132427841</v>
      </c>
    </row>
    <row r="771" spans="1:19" x14ac:dyDescent="0.25">
      <c r="A771" t="s">
        <v>818</v>
      </c>
      <c r="B771" t="s">
        <v>61</v>
      </c>
      <c r="C771" t="s">
        <v>46</v>
      </c>
      <c r="D771" t="s">
        <v>32</v>
      </c>
      <c r="E771">
        <v>13</v>
      </c>
      <c r="F771" t="str">
        <f>IF(MediCare_Data[[#This Row],[Patient_Age]]&lt;=18,"0-18",IF(MediCare_Data[[#This Row],[Patient_Age]]&lt;=35,"19-35",IF(MediCare_Data[[#This Row],[Patient_Age]]&lt;=60,"36-60","60+")))</f>
        <v>0-18</v>
      </c>
      <c r="G771" t="s">
        <v>17</v>
      </c>
      <c r="H771" t="s">
        <v>23</v>
      </c>
      <c r="I771" s="2">
        <v>94</v>
      </c>
      <c r="J771" s="11">
        <v>5280</v>
      </c>
      <c r="K771" s="3">
        <v>6.7418553360000004</v>
      </c>
      <c r="L771" s="3">
        <f t="shared" si="12"/>
        <v>6.7418553360000008E-2</v>
      </c>
      <c r="M771">
        <v>136</v>
      </c>
      <c r="N771" s="6">
        <f>MediCare_Data[[#This Row],[Average_Wait_Time (mins)]]/1440</f>
        <v>9.4444444444444442E-2</v>
      </c>
      <c r="O771" s="2">
        <v>1</v>
      </c>
      <c r="P771" s="10">
        <v>1390</v>
      </c>
      <c r="Q771" s="17" t="str">
        <f>IF(AND(MediCare_Data[[#This Row],[Patient_Gender]]="Male", MediCare_Data[[#This Row],[Treatment_Type]]="Maternity"), "Gender-Treatment Mismatch", "Fine")</f>
        <v>Fine</v>
      </c>
      <c r="R771" s="10">
        <f>MediCare_Data[[#This Row],[Revenue_Generated]]-MediCare_Data[[#This Row],[Average_Treatment_Cost]]</f>
        <v>-3890</v>
      </c>
      <c r="S771" s="3">
        <f>(MediCare_Data[[#This Row],[Profit]]/MediCare_Data[[#This Row],[Revenue_Generated]])</f>
        <v>-2.7985611510791366</v>
      </c>
    </row>
    <row r="772" spans="1:19" x14ac:dyDescent="0.25">
      <c r="A772" t="s">
        <v>819</v>
      </c>
      <c r="B772" t="s">
        <v>61</v>
      </c>
      <c r="C772" t="s">
        <v>42</v>
      </c>
      <c r="D772" t="s">
        <v>16</v>
      </c>
      <c r="E772">
        <v>44</v>
      </c>
      <c r="F772" t="str">
        <f>IF(MediCare_Data[[#This Row],[Patient_Age]]&lt;=18,"0-18",IF(MediCare_Data[[#This Row],[Patient_Age]]&lt;=35,"19-35",IF(MediCare_Data[[#This Row],[Patient_Age]]&lt;=60,"36-60","60+")))</f>
        <v>36-60</v>
      </c>
      <c r="G772" t="s">
        <v>22</v>
      </c>
      <c r="H772" t="s">
        <v>37</v>
      </c>
      <c r="I772" s="2">
        <v>54</v>
      </c>
      <c r="J772" s="11">
        <v>2427</v>
      </c>
      <c r="K772" s="3">
        <v>17.341330320000001</v>
      </c>
      <c r="L772" s="3">
        <f t="shared" si="12"/>
        <v>0.17341330320000001</v>
      </c>
      <c r="M772">
        <v>162</v>
      </c>
      <c r="N772" s="6">
        <f>MediCare_Data[[#This Row],[Average_Wait_Time (mins)]]/1440</f>
        <v>0.1125</v>
      </c>
      <c r="O772" s="2">
        <v>4</v>
      </c>
      <c r="P772" s="10">
        <v>22999</v>
      </c>
      <c r="Q772" s="17" t="str">
        <f>IF(AND(MediCare_Data[[#This Row],[Patient_Gender]]="Male", MediCare_Data[[#This Row],[Treatment_Type]]="Maternity"), "Gender-Treatment Mismatch", "Fine")</f>
        <v>Gender-Treatment Mismatch</v>
      </c>
      <c r="R772" s="10">
        <f>MediCare_Data[[#This Row],[Revenue_Generated]]-MediCare_Data[[#This Row],[Average_Treatment_Cost]]</f>
        <v>20572</v>
      </c>
      <c r="S772" s="3">
        <f>(MediCare_Data[[#This Row],[Profit]]/MediCare_Data[[#This Row],[Revenue_Generated]])</f>
        <v>0.89447367276838119</v>
      </c>
    </row>
    <row r="773" spans="1:19" x14ac:dyDescent="0.25">
      <c r="A773" t="s">
        <v>820</v>
      </c>
      <c r="B773" t="s">
        <v>82</v>
      </c>
      <c r="C773" t="s">
        <v>54</v>
      </c>
      <c r="D773" t="s">
        <v>21</v>
      </c>
      <c r="E773">
        <v>77</v>
      </c>
      <c r="F773" t="str">
        <f>IF(MediCare_Data[[#This Row],[Patient_Age]]&lt;=18,"0-18",IF(MediCare_Data[[#This Row],[Patient_Age]]&lt;=35,"19-35",IF(MediCare_Data[[#This Row],[Patient_Age]]&lt;=60,"36-60","60+")))</f>
        <v>60+</v>
      </c>
      <c r="G773" t="s">
        <v>17</v>
      </c>
      <c r="H773" t="s">
        <v>33</v>
      </c>
      <c r="I773" s="2">
        <v>82</v>
      </c>
      <c r="J773" s="11">
        <v>2856</v>
      </c>
      <c r="K773" s="3">
        <v>7.2767678699999996</v>
      </c>
      <c r="L773" s="3">
        <f t="shared" si="12"/>
        <v>7.2767678699999991E-2</v>
      </c>
      <c r="M773">
        <v>165</v>
      </c>
      <c r="N773" s="6">
        <f>MediCare_Data[[#This Row],[Average_Wait_Time (mins)]]/1440</f>
        <v>0.11458333333333333</v>
      </c>
      <c r="O773" s="2">
        <v>3</v>
      </c>
      <c r="P773" s="10">
        <v>46436</v>
      </c>
      <c r="Q773" s="17" t="str">
        <f>IF(AND(MediCare_Data[[#This Row],[Patient_Gender]]="Male", MediCare_Data[[#This Row],[Treatment_Type]]="Maternity"), "Gender-Treatment Mismatch", "Fine")</f>
        <v>Fine</v>
      </c>
      <c r="R773" s="10">
        <f>MediCare_Data[[#This Row],[Revenue_Generated]]-MediCare_Data[[#This Row],[Average_Treatment_Cost]]</f>
        <v>43580</v>
      </c>
      <c r="S773" s="3">
        <f>(MediCare_Data[[#This Row],[Profit]]/MediCare_Data[[#This Row],[Revenue_Generated]])</f>
        <v>0.93849599448703591</v>
      </c>
    </row>
    <row r="774" spans="1:19" x14ac:dyDescent="0.25">
      <c r="A774" t="s">
        <v>821</v>
      </c>
      <c r="B774" t="s">
        <v>28</v>
      </c>
      <c r="C774" t="s">
        <v>20</v>
      </c>
      <c r="D774" t="s">
        <v>16</v>
      </c>
      <c r="E774">
        <v>48</v>
      </c>
      <c r="F774" t="str">
        <f>IF(MediCare_Data[[#This Row],[Patient_Age]]&lt;=18,"0-18",IF(MediCare_Data[[#This Row],[Patient_Age]]&lt;=35,"19-35",IF(MediCare_Data[[#This Row],[Patient_Age]]&lt;=60,"36-60","60+")))</f>
        <v>36-60</v>
      </c>
      <c r="G774" t="s">
        <v>22</v>
      </c>
      <c r="H774" t="s">
        <v>33</v>
      </c>
      <c r="I774" s="2">
        <v>50</v>
      </c>
      <c r="J774" s="11">
        <v>5290</v>
      </c>
      <c r="K774" s="3">
        <v>11.904462860000001</v>
      </c>
      <c r="L774" s="3">
        <f t="shared" si="12"/>
        <v>0.11904462860000001</v>
      </c>
      <c r="M774">
        <v>120</v>
      </c>
      <c r="N774" s="6">
        <f>MediCare_Data[[#This Row],[Average_Wait_Time (mins)]]/1440</f>
        <v>8.3333333333333329E-2</v>
      </c>
      <c r="O774" s="2">
        <v>1</v>
      </c>
      <c r="P774" s="10">
        <v>12569</v>
      </c>
      <c r="Q774" s="17" t="str">
        <f>IF(AND(MediCare_Data[[#This Row],[Patient_Gender]]="Male", MediCare_Data[[#This Row],[Treatment_Type]]="Maternity"), "Gender-Treatment Mismatch", "Fine")</f>
        <v>Fine</v>
      </c>
      <c r="R774" s="10">
        <f>MediCare_Data[[#This Row],[Revenue_Generated]]-MediCare_Data[[#This Row],[Average_Treatment_Cost]]</f>
        <v>7279</v>
      </c>
      <c r="S774" s="3">
        <f>(MediCare_Data[[#This Row],[Profit]]/MediCare_Data[[#This Row],[Revenue_Generated]])</f>
        <v>0.57912323971676349</v>
      </c>
    </row>
    <row r="775" spans="1:19" x14ac:dyDescent="0.25">
      <c r="A775" t="s">
        <v>822</v>
      </c>
      <c r="B775" t="s">
        <v>49</v>
      </c>
      <c r="C775" t="s">
        <v>36</v>
      </c>
      <c r="D775" t="s">
        <v>21</v>
      </c>
      <c r="E775">
        <v>40</v>
      </c>
      <c r="F775" t="str">
        <f>IF(MediCare_Data[[#This Row],[Patient_Age]]&lt;=18,"0-18",IF(MediCare_Data[[#This Row],[Patient_Age]]&lt;=35,"19-35",IF(MediCare_Data[[#This Row],[Patient_Age]]&lt;=60,"36-60","60+")))</f>
        <v>36-60</v>
      </c>
      <c r="G775" t="s">
        <v>43</v>
      </c>
      <c r="H775" t="s">
        <v>47</v>
      </c>
      <c r="I775" s="2">
        <v>67</v>
      </c>
      <c r="J775" s="11">
        <v>806</v>
      </c>
      <c r="K775" s="3">
        <v>15.148238770000001</v>
      </c>
      <c r="L775" s="3">
        <f t="shared" si="12"/>
        <v>0.1514823877</v>
      </c>
      <c r="M775">
        <v>24</v>
      </c>
      <c r="N775" s="6">
        <f>MediCare_Data[[#This Row],[Average_Wait_Time (mins)]]/1440</f>
        <v>1.6666666666666666E-2</v>
      </c>
      <c r="O775" s="2">
        <v>4</v>
      </c>
      <c r="P775" s="10">
        <v>14029</v>
      </c>
      <c r="Q775" s="17" t="str">
        <f>IF(AND(MediCare_Data[[#This Row],[Patient_Gender]]="Male", MediCare_Data[[#This Row],[Treatment_Type]]="Maternity"), "Gender-Treatment Mismatch", "Fine")</f>
        <v>Fine</v>
      </c>
      <c r="R775" s="10">
        <f>MediCare_Data[[#This Row],[Revenue_Generated]]-MediCare_Data[[#This Row],[Average_Treatment_Cost]]</f>
        <v>13223</v>
      </c>
      <c r="S775" s="3">
        <f>(MediCare_Data[[#This Row],[Profit]]/MediCare_Data[[#This Row],[Revenue_Generated]])</f>
        <v>0.94254758001283057</v>
      </c>
    </row>
    <row r="776" spans="1:19" x14ac:dyDescent="0.25">
      <c r="A776" t="s">
        <v>823</v>
      </c>
      <c r="B776" t="s">
        <v>64</v>
      </c>
      <c r="C776" t="s">
        <v>29</v>
      </c>
      <c r="D776" t="s">
        <v>16</v>
      </c>
      <c r="E776">
        <v>78</v>
      </c>
      <c r="F776" t="str">
        <f>IF(MediCare_Data[[#This Row],[Patient_Age]]&lt;=18,"0-18",IF(MediCare_Data[[#This Row],[Patient_Age]]&lt;=35,"19-35",IF(MediCare_Data[[#This Row],[Patient_Age]]&lt;=60,"36-60","60+")))</f>
        <v>60+</v>
      </c>
      <c r="G776" t="s">
        <v>17</v>
      </c>
      <c r="H776" t="s">
        <v>18</v>
      </c>
      <c r="I776" s="2">
        <v>81</v>
      </c>
      <c r="J776" s="11">
        <v>8479</v>
      </c>
      <c r="K776" s="3">
        <v>22.48445049</v>
      </c>
      <c r="L776" s="3">
        <f t="shared" si="12"/>
        <v>0.22484450489999999</v>
      </c>
      <c r="M776">
        <v>141</v>
      </c>
      <c r="N776" s="6">
        <f>MediCare_Data[[#This Row],[Average_Wait_Time (mins)]]/1440</f>
        <v>9.7916666666666666E-2</v>
      </c>
      <c r="O776" s="2">
        <v>3</v>
      </c>
      <c r="P776" s="10">
        <v>23490</v>
      </c>
      <c r="Q776" s="17" t="str">
        <f>IF(AND(MediCare_Data[[#This Row],[Patient_Gender]]="Male", MediCare_Data[[#This Row],[Treatment_Type]]="Maternity"), "Gender-Treatment Mismatch", "Fine")</f>
        <v>Fine</v>
      </c>
      <c r="R776" s="10">
        <f>MediCare_Data[[#This Row],[Revenue_Generated]]-MediCare_Data[[#This Row],[Average_Treatment_Cost]]</f>
        <v>15011</v>
      </c>
      <c r="S776" s="3">
        <f>(MediCare_Data[[#This Row],[Profit]]/MediCare_Data[[#This Row],[Revenue_Generated]])</f>
        <v>0.63903788846317577</v>
      </c>
    </row>
    <row r="777" spans="1:19" x14ac:dyDescent="0.25">
      <c r="A777" t="s">
        <v>824</v>
      </c>
      <c r="B777" t="s">
        <v>39</v>
      </c>
      <c r="C777" t="s">
        <v>54</v>
      </c>
      <c r="D777" t="s">
        <v>21</v>
      </c>
      <c r="E777">
        <v>39</v>
      </c>
      <c r="F777" t="str">
        <f>IF(MediCare_Data[[#This Row],[Patient_Age]]&lt;=18,"0-18",IF(MediCare_Data[[#This Row],[Patient_Age]]&lt;=35,"19-35",IF(MediCare_Data[[#This Row],[Patient_Age]]&lt;=60,"36-60","60+")))</f>
        <v>36-60</v>
      </c>
      <c r="G777" t="s">
        <v>17</v>
      </c>
      <c r="H777" t="s">
        <v>23</v>
      </c>
      <c r="I777" s="2">
        <v>96</v>
      </c>
      <c r="J777" s="11">
        <v>4165</v>
      </c>
      <c r="K777" s="3">
        <v>14.87093161</v>
      </c>
      <c r="L777" s="3">
        <f t="shared" si="12"/>
        <v>0.14870931609999999</v>
      </c>
      <c r="M777">
        <v>102</v>
      </c>
      <c r="N777" s="6">
        <f>MediCare_Data[[#This Row],[Average_Wait_Time (mins)]]/1440</f>
        <v>7.0833333333333331E-2</v>
      </c>
      <c r="O777" s="2">
        <v>4</v>
      </c>
      <c r="P777" s="10">
        <v>46875</v>
      </c>
      <c r="Q777" s="17" t="str">
        <f>IF(AND(MediCare_Data[[#This Row],[Patient_Gender]]="Male", MediCare_Data[[#This Row],[Treatment_Type]]="Maternity"), "Gender-Treatment Mismatch", "Fine")</f>
        <v>Fine</v>
      </c>
      <c r="R777" s="10">
        <f>MediCare_Data[[#This Row],[Revenue_Generated]]-MediCare_Data[[#This Row],[Average_Treatment_Cost]]</f>
        <v>42710</v>
      </c>
      <c r="S777" s="3">
        <f>(MediCare_Data[[#This Row],[Profit]]/MediCare_Data[[#This Row],[Revenue_Generated]])</f>
        <v>0.91114666666666666</v>
      </c>
    </row>
    <row r="778" spans="1:19" x14ac:dyDescent="0.25">
      <c r="A778" t="s">
        <v>825</v>
      </c>
      <c r="B778" t="s">
        <v>14</v>
      </c>
      <c r="C778" t="s">
        <v>15</v>
      </c>
      <c r="D778" t="s">
        <v>32</v>
      </c>
      <c r="E778">
        <v>22</v>
      </c>
      <c r="F778" t="str">
        <f>IF(MediCare_Data[[#This Row],[Patient_Age]]&lt;=18,"0-18",IF(MediCare_Data[[#This Row],[Patient_Age]]&lt;=35,"19-35",IF(MediCare_Data[[#This Row],[Patient_Age]]&lt;=60,"36-60","60+")))</f>
        <v>19-35</v>
      </c>
      <c r="G778" t="s">
        <v>26</v>
      </c>
      <c r="H778" t="s">
        <v>23</v>
      </c>
      <c r="I778" s="2">
        <v>98</v>
      </c>
      <c r="J778" s="11">
        <v>7557</v>
      </c>
      <c r="K778" s="3">
        <v>19.045175319999998</v>
      </c>
      <c r="L778" s="3">
        <f t="shared" si="12"/>
        <v>0.19045175319999999</v>
      </c>
      <c r="M778">
        <v>132</v>
      </c>
      <c r="N778" s="6">
        <f>MediCare_Data[[#This Row],[Average_Wait_Time (mins)]]/1440</f>
        <v>9.166666666666666E-2</v>
      </c>
      <c r="O778" s="2">
        <v>3</v>
      </c>
      <c r="P778" s="10">
        <v>36328</v>
      </c>
      <c r="Q778" s="17" t="str">
        <f>IF(AND(MediCare_Data[[#This Row],[Patient_Gender]]="Male", MediCare_Data[[#This Row],[Treatment_Type]]="Maternity"), "Gender-Treatment Mismatch", "Fine")</f>
        <v>Fine</v>
      </c>
      <c r="R778" s="10">
        <f>MediCare_Data[[#This Row],[Revenue_Generated]]-MediCare_Data[[#This Row],[Average_Treatment_Cost]]</f>
        <v>28771</v>
      </c>
      <c r="S778" s="3">
        <f>(MediCare_Data[[#This Row],[Profit]]/MediCare_Data[[#This Row],[Revenue_Generated]])</f>
        <v>0.79197863906628496</v>
      </c>
    </row>
    <row r="779" spans="1:19" x14ac:dyDescent="0.25">
      <c r="A779" t="s">
        <v>826</v>
      </c>
      <c r="B779" t="s">
        <v>82</v>
      </c>
      <c r="C779" t="s">
        <v>20</v>
      </c>
      <c r="D779" t="s">
        <v>16</v>
      </c>
      <c r="E779">
        <v>49</v>
      </c>
      <c r="F779" t="str">
        <f>IF(MediCare_Data[[#This Row],[Patient_Age]]&lt;=18,"0-18",IF(MediCare_Data[[#This Row],[Patient_Age]]&lt;=35,"19-35",IF(MediCare_Data[[#This Row],[Patient_Age]]&lt;=60,"36-60","60+")))</f>
        <v>36-60</v>
      </c>
      <c r="G779" t="s">
        <v>22</v>
      </c>
      <c r="H779" t="s">
        <v>18</v>
      </c>
      <c r="I779" s="2">
        <v>60</v>
      </c>
      <c r="J779" s="11">
        <v>1161</v>
      </c>
      <c r="K779" s="3">
        <v>24.856336779999999</v>
      </c>
      <c r="L779" s="3">
        <f t="shared" si="12"/>
        <v>0.24856336779999999</v>
      </c>
      <c r="M779">
        <v>82</v>
      </c>
      <c r="N779" s="6">
        <f>MediCare_Data[[#This Row],[Average_Wait_Time (mins)]]/1440</f>
        <v>5.6944444444444443E-2</v>
      </c>
      <c r="O779" s="2">
        <v>1</v>
      </c>
      <c r="P779" s="10">
        <v>6867</v>
      </c>
      <c r="Q779" s="17" t="str">
        <f>IF(AND(MediCare_Data[[#This Row],[Patient_Gender]]="Male", MediCare_Data[[#This Row],[Treatment_Type]]="Maternity"), "Gender-Treatment Mismatch", "Fine")</f>
        <v>Fine</v>
      </c>
      <c r="R779" s="10">
        <f>MediCare_Data[[#This Row],[Revenue_Generated]]-MediCare_Data[[#This Row],[Average_Treatment_Cost]]</f>
        <v>5706</v>
      </c>
      <c r="S779" s="3">
        <f>(MediCare_Data[[#This Row],[Profit]]/MediCare_Data[[#This Row],[Revenue_Generated]])</f>
        <v>0.83093053735255573</v>
      </c>
    </row>
    <row r="780" spans="1:19" x14ac:dyDescent="0.25">
      <c r="A780" t="s">
        <v>827</v>
      </c>
      <c r="B780" t="s">
        <v>61</v>
      </c>
      <c r="C780" t="s">
        <v>29</v>
      </c>
      <c r="D780" t="s">
        <v>32</v>
      </c>
      <c r="E780">
        <v>49</v>
      </c>
      <c r="F780" t="str">
        <f>IF(MediCare_Data[[#This Row],[Patient_Age]]&lt;=18,"0-18",IF(MediCare_Data[[#This Row],[Patient_Age]]&lt;=35,"19-35",IF(MediCare_Data[[#This Row],[Patient_Age]]&lt;=60,"36-60","60+")))</f>
        <v>36-60</v>
      </c>
      <c r="G780" t="s">
        <v>17</v>
      </c>
      <c r="H780" t="s">
        <v>23</v>
      </c>
      <c r="I780" s="2">
        <v>70</v>
      </c>
      <c r="J780" s="11">
        <v>5144</v>
      </c>
      <c r="K780" s="3">
        <v>7.6297823979999997</v>
      </c>
      <c r="L780" s="3">
        <f t="shared" si="12"/>
        <v>7.6297823979999999E-2</v>
      </c>
      <c r="M780">
        <v>164</v>
      </c>
      <c r="N780" s="6">
        <f>MediCare_Data[[#This Row],[Average_Wait_Time (mins)]]/1440</f>
        <v>0.11388888888888889</v>
      </c>
      <c r="O780" s="2">
        <v>4</v>
      </c>
      <c r="P780" s="10">
        <v>16284</v>
      </c>
      <c r="Q780" s="17" t="str">
        <f>IF(AND(MediCare_Data[[#This Row],[Patient_Gender]]="Male", MediCare_Data[[#This Row],[Treatment_Type]]="Maternity"), "Gender-Treatment Mismatch", "Fine")</f>
        <v>Fine</v>
      </c>
      <c r="R780" s="10">
        <f>MediCare_Data[[#This Row],[Revenue_Generated]]-MediCare_Data[[#This Row],[Average_Treatment_Cost]]</f>
        <v>11140</v>
      </c>
      <c r="S780" s="3">
        <f>(MediCare_Data[[#This Row],[Profit]]/MediCare_Data[[#This Row],[Revenue_Generated]])</f>
        <v>0.68410709899287647</v>
      </c>
    </row>
    <row r="781" spans="1:19" x14ac:dyDescent="0.25">
      <c r="A781" t="s">
        <v>828</v>
      </c>
      <c r="B781" t="s">
        <v>45</v>
      </c>
      <c r="C781" t="s">
        <v>46</v>
      </c>
      <c r="D781" t="s">
        <v>32</v>
      </c>
      <c r="E781">
        <v>29</v>
      </c>
      <c r="F781" t="str">
        <f>IF(MediCare_Data[[#This Row],[Patient_Age]]&lt;=18,"0-18",IF(MediCare_Data[[#This Row],[Patient_Age]]&lt;=35,"19-35",IF(MediCare_Data[[#This Row],[Patient_Age]]&lt;=60,"36-60","60+")))</f>
        <v>19-35</v>
      </c>
      <c r="G781" t="s">
        <v>17</v>
      </c>
      <c r="H781" t="s">
        <v>23</v>
      </c>
      <c r="I781" s="2">
        <v>75</v>
      </c>
      <c r="J781" s="11">
        <v>9003</v>
      </c>
      <c r="K781" s="3">
        <v>10.49463051</v>
      </c>
      <c r="L781" s="3">
        <f t="shared" si="12"/>
        <v>0.1049463051</v>
      </c>
      <c r="M781">
        <v>163</v>
      </c>
      <c r="N781" s="6">
        <f>MediCare_Data[[#This Row],[Average_Wait_Time (mins)]]/1440</f>
        <v>0.11319444444444444</v>
      </c>
      <c r="O781" s="2">
        <v>2</v>
      </c>
      <c r="P781" s="10">
        <v>34979</v>
      </c>
      <c r="Q781" s="17" t="str">
        <f>IF(AND(MediCare_Data[[#This Row],[Patient_Gender]]="Male", MediCare_Data[[#This Row],[Treatment_Type]]="Maternity"), "Gender-Treatment Mismatch", "Fine")</f>
        <v>Fine</v>
      </c>
      <c r="R781" s="10">
        <f>MediCare_Data[[#This Row],[Revenue_Generated]]-MediCare_Data[[#This Row],[Average_Treatment_Cost]]</f>
        <v>25976</v>
      </c>
      <c r="S781" s="3">
        <f>(MediCare_Data[[#This Row],[Profit]]/MediCare_Data[[#This Row],[Revenue_Generated]])</f>
        <v>0.74261699877069098</v>
      </c>
    </row>
    <row r="782" spans="1:19" x14ac:dyDescent="0.25">
      <c r="A782" t="s">
        <v>829</v>
      </c>
      <c r="B782" t="s">
        <v>74</v>
      </c>
      <c r="C782" t="s">
        <v>46</v>
      </c>
      <c r="D782" t="s">
        <v>16</v>
      </c>
      <c r="E782">
        <v>59</v>
      </c>
      <c r="F782" t="str">
        <f>IF(MediCare_Data[[#This Row],[Patient_Age]]&lt;=18,"0-18",IF(MediCare_Data[[#This Row],[Patient_Age]]&lt;=35,"19-35",IF(MediCare_Data[[#This Row],[Patient_Age]]&lt;=60,"36-60","60+")))</f>
        <v>36-60</v>
      </c>
      <c r="G782" t="s">
        <v>43</v>
      </c>
      <c r="H782" t="s">
        <v>18</v>
      </c>
      <c r="I782" s="2">
        <v>74</v>
      </c>
      <c r="J782" s="11">
        <v>3420</v>
      </c>
      <c r="K782" s="3">
        <v>12.89152151</v>
      </c>
      <c r="L782" s="3">
        <f t="shared" si="12"/>
        <v>0.12891521510000001</v>
      </c>
      <c r="M782">
        <v>156</v>
      </c>
      <c r="N782" s="6">
        <f>MediCare_Data[[#This Row],[Average_Wait_Time (mins)]]/1440</f>
        <v>0.10833333333333334</v>
      </c>
      <c r="O782" s="2">
        <v>4</v>
      </c>
      <c r="P782" s="10">
        <v>10121</v>
      </c>
      <c r="Q782" s="17" t="str">
        <f>IF(AND(MediCare_Data[[#This Row],[Patient_Gender]]="Male", MediCare_Data[[#This Row],[Treatment_Type]]="Maternity"), "Gender-Treatment Mismatch", "Fine")</f>
        <v>Fine</v>
      </c>
      <c r="R782" s="10">
        <f>MediCare_Data[[#This Row],[Revenue_Generated]]-MediCare_Data[[#This Row],[Average_Treatment_Cost]]</f>
        <v>6701</v>
      </c>
      <c r="S782" s="3">
        <f>(MediCare_Data[[#This Row],[Profit]]/MediCare_Data[[#This Row],[Revenue_Generated]])</f>
        <v>0.6620887264104337</v>
      </c>
    </row>
    <row r="783" spans="1:19" x14ac:dyDescent="0.25">
      <c r="A783" t="s">
        <v>830</v>
      </c>
      <c r="B783" t="s">
        <v>61</v>
      </c>
      <c r="C783" t="s">
        <v>54</v>
      </c>
      <c r="D783" t="s">
        <v>21</v>
      </c>
      <c r="E783">
        <v>86</v>
      </c>
      <c r="F783" t="str">
        <f>IF(MediCare_Data[[#This Row],[Patient_Age]]&lt;=18,"0-18",IF(MediCare_Data[[#This Row],[Patient_Age]]&lt;=35,"19-35",IF(MediCare_Data[[#This Row],[Patient_Age]]&lt;=60,"36-60","60+")))</f>
        <v>60+</v>
      </c>
      <c r="G783" t="s">
        <v>22</v>
      </c>
      <c r="H783" t="s">
        <v>47</v>
      </c>
      <c r="I783" s="2">
        <v>71</v>
      </c>
      <c r="J783" s="11">
        <v>9774</v>
      </c>
      <c r="K783" s="3">
        <v>13.436563570000001</v>
      </c>
      <c r="L783" s="3">
        <f t="shared" si="12"/>
        <v>0.13436563570000001</v>
      </c>
      <c r="M783">
        <v>101</v>
      </c>
      <c r="N783" s="6">
        <f>MediCare_Data[[#This Row],[Average_Wait_Time (mins)]]/1440</f>
        <v>7.013888888888889E-2</v>
      </c>
      <c r="O783" s="2">
        <v>3</v>
      </c>
      <c r="P783" s="10">
        <v>2539</v>
      </c>
      <c r="Q783" s="17" t="str">
        <f>IF(AND(MediCare_Data[[#This Row],[Patient_Gender]]="Male", MediCare_Data[[#This Row],[Treatment_Type]]="Maternity"), "Gender-Treatment Mismatch", "Fine")</f>
        <v>Fine</v>
      </c>
      <c r="R783" s="10">
        <f>MediCare_Data[[#This Row],[Revenue_Generated]]-MediCare_Data[[#This Row],[Average_Treatment_Cost]]</f>
        <v>-7235</v>
      </c>
      <c r="S783" s="3">
        <f>(MediCare_Data[[#This Row],[Profit]]/MediCare_Data[[#This Row],[Revenue_Generated]])</f>
        <v>-2.8495470657739266</v>
      </c>
    </row>
    <row r="784" spans="1:19" x14ac:dyDescent="0.25">
      <c r="A784" t="s">
        <v>831</v>
      </c>
      <c r="B784" t="s">
        <v>25</v>
      </c>
      <c r="C784" t="s">
        <v>46</v>
      </c>
      <c r="D784" t="s">
        <v>21</v>
      </c>
      <c r="E784">
        <v>69</v>
      </c>
      <c r="F784" t="str">
        <f>IF(MediCare_Data[[#This Row],[Patient_Age]]&lt;=18,"0-18",IF(MediCare_Data[[#This Row],[Patient_Age]]&lt;=35,"19-35",IF(MediCare_Data[[#This Row],[Patient_Age]]&lt;=60,"36-60","60+")))</f>
        <v>60+</v>
      </c>
      <c r="G784" t="s">
        <v>22</v>
      </c>
      <c r="H784" t="s">
        <v>51</v>
      </c>
      <c r="I784" s="2">
        <v>76</v>
      </c>
      <c r="J784" s="11">
        <v>9446</v>
      </c>
      <c r="K784" s="3">
        <v>13.22042151</v>
      </c>
      <c r="L784" s="3">
        <f t="shared" si="12"/>
        <v>0.13220421509999999</v>
      </c>
      <c r="M784">
        <v>26</v>
      </c>
      <c r="N784" s="6">
        <f>MediCare_Data[[#This Row],[Average_Wait_Time (mins)]]/1440</f>
        <v>1.8055555555555554E-2</v>
      </c>
      <c r="O784" s="2">
        <v>1</v>
      </c>
      <c r="P784" s="10">
        <v>26488</v>
      </c>
      <c r="Q784" s="17" t="str">
        <f>IF(AND(MediCare_Data[[#This Row],[Patient_Gender]]="Male", MediCare_Data[[#This Row],[Treatment_Type]]="Maternity"), "Gender-Treatment Mismatch", "Fine")</f>
        <v>Fine</v>
      </c>
      <c r="R784" s="10">
        <f>MediCare_Data[[#This Row],[Revenue_Generated]]-MediCare_Data[[#This Row],[Average_Treatment_Cost]]</f>
        <v>17042</v>
      </c>
      <c r="S784" s="3">
        <f>(MediCare_Data[[#This Row],[Profit]]/MediCare_Data[[#This Row],[Revenue_Generated]])</f>
        <v>0.6433856840833585</v>
      </c>
    </row>
    <row r="785" spans="1:19" x14ac:dyDescent="0.25">
      <c r="A785" t="s">
        <v>832</v>
      </c>
      <c r="B785" t="s">
        <v>14</v>
      </c>
      <c r="C785" t="s">
        <v>15</v>
      </c>
      <c r="D785" t="s">
        <v>21</v>
      </c>
      <c r="E785">
        <v>67</v>
      </c>
      <c r="F785" t="str">
        <f>IF(MediCare_Data[[#This Row],[Patient_Age]]&lt;=18,"0-18",IF(MediCare_Data[[#This Row],[Patient_Age]]&lt;=35,"19-35",IF(MediCare_Data[[#This Row],[Patient_Age]]&lt;=60,"36-60","60+")))</f>
        <v>60+</v>
      </c>
      <c r="G785" t="s">
        <v>17</v>
      </c>
      <c r="H785" t="s">
        <v>23</v>
      </c>
      <c r="I785" s="2">
        <v>98</v>
      </c>
      <c r="J785" s="11">
        <v>6736</v>
      </c>
      <c r="K785" s="3">
        <v>23.15222005</v>
      </c>
      <c r="L785" s="3">
        <f t="shared" si="12"/>
        <v>0.2315222005</v>
      </c>
      <c r="M785">
        <v>52</v>
      </c>
      <c r="N785" s="6">
        <f>MediCare_Data[[#This Row],[Average_Wait_Time (mins)]]/1440</f>
        <v>3.6111111111111108E-2</v>
      </c>
      <c r="O785" s="2">
        <v>3</v>
      </c>
      <c r="P785" s="10">
        <v>18027</v>
      </c>
      <c r="Q785" s="17" t="str">
        <f>IF(AND(MediCare_Data[[#This Row],[Patient_Gender]]="Male", MediCare_Data[[#This Row],[Treatment_Type]]="Maternity"), "Gender-Treatment Mismatch", "Fine")</f>
        <v>Fine</v>
      </c>
      <c r="R785" s="10">
        <f>MediCare_Data[[#This Row],[Revenue_Generated]]-MediCare_Data[[#This Row],[Average_Treatment_Cost]]</f>
        <v>11291</v>
      </c>
      <c r="S785" s="3">
        <f>(MediCare_Data[[#This Row],[Profit]]/MediCare_Data[[#This Row],[Revenue_Generated]])</f>
        <v>0.62633827037221945</v>
      </c>
    </row>
    <row r="786" spans="1:19" x14ac:dyDescent="0.25">
      <c r="A786" t="s">
        <v>833</v>
      </c>
      <c r="B786" t="s">
        <v>39</v>
      </c>
      <c r="C786" t="s">
        <v>36</v>
      </c>
      <c r="D786" t="s">
        <v>32</v>
      </c>
      <c r="E786">
        <v>59</v>
      </c>
      <c r="F786" t="str">
        <f>IF(MediCare_Data[[#This Row],[Patient_Age]]&lt;=18,"0-18",IF(MediCare_Data[[#This Row],[Patient_Age]]&lt;=35,"19-35",IF(MediCare_Data[[#This Row],[Patient_Age]]&lt;=60,"36-60","60+")))</f>
        <v>36-60</v>
      </c>
      <c r="G786" t="s">
        <v>22</v>
      </c>
      <c r="H786" t="s">
        <v>33</v>
      </c>
      <c r="I786" s="2">
        <v>62</v>
      </c>
      <c r="J786" s="11">
        <v>6578</v>
      </c>
      <c r="K786" s="3">
        <v>19.280652889999999</v>
      </c>
      <c r="L786" s="3">
        <f t="shared" si="12"/>
        <v>0.1928065289</v>
      </c>
      <c r="M786">
        <v>130</v>
      </c>
      <c r="N786" s="6">
        <f>MediCare_Data[[#This Row],[Average_Wait_Time (mins)]]/1440</f>
        <v>9.0277777777777776E-2</v>
      </c>
      <c r="O786" s="2">
        <v>4</v>
      </c>
      <c r="P786" s="10">
        <v>9693</v>
      </c>
      <c r="Q786" s="17" t="str">
        <f>IF(AND(MediCare_Data[[#This Row],[Patient_Gender]]="Male", MediCare_Data[[#This Row],[Treatment_Type]]="Maternity"), "Gender-Treatment Mismatch", "Fine")</f>
        <v>Fine</v>
      </c>
      <c r="R786" s="10">
        <f>MediCare_Data[[#This Row],[Revenue_Generated]]-MediCare_Data[[#This Row],[Average_Treatment_Cost]]</f>
        <v>3115</v>
      </c>
      <c r="S786" s="3">
        <f>(MediCare_Data[[#This Row],[Profit]]/MediCare_Data[[#This Row],[Revenue_Generated]])</f>
        <v>0.32136593417930465</v>
      </c>
    </row>
    <row r="787" spans="1:19" x14ac:dyDescent="0.25">
      <c r="A787" t="s">
        <v>834</v>
      </c>
      <c r="B787" t="s">
        <v>53</v>
      </c>
      <c r="C787" t="s">
        <v>15</v>
      </c>
      <c r="D787" t="s">
        <v>32</v>
      </c>
      <c r="E787">
        <v>25</v>
      </c>
      <c r="F787" t="str">
        <f>IF(MediCare_Data[[#This Row],[Patient_Age]]&lt;=18,"0-18",IF(MediCare_Data[[#This Row],[Patient_Age]]&lt;=35,"19-35",IF(MediCare_Data[[#This Row],[Patient_Age]]&lt;=60,"36-60","60+")))</f>
        <v>19-35</v>
      </c>
      <c r="G787" t="s">
        <v>22</v>
      </c>
      <c r="H787" t="s">
        <v>47</v>
      </c>
      <c r="I787" s="2">
        <v>82</v>
      </c>
      <c r="J787" s="11">
        <v>852</v>
      </c>
      <c r="K787" s="3">
        <v>17.15810428</v>
      </c>
      <c r="L787" s="3">
        <f t="shared" si="12"/>
        <v>0.1715810428</v>
      </c>
      <c r="M787">
        <v>50</v>
      </c>
      <c r="N787" s="6">
        <f>MediCare_Data[[#This Row],[Average_Wait_Time (mins)]]/1440</f>
        <v>3.4722222222222224E-2</v>
      </c>
      <c r="O787" s="2">
        <v>4</v>
      </c>
      <c r="P787" s="10">
        <v>9921</v>
      </c>
      <c r="Q787" s="17" t="str">
        <f>IF(AND(MediCare_Data[[#This Row],[Patient_Gender]]="Male", MediCare_Data[[#This Row],[Treatment_Type]]="Maternity"), "Gender-Treatment Mismatch", "Fine")</f>
        <v>Fine</v>
      </c>
      <c r="R787" s="10">
        <f>MediCare_Data[[#This Row],[Revenue_Generated]]-MediCare_Data[[#This Row],[Average_Treatment_Cost]]</f>
        <v>9069</v>
      </c>
      <c r="S787" s="3">
        <f>(MediCare_Data[[#This Row],[Profit]]/MediCare_Data[[#This Row],[Revenue_Generated]])</f>
        <v>0.91412156032657998</v>
      </c>
    </row>
    <row r="788" spans="1:19" x14ac:dyDescent="0.25">
      <c r="A788" t="s">
        <v>835</v>
      </c>
      <c r="B788" t="s">
        <v>28</v>
      </c>
      <c r="C788" t="s">
        <v>36</v>
      </c>
      <c r="D788" t="s">
        <v>16</v>
      </c>
      <c r="E788">
        <v>30</v>
      </c>
      <c r="F788" t="str">
        <f>IF(MediCare_Data[[#This Row],[Patient_Age]]&lt;=18,"0-18",IF(MediCare_Data[[#This Row],[Patient_Age]]&lt;=35,"19-35",IF(MediCare_Data[[#This Row],[Patient_Age]]&lt;=60,"36-60","60+")))</f>
        <v>19-35</v>
      </c>
      <c r="G788" t="s">
        <v>22</v>
      </c>
      <c r="H788" t="s">
        <v>47</v>
      </c>
      <c r="I788" s="2">
        <v>83</v>
      </c>
      <c r="J788" s="11">
        <v>9594</v>
      </c>
      <c r="K788" s="3">
        <v>11.18745436</v>
      </c>
      <c r="L788" s="3">
        <f t="shared" si="12"/>
        <v>0.1118745436</v>
      </c>
      <c r="M788">
        <v>179</v>
      </c>
      <c r="N788" s="6">
        <f>MediCare_Data[[#This Row],[Average_Wait_Time (mins)]]/1440</f>
        <v>0.12430555555555556</v>
      </c>
      <c r="O788" s="2">
        <v>2</v>
      </c>
      <c r="P788" s="10">
        <v>11310</v>
      </c>
      <c r="Q788" s="17" t="str">
        <f>IF(AND(MediCare_Data[[#This Row],[Patient_Gender]]="Male", MediCare_Data[[#This Row],[Treatment_Type]]="Maternity"), "Gender-Treatment Mismatch", "Fine")</f>
        <v>Fine</v>
      </c>
      <c r="R788" s="10">
        <f>MediCare_Data[[#This Row],[Revenue_Generated]]-MediCare_Data[[#This Row],[Average_Treatment_Cost]]</f>
        <v>1716</v>
      </c>
      <c r="S788" s="3">
        <f>(MediCare_Data[[#This Row],[Profit]]/MediCare_Data[[#This Row],[Revenue_Generated]])</f>
        <v>0.15172413793103448</v>
      </c>
    </row>
    <row r="789" spans="1:19" x14ac:dyDescent="0.25">
      <c r="A789" t="s">
        <v>836</v>
      </c>
      <c r="B789" t="s">
        <v>53</v>
      </c>
      <c r="C789" t="s">
        <v>54</v>
      </c>
      <c r="D789" t="s">
        <v>32</v>
      </c>
      <c r="E789">
        <v>7</v>
      </c>
      <c r="F789" t="str">
        <f>IF(MediCare_Data[[#This Row],[Patient_Age]]&lt;=18,"0-18",IF(MediCare_Data[[#This Row],[Patient_Age]]&lt;=35,"19-35",IF(MediCare_Data[[#This Row],[Patient_Age]]&lt;=60,"36-60","60+")))</f>
        <v>0-18</v>
      </c>
      <c r="G789" t="s">
        <v>22</v>
      </c>
      <c r="H789" t="s">
        <v>18</v>
      </c>
      <c r="I789" s="2">
        <v>90</v>
      </c>
      <c r="J789" s="11">
        <v>7505</v>
      </c>
      <c r="K789" s="3">
        <v>21.475807679999999</v>
      </c>
      <c r="L789" s="3">
        <f t="shared" si="12"/>
        <v>0.2147580768</v>
      </c>
      <c r="M789">
        <v>177</v>
      </c>
      <c r="N789" s="6">
        <f>MediCare_Data[[#This Row],[Average_Wait_Time (mins)]]/1440</f>
        <v>0.12291666666666666</v>
      </c>
      <c r="O789" s="2">
        <v>1</v>
      </c>
      <c r="P789" s="10">
        <v>46512</v>
      </c>
      <c r="Q789" s="17" t="str">
        <f>IF(AND(MediCare_Data[[#This Row],[Patient_Gender]]="Male", MediCare_Data[[#This Row],[Treatment_Type]]="Maternity"), "Gender-Treatment Mismatch", "Fine")</f>
        <v>Fine</v>
      </c>
      <c r="R789" s="10">
        <f>MediCare_Data[[#This Row],[Revenue_Generated]]-MediCare_Data[[#This Row],[Average_Treatment_Cost]]</f>
        <v>39007</v>
      </c>
      <c r="S789" s="3">
        <f>(MediCare_Data[[#This Row],[Profit]]/MediCare_Data[[#This Row],[Revenue_Generated]])</f>
        <v>0.83864379084967322</v>
      </c>
    </row>
    <row r="790" spans="1:19" x14ac:dyDescent="0.25">
      <c r="A790" t="s">
        <v>837</v>
      </c>
      <c r="B790" t="s">
        <v>35</v>
      </c>
      <c r="C790" t="s">
        <v>29</v>
      </c>
      <c r="D790" t="s">
        <v>21</v>
      </c>
      <c r="E790">
        <v>11</v>
      </c>
      <c r="F790" t="str">
        <f>IF(MediCare_Data[[#This Row],[Patient_Age]]&lt;=18,"0-18",IF(MediCare_Data[[#This Row],[Patient_Age]]&lt;=35,"19-35",IF(MediCare_Data[[#This Row],[Patient_Age]]&lt;=60,"36-60","60+")))</f>
        <v>0-18</v>
      </c>
      <c r="G790" t="s">
        <v>22</v>
      </c>
      <c r="H790" t="s">
        <v>47</v>
      </c>
      <c r="I790" s="2">
        <v>84</v>
      </c>
      <c r="J790" s="11">
        <v>658</v>
      </c>
      <c r="K790" s="3">
        <v>24.10121023</v>
      </c>
      <c r="L790" s="3">
        <f t="shared" si="12"/>
        <v>0.2410121023</v>
      </c>
      <c r="M790">
        <v>48</v>
      </c>
      <c r="N790" s="6">
        <f>MediCare_Data[[#This Row],[Average_Wait_Time (mins)]]/1440</f>
        <v>3.3333333333333333E-2</v>
      </c>
      <c r="O790" s="2">
        <v>1</v>
      </c>
      <c r="P790" s="10">
        <v>31908</v>
      </c>
      <c r="Q790" s="17" t="str">
        <f>IF(AND(MediCare_Data[[#This Row],[Patient_Gender]]="Male", MediCare_Data[[#This Row],[Treatment_Type]]="Maternity"), "Gender-Treatment Mismatch", "Fine")</f>
        <v>Fine</v>
      </c>
      <c r="R790" s="10">
        <f>MediCare_Data[[#This Row],[Revenue_Generated]]-MediCare_Data[[#This Row],[Average_Treatment_Cost]]</f>
        <v>31250</v>
      </c>
      <c r="S790" s="3">
        <f>(MediCare_Data[[#This Row],[Profit]]/MediCare_Data[[#This Row],[Revenue_Generated]])</f>
        <v>0.97937821236053657</v>
      </c>
    </row>
    <row r="791" spans="1:19" x14ac:dyDescent="0.25">
      <c r="A791" t="s">
        <v>838</v>
      </c>
      <c r="B791" t="s">
        <v>82</v>
      </c>
      <c r="C791" t="s">
        <v>31</v>
      </c>
      <c r="D791" t="s">
        <v>16</v>
      </c>
      <c r="E791">
        <v>39</v>
      </c>
      <c r="F791" t="str">
        <f>IF(MediCare_Data[[#This Row],[Patient_Age]]&lt;=18,"0-18",IF(MediCare_Data[[#This Row],[Patient_Age]]&lt;=35,"19-35",IF(MediCare_Data[[#This Row],[Patient_Age]]&lt;=60,"36-60","60+")))</f>
        <v>36-60</v>
      </c>
      <c r="G791" t="s">
        <v>26</v>
      </c>
      <c r="H791" t="s">
        <v>18</v>
      </c>
      <c r="I791" s="2">
        <v>50</v>
      </c>
      <c r="J791" s="11">
        <v>1456</v>
      </c>
      <c r="K791" s="3">
        <v>21.42396565</v>
      </c>
      <c r="L791" s="3">
        <f t="shared" si="12"/>
        <v>0.21423965649999999</v>
      </c>
      <c r="M791">
        <v>122</v>
      </c>
      <c r="N791" s="6">
        <f>MediCare_Data[[#This Row],[Average_Wait_Time (mins)]]/1440</f>
        <v>8.4722222222222227E-2</v>
      </c>
      <c r="O791" s="2">
        <v>4</v>
      </c>
      <c r="P791" s="10">
        <v>5386</v>
      </c>
      <c r="Q791" s="17" t="str">
        <f>IF(AND(MediCare_Data[[#This Row],[Patient_Gender]]="Male", MediCare_Data[[#This Row],[Treatment_Type]]="Maternity"), "Gender-Treatment Mismatch", "Fine")</f>
        <v>Fine</v>
      </c>
      <c r="R791" s="10">
        <f>MediCare_Data[[#This Row],[Revenue_Generated]]-MediCare_Data[[#This Row],[Average_Treatment_Cost]]</f>
        <v>3930</v>
      </c>
      <c r="S791" s="3">
        <f>(MediCare_Data[[#This Row],[Profit]]/MediCare_Data[[#This Row],[Revenue_Generated]])</f>
        <v>0.72966951355365761</v>
      </c>
    </row>
    <row r="792" spans="1:19" x14ac:dyDescent="0.25">
      <c r="A792" t="s">
        <v>839</v>
      </c>
      <c r="B792" t="s">
        <v>39</v>
      </c>
      <c r="C792" t="s">
        <v>46</v>
      </c>
      <c r="D792" t="s">
        <v>21</v>
      </c>
      <c r="E792">
        <v>82</v>
      </c>
      <c r="F792" t="str">
        <f>IF(MediCare_Data[[#This Row],[Patient_Age]]&lt;=18,"0-18",IF(MediCare_Data[[#This Row],[Patient_Age]]&lt;=35,"19-35",IF(MediCare_Data[[#This Row],[Patient_Age]]&lt;=60,"36-60","60+")))</f>
        <v>60+</v>
      </c>
      <c r="G792" t="s">
        <v>26</v>
      </c>
      <c r="H792" t="s">
        <v>47</v>
      </c>
      <c r="I792" s="2">
        <v>70</v>
      </c>
      <c r="J792" s="11">
        <v>2571</v>
      </c>
      <c r="K792" s="3">
        <v>5.0313021039999999</v>
      </c>
      <c r="L792" s="3">
        <f t="shared" si="12"/>
        <v>5.0313021039999996E-2</v>
      </c>
      <c r="M792">
        <v>160</v>
      </c>
      <c r="N792" s="6">
        <f>MediCare_Data[[#This Row],[Average_Wait_Time (mins)]]/1440</f>
        <v>0.1111111111111111</v>
      </c>
      <c r="O792" s="2">
        <v>1</v>
      </c>
      <c r="P792" s="10">
        <v>33263</v>
      </c>
      <c r="Q792" s="17" t="str">
        <f>IF(AND(MediCare_Data[[#This Row],[Patient_Gender]]="Male", MediCare_Data[[#This Row],[Treatment_Type]]="Maternity"), "Gender-Treatment Mismatch", "Fine")</f>
        <v>Fine</v>
      </c>
      <c r="R792" s="10">
        <f>MediCare_Data[[#This Row],[Revenue_Generated]]-MediCare_Data[[#This Row],[Average_Treatment_Cost]]</f>
        <v>30692</v>
      </c>
      <c r="S792" s="3">
        <f>(MediCare_Data[[#This Row],[Profit]]/MediCare_Data[[#This Row],[Revenue_Generated]])</f>
        <v>0.92270691158344109</v>
      </c>
    </row>
    <row r="793" spans="1:19" x14ac:dyDescent="0.25">
      <c r="A793" t="s">
        <v>840</v>
      </c>
      <c r="B793" t="s">
        <v>14</v>
      </c>
      <c r="C793" t="s">
        <v>29</v>
      </c>
      <c r="D793" t="s">
        <v>16</v>
      </c>
      <c r="E793">
        <v>35</v>
      </c>
      <c r="F793" t="str">
        <f>IF(MediCare_Data[[#This Row],[Patient_Age]]&lt;=18,"0-18",IF(MediCare_Data[[#This Row],[Patient_Age]]&lt;=35,"19-35",IF(MediCare_Data[[#This Row],[Patient_Age]]&lt;=60,"36-60","60+")))</f>
        <v>19-35</v>
      </c>
      <c r="G793" t="s">
        <v>17</v>
      </c>
      <c r="H793" t="s">
        <v>51</v>
      </c>
      <c r="I793" s="2">
        <v>97</v>
      </c>
      <c r="J793" s="11">
        <v>9095</v>
      </c>
      <c r="K793" s="3">
        <v>17.728027399999998</v>
      </c>
      <c r="L793" s="3">
        <f t="shared" si="12"/>
        <v>0.17728027399999999</v>
      </c>
      <c r="M793">
        <v>120</v>
      </c>
      <c r="N793" s="6">
        <f>MediCare_Data[[#This Row],[Average_Wait_Time (mins)]]/1440</f>
        <v>8.3333333333333329E-2</v>
      </c>
      <c r="O793" s="2">
        <v>2</v>
      </c>
      <c r="P793" s="10">
        <v>29412</v>
      </c>
      <c r="Q793" s="17" t="str">
        <f>IF(AND(MediCare_Data[[#This Row],[Patient_Gender]]="Male", MediCare_Data[[#This Row],[Treatment_Type]]="Maternity"), "Gender-Treatment Mismatch", "Fine")</f>
        <v>Fine</v>
      </c>
      <c r="R793" s="10">
        <f>MediCare_Data[[#This Row],[Revenue_Generated]]-MediCare_Data[[#This Row],[Average_Treatment_Cost]]</f>
        <v>20317</v>
      </c>
      <c r="S793" s="3">
        <f>(MediCare_Data[[#This Row],[Profit]]/MediCare_Data[[#This Row],[Revenue_Generated]])</f>
        <v>0.69077247382020945</v>
      </c>
    </row>
    <row r="794" spans="1:19" x14ac:dyDescent="0.25">
      <c r="A794" t="s">
        <v>841</v>
      </c>
      <c r="B794" t="s">
        <v>82</v>
      </c>
      <c r="C794" t="s">
        <v>31</v>
      </c>
      <c r="D794" t="s">
        <v>21</v>
      </c>
      <c r="E794">
        <v>83</v>
      </c>
      <c r="F794" t="str">
        <f>IF(MediCare_Data[[#This Row],[Patient_Age]]&lt;=18,"0-18",IF(MediCare_Data[[#This Row],[Patient_Age]]&lt;=35,"19-35",IF(MediCare_Data[[#This Row],[Patient_Age]]&lt;=60,"36-60","60+")))</f>
        <v>60+</v>
      </c>
      <c r="G794" t="s">
        <v>22</v>
      </c>
      <c r="H794" t="s">
        <v>33</v>
      </c>
      <c r="I794" s="2">
        <v>55</v>
      </c>
      <c r="J794" s="11">
        <v>3953</v>
      </c>
      <c r="K794" s="3">
        <v>6.0227076290000001</v>
      </c>
      <c r="L794" s="3">
        <f t="shared" si="12"/>
        <v>6.0227076290000001E-2</v>
      </c>
      <c r="M794">
        <v>56</v>
      </c>
      <c r="N794" s="6">
        <f>MediCare_Data[[#This Row],[Average_Wait_Time (mins)]]/1440</f>
        <v>3.888888888888889E-2</v>
      </c>
      <c r="O794" s="2">
        <v>3</v>
      </c>
      <c r="P794" s="10">
        <v>18303</v>
      </c>
      <c r="Q794" s="17" t="str">
        <f>IF(AND(MediCare_Data[[#This Row],[Patient_Gender]]="Male", MediCare_Data[[#This Row],[Treatment_Type]]="Maternity"), "Gender-Treatment Mismatch", "Fine")</f>
        <v>Fine</v>
      </c>
      <c r="R794" s="10">
        <f>MediCare_Data[[#This Row],[Revenue_Generated]]-MediCare_Data[[#This Row],[Average_Treatment_Cost]]</f>
        <v>14350</v>
      </c>
      <c r="S794" s="3">
        <f>(MediCare_Data[[#This Row],[Profit]]/MediCare_Data[[#This Row],[Revenue_Generated]])</f>
        <v>0.78402447686171661</v>
      </c>
    </row>
    <row r="795" spans="1:19" x14ac:dyDescent="0.25">
      <c r="A795" t="s">
        <v>842</v>
      </c>
      <c r="B795" t="s">
        <v>25</v>
      </c>
      <c r="C795" t="s">
        <v>42</v>
      </c>
      <c r="D795" t="s">
        <v>32</v>
      </c>
      <c r="E795">
        <v>72</v>
      </c>
      <c r="F795" t="str">
        <f>IF(MediCare_Data[[#This Row],[Patient_Age]]&lt;=18,"0-18",IF(MediCare_Data[[#This Row],[Patient_Age]]&lt;=35,"19-35",IF(MediCare_Data[[#This Row],[Patient_Age]]&lt;=60,"36-60","60+")))</f>
        <v>60+</v>
      </c>
      <c r="G795" t="s">
        <v>43</v>
      </c>
      <c r="H795" t="s">
        <v>37</v>
      </c>
      <c r="I795" s="2">
        <v>77</v>
      </c>
      <c r="J795" s="11">
        <v>7175</v>
      </c>
      <c r="K795" s="3">
        <v>10.15214441</v>
      </c>
      <c r="L795" s="3">
        <f t="shared" si="12"/>
        <v>0.1015214441</v>
      </c>
      <c r="M795">
        <v>72</v>
      </c>
      <c r="N795" s="6">
        <f>MediCare_Data[[#This Row],[Average_Wait_Time (mins)]]/1440</f>
        <v>0.05</v>
      </c>
      <c r="O795" s="2">
        <v>1</v>
      </c>
      <c r="P795" s="10">
        <v>13242</v>
      </c>
      <c r="Q795" s="17" t="str">
        <f>IF(AND(MediCare_Data[[#This Row],[Patient_Gender]]="Male", MediCare_Data[[#This Row],[Treatment_Type]]="Maternity"), "Gender-Treatment Mismatch", "Fine")</f>
        <v>Fine</v>
      </c>
      <c r="R795" s="10">
        <f>MediCare_Data[[#This Row],[Revenue_Generated]]-MediCare_Data[[#This Row],[Average_Treatment_Cost]]</f>
        <v>6067</v>
      </c>
      <c r="S795" s="3">
        <f>(MediCare_Data[[#This Row],[Profit]]/MediCare_Data[[#This Row],[Revenue_Generated]])</f>
        <v>0.45816341942304789</v>
      </c>
    </row>
    <row r="796" spans="1:19" x14ac:dyDescent="0.25">
      <c r="A796" t="s">
        <v>843</v>
      </c>
      <c r="B796" t="s">
        <v>58</v>
      </c>
      <c r="C796" t="s">
        <v>31</v>
      </c>
      <c r="D796" t="s">
        <v>32</v>
      </c>
      <c r="E796">
        <v>41</v>
      </c>
      <c r="F796" t="str">
        <f>IF(MediCare_Data[[#This Row],[Patient_Age]]&lt;=18,"0-18",IF(MediCare_Data[[#This Row],[Patient_Age]]&lt;=35,"19-35",IF(MediCare_Data[[#This Row],[Patient_Age]]&lt;=60,"36-60","60+")))</f>
        <v>36-60</v>
      </c>
      <c r="G796" t="s">
        <v>17</v>
      </c>
      <c r="H796" t="s">
        <v>47</v>
      </c>
      <c r="I796" s="2">
        <v>66</v>
      </c>
      <c r="J796" s="11">
        <v>1455</v>
      </c>
      <c r="K796" s="3">
        <v>6.1904940069999999</v>
      </c>
      <c r="L796" s="3">
        <f t="shared" si="12"/>
        <v>6.1904940069999997E-2</v>
      </c>
      <c r="M796">
        <v>119</v>
      </c>
      <c r="N796" s="6">
        <f>MediCare_Data[[#This Row],[Average_Wait_Time (mins)]]/1440</f>
        <v>8.2638888888888887E-2</v>
      </c>
      <c r="O796" s="2">
        <v>4</v>
      </c>
      <c r="P796" s="10">
        <v>48025</v>
      </c>
      <c r="Q796" s="17" t="str">
        <f>IF(AND(MediCare_Data[[#This Row],[Patient_Gender]]="Male", MediCare_Data[[#This Row],[Treatment_Type]]="Maternity"), "Gender-Treatment Mismatch", "Fine")</f>
        <v>Fine</v>
      </c>
      <c r="R796" s="10">
        <f>MediCare_Data[[#This Row],[Revenue_Generated]]-MediCare_Data[[#This Row],[Average_Treatment_Cost]]</f>
        <v>46570</v>
      </c>
      <c r="S796" s="3">
        <f>(MediCare_Data[[#This Row],[Profit]]/MediCare_Data[[#This Row],[Revenue_Generated]])</f>
        <v>0.96970327954190527</v>
      </c>
    </row>
    <row r="797" spans="1:19" x14ac:dyDescent="0.25">
      <c r="A797" t="s">
        <v>844</v>
      </c>
      <c r="B797" t="s">
        <v>64</v>
      </c>
      <c r="C797" t="s">
        <v>29</v>
      </c>
      <c r="D797" t="s">
        <v>21</v>
      </c>
      <c r="E797">
        <v>56</v>
      </c>
      <c r="F797" t="str">
        <f>IF(MediCare_Data[[#This Row],[Patient_Age]]&lt;=18,"0-18",IF(MediCare_Data[[#This Row],[Patient_Age]]&lt;=35,"19-35",IF(MediCare_Data[[#This Row],[Patient_Age]]&lt;=60,"36-60","60+")))</f>
        <v>36-60</v>
      </c>
      <c r="G797" t="s">
        <v>17</v>
      </c>
      <c r="H797" t="s">
        <v>47</v>
      </c>
      <c r="I797" s="2">
        <v>54</v>
      </c>
      <c r="J797" s="11">
        <v>6795</v>
      </c>
      <c r="K797" s="3">
        <v>17.075909060000001</v>
      </c>
      <c r="L797" s="3">
        <f t="shared" si="12"/>
        <v>0.1707590906</v>
      </c>
      <c r="M797">
        <v>78</v>
      </c>
      <c r="N797" s="6">
        <f>MediCare_Data[[#This Row],[Average_Wait_Time (mins)]]/1440</f>
        <v>5.4166666666666669E-2</v>
      </c>
      <c r="O797" s="2">
        <v>3</v>
      </c>
      <c r="P797" s="10">
        <v>9947</v>
      </c>
      <c r="Q797" s="17" t="str">
        <f>IF(AND(MediCare_Data[[#This Row],[Patient_Gender]]="Male", MediCare_Data[[#This Row],[Treatment_Type]]="Maternity"), "Gender-Treatment Mismatch", "Fine")</f>
        <v>Fine</v>
      </c>
      <c r="R797" s="10">
        <f>MediCare_Data[[#This Row],[Revenue_Generated]]-MediCare_Data[[#This Row],[Average_Treatment_Cost]]</f>
        <v>3152</v>
      </c>
      <c r="S797" s="3">
        <f>(MediCare_Data[[#This Row],[Profit]]/MediCare_Data[[#This Row],[Revenue_Generated]])</f>
        <v>0.31687946114406351</v>
      </c>
    </row>
    <row r="798" spans="1:19" x14ac:dyDescent="0.25">
      <c r="A798" t="s">
        <v>845</v>
      </c>
      <c r="B798" t="s">
        <v>41</v>
      </c>
      <c r="C798" t="s">
        <v>29</v>
      </c>
      <c r="D798" t="s">
        <v>16</v>
      </c>
      <c r="E798">
        <v>25</v>
      </c>
      <c r="F798" t="str">
        <f>IF(MediCare_Data[[#This Row],[Patient_Age]]&lt;=18,"0-18",IF(MediCare_Data[[#This Row],[Patient_Age]]&lt;=35,"19-35",IF(MediCare_Data[[#This Row],[Patient_Age]]&lt;=60,"36-60","60+")))</f>
        <v>19-35</v>
      </c>
      <c r="G798" t="s">
        <v>22</v>
      </c>
      <c r="H798" t="s">
        <v>47</v>
      </c>
      <c r="I798" s="2">
        <v>80</v>
      </c>
      <c r="J798" s="11">
        <v>2212</v>
      </c>
      <c r="K798" s="3">
        <v>18.731798269999999</v>
      </c>
      <c r="L798" s="3">
        <f t="shared" si="12"/>
        <v>0.1873179827</v>
      </c>
      <c r="M798">
        <v>52</v>
      </c>
      <c r="N798" s="6">
        <f>MediCare_Data[[#This Row],[Average_Wait_Time (mins)]]/1440</f>
        <v>3.6111111111111108E-2</v>
      </c>
      <c r="O798" s="2">
        <v>3</v>
      </c>
      <c r="P798" s="10">
        <v>47714</v>
      </c>
      <c r="Q798" s="17" t="str">
        <f>IF(AND(MediCare_Data[[#This Row],[Patient_Gender]]="Male", MediCare_Data[[#This Row],[Treatment_Type]]="Maternity"), "Gender-Treatment Mismatch", "Fine")</f>
        <v>Fine</v>
      </c>
      <c r="R798" s="10">
        <f>MediCare_Data[[#This Row],[Revenue_Generated]]-MediCare_Data[[#This Row],[Average_Treatment_Cost]]</f>
        <v>45502</v>
      </c>
      <c r="S798" s="3">
        <f>(MediCare_Data[[#This Row],[Profit]]/MediCare_Data[[#This Row],[Revenue_Generated]])</f>
        <v>0.95364044096072431</v>
      </c>
    </row>
    <row r="799" spans="1:19" x14ac:dyDescent="0.25">
      <c r="A799" t="s">
        <v>846</v>
      </c>
      <c r="B799" t="s">
        <v>82</v>
      </c>
      <c r="C799" t="s">
        <v>15</v>
      </c>
      <c r="D799" t="s">
        <v>32</v>
      </c>
      <c r="E799">
        <v>41</v>
      </c>
      <c r="F799" t="str">
        <f>IF(MediCare_Data[[#This Row],[Patient_Age]]&lt;=18,"0-18",IF(MediCare_Data[[#This Row],[Patient_Age]]&lt;=35,"19-35",IF(MediCare_Data[[#This Row],[Patient_Age]]&lt;=60,"36-60","60+")))</f>
        <v>36-60</v>
      </c>
      <c r="G799" t="s">
        <v>22</v>
      </c>
      <c r="H799" t="s">
        <v>18</v>
      </c>
      <c r="I799" s="2">
        <v>54</v>
      </c>
      <c r="J799" s="11">
        <v>5203</v>
      </c>
      <c r="K799" s="3">
        <v>7.2897527609999999</v>
      </c>
      <c r="L799" s="3">
        <f t="shared" si="12"/>
        <v>7.2897527609999999E-2</v>
      </c>
      <c r="M799">
        <v>43</v>
      </c>
      <c r="N799" s="6">
        <f>MediCare_Data[[#This Row],[Average_Wait_Time (mins)]]/1440</f>
        <v>2.9861111111111113E-2</v>
      </c>
      <c r="O799" s="2">
        <v>2</v>
      </c>
      <c r="P799" s="10">
        <v>6930</v>
      </c>
      <c r="Q799" s="17" t="str">
        <f>IF(AND(MediCare_Data[[#This Row],[Patient_Gender]]="Male", MediCare_Data[[#This Row],[Treatment_Type]]="Maternity"), "Gender-Treatment Mismatch", "Fine")</f>
        <v>Fine</v>
      </c>
      <c r="R799" s="10">
        <f>MediCare_Data[[#This Row],[Revenue_Generated]]-MediCare_Data[[#This Row],[Average_Treatment_Cost]]</f>
        <v>1727</v>
      </c>
      <c r="S799" s="3">
        <f>(MediCare_Data[[#This Row],[Profit]]/MediCare_Data[[#This Row],[Revenue_Generated]])</f>
        <v>0.24920634920634921</v>
      </c>
    </row>
    <row r="800" spans="1:19" x14ac:dyDescent="0.25">
      <c r="A800" t="s">
        <v>847</v>
      </c>
      <c r="B800" t="s">
        <v>49</v>
      </c>
      <c r="C800" t="s">
        <v>31</v>
      </c>
      <c r="D800" t="s">
        <v>16</v>
      </c>
      <c r="E800">
        <v>20</v>
      </c>
      <c r="F800" t="str">
        <f>IF(MediCare_Data[[#This Row],[Patient_Age]]&lt;=18,"0-18",IF(MediCare_Data[[#This Row],[Patient_Age]]&lt;=35,"19-35",IF(MediCare_Data[[#This Row],[Patient_Age]]&lt;=60,"36-60","60+")))</f>
        <v>19-35</v>
      </c>
      <c r="G800" t="s">
        <v>26</v>
      </c>
      <c r="H800" t="s">
        <v>33</v>
      </c>
      <c r="I800" s="2">
        <v>87</v>
      </c>
      <c r="J800" s="11">
        <v>7063</v>
      </c>
      <c r="K800" s="3">
        <v>12.676777660000001</v>
      </c>
      <c r="L800" s="3">
        <f t="shared" si="12"/>
        <v>0.12676777660000002</v>
      </c>
      <c r="M800">
        <v>49</v>
      </c>
      <c r="N800" s="6">
        <f>MediCare_Data[[#This Row],[Average_Wait_Time (mins)]]/1440</f>
        <v>3.4027777777777775E-2</v>
      </c>
      <c r="O800" s="2">
        <v>4</v>
      </c>
      <c r="P800" s="10">
        <v>39170</v>
      </c>
      <c r="Q800" s="17" t="str">
        <f>IF(AND(MediCare_Data[[#This Row],[Patient_Gender]]="Male", MediCare_Data[[#This Row],[Treatment_Type]]="Maternity"), "Gender-Treatment Mismatch", "Fine")</f>
        <v>Fine</v>
      </c>
      <c r="R800" s="10">
        <f>MediCare_Data[[#This Row],[Revenue_Generated]]-MediCare_Data[[#This Row],[Average_Treatment_Cost]]</f>
        <v>32107</v>
      </c>
      <c r="S800" s="3">
        <f>(MediCare_Data[[#This Row],[Profit]]/MediCare_Data[[#This Row],[Revenue_Generated]])</f>
        <v>0.81968343119734488</v>
      </c>
    </row>
    <row r="801" spans="1:19" x14ac:dyDescent="0.25">
      <c r="A801" t="s">
        <v>848</v>
      </c>
      <c r="B801" t="s">
        <v>39</v>
      </c>
      <c r="C801" t="s">
        <v>42</v>
      </c>
      <c r="D801" t="s">
        <v>21</v>
      </c>
      <c r="E801">
        <v>85</v>
      </c>
      <c r="F801" t="str">
        <f>IF(MediCare_Data[[#This Row],[Patient_Age]]&lt;=18,"0-18",IF(MediCare_Data[[#This Row],[Patient_Age]]&lt;=35,"19-35",IF(MediCare_Data[[#This Row],[Patient_Age]]&lt;=60,"36-60","60+")))</f>
        <v>60+</v>
      </c>
      <c r="G801" t="s">
        <v>17</v>
      </c>
      <c r="H801" t="s">
        <v>23</v>
      </c>
      <c r="I801" s="2">
        <v>52</v>
      </c>
      <c r="J801" s="11">
        <v>9965</v>
      </c>
      <c r="K801" s="3">
        <v>14.12473018</v>
      </c>
      <c r="L801" s="3">
        <f t="shared" si="12"/>
        <v>0.1412473018</v>
      </c>
      <c r="M801">
        <v>70</v>
      </c>
      <c r="N801" s="6">
        <f>MediCare_Data[[#This Row],[Average_Wait_Time (mins)]]/1440</f>
        <v>4.8611111111111112E-2</v>
      </c>
      <c r="O801" s="2">
        <v>1</v>
      </c>
      <c r="P801" s="10">
        <v>49785</v>
      </c>
      <c r="Q801" s="17" t="str">
        <f>IF(AND(MediCare_Data[[#This Row],[Patient_Gender]]="Male", MediCare_Data[[#This Row],[Treatment_Type]]="Maternity"), "Gender-Treatment Mismatch", "Fine")</f>
        <v>Fine</v>
      </c>
      <c r="R801" s="10">
        <f>MediCare_Data[[#This Row],[Revenue_Generated]]-MediCare_Data[[#This Row],[Average_Treatment_Cost]]</f>
        <v>39820</v>
      </c>
      <c r="S801" s="3">
        <f>(MediCare_Data[[#This Row],[Profit]]/MediCare_Data[[#This Row],[Revenue_Generated]])</f>
        <v>0.79983930902882394</v>
      </c>
    </row>
    <row r="802" spans="1:19" x14ac:dyDescent="0.25">
      <c r="A802" t="s">
        <v>849</v>
      </c>
      <c r="B802" t="s">
        <v>45</v>
      </c>
      <c r="C802" t="s">
        <v>29</v>
      </c>
      <c r="D802" t="s">
        <v>21</v>
      </c>
      <c r="E802">
        <v>34</v>
      </c>
      <c r="F802" t="str">
        <f>IF(MediCare_Data[[#This Row],[Patient_Age]]&lt;=18,"0-18",IF(MediCare_Data[[#This Row],[Patient_Age]]&lt;=35,"19-35",IF(MediCare_Data[[#This Row],[Patient_Age]]&lt;=60,"36-60","60+")))</f>
        <v>19-35</v>
      </c>
      <c r="G802" t="s">
        <v>17</v>
      </c>
      <c r="H802" t="s">
        <v>18</v>
      </c>
      <c r="I802" s="2">
        <v>72</v>
      </c>
      <c r="J802" s="11">
        <v>6131</v>
      </c>
      <c r="K802" s="3">
        <v>12.381060440000001</v>
      </c>
      <c r="L802" s="3">
        <f t="shared" si="12"/>
        <v>0.12381060440000001</v>
      </c>
      <c r="M802">
        <v>71</v>
      </c>
      <c r="N802" s="6">
        <f>MediCare_Data[[#This Row],[Average_Wait_Time (mins)]]/1440</f>
        <v>4.9305555555555554E-2</v>
      </c>
      <c r="O802" s="2">
        <v>4</v>
      </c>
      <c r="P802" s="10">
        <v>1507</v>
      </c>
      <c r="Q802" s="17" t="str">
        <f>IF(AND(MediCare_Data[[#This Row],[Patient_Gender]]="Male", MediCare_Data[[#This Row],[Treatment_Type]]="Maternity"), "Gender-Treatment Mismatch", "Fine")</f>
        <v>Fine</v>
      </c>
      <c r="R802" s="10">
        <f>MediCare_Data[[#This Row],[Revenue_Generated]]-MediCare_Data[[#This Row],[Average_Treatment_Cost]]</f>
        <v>-4624</v>
      </c>
      <c r="S802" s="3">
        <f>(MediCare_Data[[#This Row],[Profit]]/MediCare_Data[[#This Row],[Revenue_Generated]])</f>
        <v>-3.0683477106834771</v>
      </c>
    </row>
    <row r="803" spans="1:19" x14ac:dyDescent="0.25">
      <c r="A803" t="s">
        <v>850</v>
      </c>
      <c r="B803" t="s">
        <v>61</v>
      </c>
      <c r="C803" t="s">
        <v>20</v>
      </c>
      <c r="D803" t="s">
        <v>21</v>
      </c>
      <c r="E803">
        <v>43</v>
      </c>
      <c r="F803" t="str">
        <f>IF(MediCare_Data[[#This Row],[Patient_Age]]&lt;=18,"0-18",IF(MediCare_Data[[#This Row],[Patient_Age]]&lt;=35,"19-35",IF(MediCare_Data[[#This Row],[Patient_Age]]&lt;=60,"36-60","60+")))</f>
        <v>36-60</v>
      </c>
      <c r="G803" t="s">
        <v>22</v>
      </c>
      <c r="H803" t="s">
        <v>51</v>
      </c>
      <c r="I803" s="2">
        <v>86</v>
      </c>
      <c r="J803" s="11">
        <v>1894</v>
      </c>
      <c r="K803" s="3">
        <v>7.4205000099999996</v>
      </c>
      <c r="L803" s="3">
        <f t="shared" si="12"/>
        <v>7.4205000100000001E-2</v>
      </c>
      <c r="M803">
        <v>67</v>
      </c>
      <c r="N803" s="6">
        <f>MediCare_Data[[#This Row],[Average_Wait_Time (mins)]]/1440</f>
        <v>4.6527777777777779E-2</v>
      </c>
      <c r="O803" s="2">
        <v>3</v>
      </c>
      <c r="P803" s="10">
        <v>2436</v>
      </c>
      <c r="Q803" s="17" t="str">
        <f>IF(AND(MediCare_Data[[#This Row],[Patient_Gender]]="Male", MediCare_Data[[#This Row],[Treatment_Type]]="Maternity"), "Gender-Treatment Mismatch", "Fine")</f>
        <v>Fine</v>
      </c>
      <c r="R803" s="10">
        <f>MediCare_Data[[#This Row],[Revenue_Generated]]-MediCare_Data[[#This Row],[Average_Treatment_Cost]]</f>
        <v>542</v>
      </c>
      <c r="S803" s="3">
        <f>(MediCare_Data[[#This Row],[Profit]]/MediCare_Data[[#This Row],[Revenue_Generated]])</f>
        <v>0.22249589490968802</v>
      </c>
    </row>
    <row r="804" spans="1:19" x14ac:dyDescent="0.25">
      <c r="A804" t="s">
        <v>851</v>
      </c>
      <c r="B804" t="s">
        <v>74</v>
      </c>
      <c r="C804" t="s">
        <v>15</v>
      </c>
      <c r="D804" t="s">
        <v>16</v>
      </c>
      <c r="E804">
        <v>73</v>
      </c>
      <c r="F804" t="str">
        <f>IF(MediCare_Data[[#This Row],[Patient_Age]]&lt;=18,"0-18",IF(MediCare_Data[[#This Row],[Patient_Age]]&lt;=35,"19-35",IF(MediCare_Data[[#This Row],[Patient_Age]]&lt;=60,"36-60","60+")))</f>
        <v>60+</v>
      </c>
      <c r="G804" t="s">
        <v>17</v>
      </c>
      <c r="H804" t="s">
        <v>18</v>
      </c>
      <c r="I804" s="2">
        <v>86</v>
      </c>
      <c r="J804" s="11">
        <v>9961</v>
      </c>
      <c r="K804" s="3">
        <v>13.3789558</v>
      </c>
      <c r="L804" s="3">
        <f t="shared" si="12"/>
        <v>0.133789558</v>
      </c>
      <c r="M804">
        <v>170</v>
      </c>
      <c r="N804" s="6">
        <f>MediCare_Data[[#This Row],[Average_Wait_Time (mins)]]/1440</f>
        <v>0.11805555555555555</v>
      </c>
      <c r="O804" s="2">
        <v>4</v>
      </c>
      <c r="P804" s="10">
        <v>28151</v>
      </c>
      <c r="Q804" s="17" t="str">
        <f>IF(AND(MediCare_Data[[#This Row],[Patient_Gender]]="Male", MediCare_Data[[#This Row],[Treatment_Type]]="Maternity"), "Gender-Treatment Mismatch", "Fine")</f>
        <v>Fine</v>
      </c>
      <c r="R804" s="10">
        <f>MediCare_Data[[#This Row],[Revenue_Generated]]-MediCare_Data[[#This Row],[Average_Treatment_Cost]]</f>
        <v>18190</v>
      </c>
      <c r="S804" s="3">
        <f>(MediCare_Data[[#This Row],[Profit]]/MediCare_Data[[#This Row],[Revenue_Generated]])</f>
        <v>0.64615821818052643</v>
      </c>
    </row>
    <row r="805" spans="1:19" x14ac:dyDescent="0.25">
      <c r="A805" t="s">
        <v>852</v>
      </c>
      <c r="B805" t="s">
        <v>56</v>
      </c>
      <c r="C805" t="s">
        <v>46</v>
      </c>
      <c r="D805" t="s">
        <v>32</v>
      </c>
      <c r="E805">
        <v>83</v>
      </c>
      <c r="F805" t="str">
        <f>IF(MediCare_Data[[#This Row],[Patient_Age]]&lt;=18,"0-18",IF(MediCare_Data[[#This Row],[Patient_Age]]&lt;=35,"19-35",IF(MediCare_Data[[#This Row],[Patient_Age]]&lt;=60,"36-60","60+")))</f>
        <v>60+</v>
      </c>
      <c r="G805" t="s">
        <v>43</v>
      </c>
      <c r="H805" t="s">
        <v>23</v>
      </c>
      <c r="I805" s="2">
        <v>59</v>
      </c>
      <c r="J805" s="11">
        <v>5232</v>
      </c>
      <c r="K805" s="3">
        <v>20.023560960000001</v>
      </c>
      <c r="L805" s="3">
        <f t="shared" si="12"/>
        <v>0.2002356096</v>
      </c>
      <c r="M805">
        <v>84</v>
      </c>
      <c r="N805" s="6">
        <f>MediCare_Data[[#This Row],[Average_Wait_Time (mins)]]/1440</f>
        <v>5.8333333333333334E-2</v>
      </c>
      <c r="O805" s="2">
        <v>1</v>
      </c>
      <c r="P805" s="10">
        <v>12618</v>
      </c>
      <c r="Q805" s="17" t="str">
        <f>IF(AND(MediCare_Data[[#This Row],[Patient_Gender]]="Male", MediCare_Data[[#This Row],[Treatment_Type]]="Maternity"), "Gender-Treatment Mismatch", "Fine")</f>
        <v>Fine</v>
      </c>
      <c r="R805" s="10">
        <f>MediCare_Data[[#This Row],[Revenue_Generated]]-MediCare_Data[[#This Row],[Average_Treatment_Cost]]</f>
        <v>7386</v>
      </c>
      <c r="S805" s="3">
        <f>(MediCare_Data[[#This Row],[Profit]]/MediCare_Data[[#This Row],[Revenue_Generated]])</f>
        <v>0.58535425582501188</v>
      </c>
    </row>
    <row r="806" spans="1:19" x14ac:dyDescent="0.25">
      <c r="A806" t="s">
        <v>853</v>
      </c>
      <c r="B806" t="s">
        <v>64</v>
      </c>
      <c r="C806" t="s">
        <v>29</v>
      </c>
      <c r="D806" t="s">
        <v>21</v>
      </c>
      <c r="E806">
        <v>85</v>
      </c>
      <c r="F806" t="str">
        <f>IF(MediCare_Data[[#This Row],[Patient_Age]]&lt;=18,"0-18",IF(MediCare_Data[[#This Row],[Patient_Age]]&lt;=35,"19-35",IF(MediCare_Data[[#This Row],[Patient_Age]]&lt;=60,"36-60","60+")))</f>
        <v>60+</v>
      </c>
      <c r="G806" t="s">
        <v>22</v>
      </c>
      <c r="H806" t="s">
        <v>51</v>
      </c>
      <c r="I806" s="2">
        <v>59</v>
      </c>
      <c r="J806" s="11">
        <v>4214</v>
      </c>
      <c r="K806" s="3">
        <v>6.4201532910000001</v>
      </c>
      <c r="L806" s="3">
        <f t="shared" si="12"/>
        <v>6.4201532909999998E-2</v>
      </c>
      <c r="M806">
        <v>25</v>
      </c>
      <c r="N806" s="6">
        <f>MediCare_Data[[#This Row],[Average_Wait_Time (mins)]]/1440</f>
        <v>1.7361111111111112E-2</v>
      </c>
      <c r="O806" s="2">
        <v>1</v>
      </c>
      <c r="P806" s="10">
        <v>9750</v>
      </c>
      <c r="Q806" s="17" t="str">
        <f>IF(AND(MediCare_Data[[#This Row],[Patient_Gender]]="Male", MediCare_Data[[#This Row],[Treatment_Type]]="Maternity"), "Gender-Treatment Mismatch", "Fine")</f>
        <v>Fine</v>
      </c>
      <c r="R806" s="10">
        <f>MediCare_Data[[#This Row],[Revenue_Generated]]-MediCare_Data[[#This Row],[Average_Treatment_Cost]]</f>
        <v>5536</v>
      </c>
      <c r="S806" s="3">
        <f>(MediCare_Data[[#This Row],[Profit]]/MediCare_Data[[#This Row],[Revenue_Generated]])</f>
        <v>0.56779487179487176</v>
      </c>
    </row>
    <row r="807" spans="1:19" x14ac:dyDescent="0.25">
      <c r="A807" t="s">
        <v>854</v>
      </c>
      <c r="B807" t="s">
        <v>74</v>
      </c>
      <c r="C807" t="s">
        <v>20</v>
      </c>
      <c r="D807" t="s">
        <v>16</v>
      </c>
      <c r="E807">
        <v>49</v>
      </c>
      <c r="F807" t="str">
        <f>IF(MediCare_Data[[#This Row],[Patient_Age]]&lt;=18,"0-18",IF(MediCare_Data[[#This Row],[Patient_Age]]&lt;=35,"19-35",IF(MediCare_Data[[#This Row],[Patient_Age]]&lt;=60,"36-60","60+")))</f>
        <v>36-60</v>
      </c>
      <c r="G807" t="s">
        <v>17</v>
      </c>
      <c r="H807" t="s">
        <v>23</v>
      </c>
      <c r="I807" s="2">
        <v>68</v>
      </c>
      <c r="J807" s="11">
        <v>1029</v>
      </c>
      <c r="K807" s="3">
        <v>6.6036002820000004</v>
      </c>
      <c r="L807" s="3">
        <f t="shared" si="12"/>
        <v>6.6036002820000009E-2</v>
      </c>
      <c r="M807">
        <v>91</v>
      </c>
      <c r="N807" s="6">
        <f>MediCare_Data[[#This Row],[Average_Wait_Time (mins)]]/1440</f>
        <v>6.3194444444444442E-2</v>
      </c>
      <c r="O807" s="2">
        <v>2</v>
      </c>
      <c r="P807" s="10">
        <v>17122</v>
      </c>
      <c r="Q807" s="17" t="str">
        <f>IF(AND(MediCare_Data[[#This Row],[Patient_Gender]]="Male", MediCare_Data[[#This Row],[Treatment_Type]]="Maternity"), "Gender-Treatment Mismatch", "Fine")</f>
        <v>Fine</v>
      </c>
      <c r="R807" s="10">
        <f>MediCare_Data[[#This Row],[Revenue_Generated]]-MediCare_Data[[#This Row],[Average_Treatment_Cost]]</f>
        <v>16093</v>
      </c>
      <c r="S807" s="3">
        <f>(MediCare_Data[[#This Row],[Profit]]/MediCare_Data[[#This Row],[Revenue_Generated]])</f>
        <v>0.93990188062142277</v>
      </c>
    </row>
    <row r="808" spans="1:19" x14ac:dyDescent="0.25">
      <c r="A808" t="s">
        <v>855</v>
      </c>
      <c r="B808" t="s">
        <v>49</v>
      </c>
      <c r="C808" t="s">
        <v>46</v>
      </c>
      <c r="D808" t="s">
        <v>32</v>
      </c>
      <c r="E808">
        <v>57</v>
      </c>
      <c r="F808" t="str">
        <f>IF(MediCare_Data[[#This Row],[Patient_Age]]&lt;=18,"0-18",IF(MediCare_Data[[#This Row],[Patient_Age]]&lt;=35,"19-35",IF(MediCare_Data[[#This Row],[Patient_Age]]&lt;=60,"36-60","60+")))</f>
        <v>36-60</v>
      </c>
      <c r="G808" t="s">
        <v>26</v>
      </c>
      <c r="H808" t="s">
        <v>23</v>
      </c>
      <c r="I808" s="2">
        <v>66</v>
      </c>
      <c r="J808" s="11">
        <v>3458</v>
      </c>
      <c r="K808" s="3">
        <v>12.095425840000001</v>
      </c>
      <c r="L808" s="3">
        <f t="shared" si="12"/>
        <v>0.12095425840000001</v>
      </c>
      <c r="M808">
        <v>103</v>
      </c>
      <c r="N808" s="6">
        <f>MediCare_Data[[#This Row],[Average_Wait_Time (mins)]]/1440</f>
        <v>7.1527777777777773E-2</v>
      </c>
      <c r="O808" s="2">
        <v>1</v>
      </c>
      <c r="P808" s="10">
        <v>8354</v>
      </c>
      <c r="Q808" s="17" t="str">
        <f>IF(AND(MediCare_Data[[#This Row],[Patient_Gender]]="Male", MediCare_Data[[#This Row],[Treatment_Type]]="Maternity"), "Gender-Treatment Mismatch", "Fine")</f>
        <v>Fine</v>
      </c>
      <c r="R808" s="10">
        <f>MediCare_Data[[#This Row],[Revenue_Generated]]-MediCare_Data[[#This Row],[Average_Treatment_Cost]]</f>
        <v>4896</v>
      </c>
      <c r="S808" s="3">
        <f>(MediCare_Data[[#This Row],[Profit]]/MediCare_Data[[#This Row],[Revenue_Generated]])</f>
        <v>0.58606655494373949</v>
      </c>
    </row>
    <row r="809" spans="1:19" x14ac:dyDescent="0.25">
      <c r="A809" t="s">
        <v>856</v>
      </c>
      <c r="B809" t="s">
        <v>25</v>
      </c>
      <c r="C809" t="s">
        <v>42</v>
      </c>
      <c r="D809" t="s">
        <v>32</v>
      </c>
      <c r="E809">
        <v>62</v>
      </c>
      <c r="F809" t="str">
        <f>IF(MediCare_Data[[#This Row],[Patient_Age]]&lt;=18,"0-18",IF(MediCare_Data[[#This Row],[Patient_Age]]&lt;=35,"19-35",IF(MediCare_Data[[#This Row],[Patient_Age]]&lt;=60,"36-60","60+")))</f>
        <v>60+</v>
      </c>
      <c r="G809" t="s">
        <v>26</v>
      </c>
      <c r="H809" t="s">
        <v>33</v>
      </c>
      <c r="I809" s="2">
        <v>70</v>
      </c>
      <c r="J809" s="11">
        <v>8404</v>
      </c>
      <c r="K809" s="3">
        <v>23.83451423</v>
      </c>
      <c r="L809" s="3">
        <f t="shared" si="12"/>
        <v>0.23834514230000001</v>
      </c>
      <c r="M809">
        <v>57</v>
      </c>
      <c r="N809" s="6">
        <f>MediCare_Data[[#This Row],[Average_Wait_Time (mins)]]/1440</f>
        <v>3.9583333333333331E-2</v>
      </c>
      <c r="O809" s="2">
        <v>1</v>
      </c>
      <c r="P809" s="10">
        <v>45062</v>
      </c>
      <c r="Q809" s="17" t="str">
        <f>IF(AND(MediCare_Data[[#This Row],[Patient_Gender]]="Male", MediCare_Data[[#This Row],[Treatment_Type]]="Maternity"), "Gender-Treatment Mismatch", "Fine")</f>
        <v>Fine</v>
      </c>
      <c r="R809" s="10">
        <f>MediCare_Data[[#This Row],[Revenue_Generated]]-MediCare_Data[[#This Row],[Average_Treatment_Cost]]</f>
        <v>36658</v>
      </c>
      <c r="S809" s="3">
        <f>(MediCare_Data[[#This Row],[Profit]]/MediCare_Data[[#This Row],[Revenue_Generated]])</f>
        <v>0.81350139807376498</v>
      </c>
    </row>
    <row r="810" spans="1:19" x14ac:dyDescent="0.25">
      <c r="A810" t="s">
        <v>857</v>
      </c>
      <c r="B810" t="s">
        <v>58</v>
      </c>
      <c r="C810" t="s">
        <v>36</v>
      </c>
      <c r="D810" t="s">
        <v>16</v>
      </c>
      <c r="E810">
        <v>36</v>
      </c>
      <c r="F810" t="str">
        <f>IF(MediCare_Data[[#This Row],[Patient_Age]]&lt;=18,"0-18",IF(MediCare_Data[[#This Row],[Patient_Age]]&lt;=35,"19-35",IF(MediCare_Data[[#This Row],[Patient_Age]]&lt;=60,"36-60","60+")))</f>
        <v>36-60</v>
      </c>
      <c r="G810" t="s">
        <v>43</v>
      </c>
      <c r="H810" t="s">
        <v>37</v>
      </c>
      <c r="I810" s="2">
        <v>63</v>
      </c>
      <c r="J810" s="11">
        <v>4091</v>
      </c>
      <c r="K810" s="3">
        <v>18.37145293</v>
      </c>
      <c r="L810" s="3">
        <f t="shared" si="12"/>
        <v>0.18371452930000001</v>
      </c>
      <c r="M810">
        <v>147</v>
      </c>
      <c r="N810" s="6">
        <f>MediCare_Data[[#This Row],[Average_Wait_Time (mins)]]/1440</f>
        <v>0.10208333333333333</v>
      </c>
      <c r="O810" s="2">
        <v>4</v>
      </c>
      <c r="P810" s="10">
        <v>31979</v>
      </c>
      <c r="Q810" s="17" t="str">
        <f>IF(AND(MediCare_Data[[#This Row],[Patient_Gender]]="Male", MediCare_Data[[#This Row],[Treatment_Type]]="Maternity"), "Gender-Treatment Mismatch", "Fine")</f>
        <v>Gender-Treatment Mismatch</v>
      </c>
      <c r="R810" s="10">
        <f>MediCare_Data[[#This Row],[Revenue_Generated]]-MediCare_Data[[#This Row],[Average_Treatment_Cost]]</f>
        <v>27888</v>
      </c>
      <c r="S810" s="3">
        <f>(MediCare_Data[[#This Row],[Profit]]/MediCare_Data[[#This Row],[Revenue_Generated]])</f>
        <v>0.87207229744519843</v>
      </c>
    </row>
    <row r="811" spans="1:19" x14ac:dyDescent="0.25">
      <c r="A811" t="s">
        <v>858</v>
      </c>
      <c r="B811" t="s">
        <v>53</v>
      </c>
      <c r="C811" t="s">
        <v>36</v>
      </c>
      <c r="D811" t="s">
        <v>21</v>
      </c>
      <c r="E811">
        <v>44</v>
      </c>
      <c r="F811" t="str">
        <f>IF(MediCare_Data[[#This Row],[Patient_Age]]&lt;=18,"0-18",IF(MediCare_Data[[#This Row],[Patient_Age]]&lt;=35,"19-35",IF(MediCare_Data[[#This Row],[Patient_Age]]&lt;=60,"36-60","60+")))</f>
        <v>36-60</v>
      </c>
      <c r="G811" t="s">
        <v>43</v>
      </c>
      <c r="H811" t="s">
        <v>51</v>
      </c>
      <c r="I811" s="2">
        <v>58</v>
      </c>
      <c r="J811" s="11">
        <v>7395</v>
      </c>
      <c r="K811" s="3">
        <v>18.573399129999999</v>
      </c>
      <c r="L811" s="3">
        <f t="shared" si="12"/>
        <v>0.18573399129999998</v>
      </c>
      <c r="M811">
        <v>91</v>
      </c>
      <c r="N811" s="6">
        <f>MediCare_Data[[#This Row],[Average_Wait_Time (mins)]]/1440</f>
        <v>6.3194444444444442E-2</v>
      </c>
      <c r="O811" s="2">
        <v>4</v>
      </c>
      <c r="P811" s="10">
        <v>21900</v>
      </c>
      <c r="Q811" s="17" t="str">
        <f>IF(AND(MediCare_Data[[#This Row],[Patient_Gender]]="Male", MediCare_Data[[#This Row],[Treatment_Type]]="Maternity"), "Gender-Treatment Mismatch", "Fine")</f>
        <v>Fine</v>
      </c>
      <c r="R811" s="10">
        <f>MediCare_Data[[#This Row],[Revenue_Generated]]-MediCare_Data[[#This Row],[Average_Treatment_Cost]]</f>
        <v>14505</v>
      </c>
      <c r="S811" s="3">
        <f>(MediCare_Data[[#This Row],[Profit]]/MediCare_Data[[#This Row],[Revenue_Generated]])</f>
        <v>0.6623287671232877</v>
      </c>
    </row>
    <row r="812" spans="1:19" x14ac:dyDescent="0.25">
      <c r="A812" t="s">
        <v>859</v>
      </c>
      <c r="B812" t="s">
        <v>58</v>
      </c>
      <c r="C812" t="s">
        <v>54</v>
      </c>
      <c r="D812" t="s">
        <v>32</v>
      </c>
      <c r="E812">
        <v>10</v>
      </c>
      <c r="F812" t="str">
        <f>IF(MediCare_Data[[#This Row],[Patient_Age]]&lt;=18,"0-18",IF(MediCare_Data[[#This Row],[Patient_Age]]&lt;=35,"19-35",IF(MediCare_Data[[#This Row],[Patient_Age]]&lt;=60,"36-60","60+")))</f>
        <v>0-18</v>
      </c>
      <c r="G812" t="s">
        <v>22</v>
      </c>
      <c r="H812" t="s">
        <v>37</v>
      </c>
      <c r="I812" s="2">
        <v>95</v>
      </c>
      <c r="J812" s="11">
        <v>9631</v>
      </c>
      <c r="K812" s="3">
        <v>12.23839982</v>
      </c>
      <c r="L812" s="3">
        <f t="shared" si="12"/>
        <v>0.1223839982</v>
      </c>
      <c r="M812">
        <v>47</v>
      </c>
      <c r="N812" s="6">
        <f>MediCare_Data[[#This Row],[Average_Wait_Time (mins)]]/1440</f>
        <v>3.2638888888888891E-2</v>
      </c>
      <c r="O812" s="2">
        <v>3</v>
      </c>
      <c r="P812" s="10">
        <v>14840</v>
      </c>
      <c r="Q812" s="17" t="str">
        <f>IF(AND(MediCare_Data[[#This Row],[Patient_Gender]]="Male", MediCare_Data[[#This Row],[Treatment_Type]]="Maternity"), "Gender-Treatment Mismatch", "Fine")</f>
        <v>Fine</v>
      </c>
      <c r="R812" s="10">
        <f>MediCare_Data[[#This Row],[Revenue_Generated]]-MediCare_Data[[#This Row],[Average_Treatment_Cost]]</f>
        <v>5209</v>
      </c>
      <c r="S812" s="3">
        <f>(MediCare_Data[[#This Row],[Profit]]/MediCare_Data[[#This Row],[Revenue_Generated]])</f>
        <v>0.35101078167115901</v>
      </c>
    </row>
    <row r="813" spans="1:19" x14ac:dyDescent="0.25">
      <c r="A813" t="s">
        <v>860</v>
      </c>
      <c r="B813" t="s">
        <v>39</v>
      </c>
      <c r="C813" t="s">
        <v>15</v>
      </c>
      <c r="D813" t="s">
        <v>16</v>
      </c>
      <c r="E813">
        <v>39</v>
      </c>
      <c r="F813" t="str">
        <f>IF(MediCare_Data[[#This Row],[Patient_Age]]&lt;=18,"0-18",IF(MediCare_Data[[#This Row],[Patient_Age]]&lt;=35,"19-35",IF(MediCare_Data[[#This Row],[Patient_Age]]&lt;=60,"36-60","60+")))</f>
        <v>36-60</v>
      </c>
      <c r="G813" t="s">
        <v>43</v>
      </c>
      <c r="H813" t="s">
        <v>33</v>
      </c>
      <c r="I813" s="2">
        <v>50</v>
      </c>
      <c r="J813" s="11">
        <v>1025</v>
      </c>
      <c r="K813" s="3">
        <v>16.873215819999999</v>
      </c>
      <c r="L813" s="3">
        <f t="shared" si="12"/>
        <v>0.16873215819999998</v>
      </c>
      <c r="M813">
        <v>136</v>
      </c>
      <c r="N813" s="6">
        <f>MediCare_Data[[#This Row],[Average_Wait_Time (mins)]]/1440</f>
        <v>9.4444444444444442E-2</v>
      </c>
      <c r="O813" s="2">
        <v>2</v>
      </c>
      <c r="P813" s="10">
        <v>38167</v>
      </c>
      <c r="Q813" s="17" t="str">
        <f>IF(AND(MediCare_Data[[#This Row],[Patient_Gender]]="Male", MediCare_Data[[#This Row],[Treatment_Type]]="Maternity"), "Gender-Treatment Mismatch", "Fine")</f>
        <v>Fine</v>
      </c>
      <c r="R813" s="10">
        <f>MediCare_Data[[#This Row],[Revenue_Generated]]-MediCare_Data[[#This Row],[Average_Treatment_Cost]]</f>
        <v>37142</v>
      </c>
      <c r="S813" s="3">
        <f>(MediCare_Data[[#This Row],[Profit]]/MediCare_Data[[#This Row],[Revenue_Generated]])</f>
        <v>0.97314433935074807</v>
      </c>
    </row>
    <row r="814" spans="1:19" x14ac:dyDescent="0.25">
      <c r="A814" t="s">
        <v>861</v>
      </c>
      <c r="B814" t="s">
        <v>25</v>
      </c>
      <c r="C814" t="s">
        <v>15</v>
      </c>
      <c r="D814" t="s">
        <v>16</v>
      </c>
      <c r="E814">
        <v>70</v>
      </c>
      <c r="F814" t="str">
        <f>IF(MediCare_Data[[#This Row],[Patient_Age]]&lt;=18,"0-18",IF(MediCare_Data[[#This Row],[Patient_Age]]&lt;=35,"19-35",IF(MediCare_Data[[#This Row],[Patient_Age]]&lt;=60,"36-60","60+")))</f>
        <v>60+</v>
      </c>
      <c r="G814" t="s">
        <v>17</v>
      </c>
      <c r="H814" t="s">
        <v>37</v>
      </c>
      <c r="I814" s="2">
        <v>94</v>
      </c>
      <c r="J814" s="11">
        <v>6977</v>
      </c>
      <c r="K814" s="3">
        <v>5.2026236810000004</v>
      </c>
      <c r="L814" s="3">
        <f t="shared" si="12"/>
        <v>5.2026236810000001E-2</v>
      </c>
      <c r="M814">
        <v>28</v>
      </c>
      <c r="N814" s="6">
        <f>MediCare_Data[[#This Row],[Average_Wait_Time (mins)]]/1440</f>
        <v>1.9444444444444445E-2</v>
      </c>
      <c r="O814" s="2">
        <v>4</v>
      </c>
      <c r="P814" s="10">
        <v>6037</v>
      </c>
      <c r="Q814" s="17" t="str">
        <f>IF(AND(MediCare_Data[[#This Row],[Patient_Gender]]="Male", MediCare_Data[[#This Row],[Treatment_Type]]="Maternity"), "Gender-Treatment Mismatch", "Fine")</f>
        <v>Gender-Treatment Mismatch</v>
      </c>
      <c r="R814" s="10">
        <f>MediCare_Data[[#This Row],[Revenue_Generated]]-MediCare_Data[[#This Row],[Average_Treatment_Cost]]</f>
        <v>-940</v>
      </c>
      <c r="S814" s="3">
        <f>(MediCare_Data[[#This Row],[Profit]]/MediCare_Data[[#This Row],[Revenue_Generated]])</f>
        <v>-0.15570647672685109</v>
      </c>
    </row>
    <row r="815" spans="1:19" x14ac:dyDescent="0.25">
      <c r="A815" t="s">
        <v>862</v>
      </c>
      <c r="B815" t="s">
        <v>28</v>
      </c>
      <c r="C815" t="s">
        <v>36</v>
      </c>
      <c r="D815" t="s">
        <v>32</v>
      </c>
      <c r="E815">
        <v>9</v>
      </c>
      <c r="F815" t="str">
        <f>IF(MediCare_Data[[#This Row],[Patient_Age]]&lt;=18,"0-18",IF(MediCare_Data[[#This Row],[Patient_Age]]&lt;=35,"19-35",IF(MediCare_Data[[#This Row],[Patient_Age]]&lt;=60,"36-60","60+")))</f>
        <v>0-18</v>
      </c>
      <c r="G815" t="s">
        <v>22</v>
      </c>
      <c r="H815" t="s">
        <v>23</v>
      </c>
      <c r="I815" s="2">
        <v>62</v>
      </c>
      <c r="J815" s="11">
        <v>501</v>
      </c>
      <c r="K815" s="3">
        <v>17.72192093</v>
      </c>
      <c r="L815" s="3">
        <f t="shared" si="12"/>
        <v>0.17721920929999999</v>
      </c>
      <c r="M815">
        <v>173</v>
      </c>
      <c r="N815" s="6">
        <f>MediCare_Data[[#This Row],[Average_Wait_Time (mins)]]/1440</f>
        <v>0.12013888888888889</v>
      </c>
      <c r="O815" s="2">
        <v>1</v>
      </c>
      <c r="P815" s="10">
        <v>29633</v>
      </c>
      <c r="Q815" s="17" t="str">
        <f>IF(AND(MediCare_Data[[#This Row],[Patient_Gender]]="Male", MediCare_Data[[#This Row],[Treatment_Type]]="Maternity"), "Gender-Treatment Mismatch", "Fine")</f>
        <v>Fine</v>
      </c>
      <c r="R815" s="10">
        <f>MediCare_Data[[#This Row],[Revenue_Generated]]-MediCare_Data[[#This Row],[Average_Treatment_Cost]]</f>
        <v>29132</v>
      </c>
      <c r="S815" s="3">
        <f>(MediCare_Data[[#This Row],[Profit]]/MediCare_Data[[#This Row],[Revenue_Generated]])</f>
        <v>0.98309317315155398</v>
      </c>
    </row>
    <row r="816" spans="1:19" x14ac:dyDescent="0.25">
      <c r="A816" t="s">
        <v>863</v>
      </c>
      <c r="B816" t="s">
        <v>14</v>
      </c>
      <c r="C816" t="s">
        <v>54</v>
      </c>
      <c r="D816" t="s">
        <v>16</v>
      </c>
      <c r="E816">
        <v>28</v>
      </c>
      <c r="F816" t="str">
        <f>IF(MediCare_Data[[#This Row],[Patient_Age]]&lt;=18,"0-18",IF(MediCare_Data[[#This Row],[Patient_Age]]&lt;=35,"19-35",IF(MediCare_Data[[#This Row],[Patient_Age]]&lt;=60,"36-60","60+")))</f>
        <v>19-35</v>
      </c>
      <c r="G816" t="s">
        <v>26</v>
      </c>
      <c r="H816" t="s">
        <v>37</v>
      </c>
      <c r="I816" s="2">
        <v>53</v>
      </c>
      <c r="J816" s="11">
        <v>874</v>
      </c>
      <c r="K816" s="3">
        <v>23.265738949999999</v>
      </c>
      <c r="L816" s="3">
        <f t="shared" si="12"/>
        <v>0.23265738950000001</v>
      </c>
      <c r="M816">
        <v>72</v>
      </c>
      <c r="N816" s="6">
        <f>MediCare_Data[[#This Row],[Average_Wait_Time (mins)]]/1440</f>
        <v>0.05</v>
      </c>
      <c r="O816" s="2">
        <v>3</v>
      </c>
      <c r="P816" s="10">
        <v>25495</v>
      </c>
      <c r="Q816" s="17" t="str">
        <f>IF(AND(MediCare_Data[[#This Row],[Patient_Gender]]="Male", MediCare_Data[[#This Row],[Treatment_Type]]="Maternity"), "Gender-Treatment Mismatch", "Fine")</f>
        <v>Gender-Treatment Mismatch</v>
      </c>
      <c r="R816" s="10">
        <f>MediCare_Data[[#This Row],[Revenue_Generated]]-MediCare_Data[[#This Row],[Average_Treatment_Cost]]</f>
        <v>24621</v>
      </c>
      <c r="S816" s="3">
        <f>(MediCare_Data[[#This Row],[Profit]]/MediCare_Data[[#This Row],[Revenue_Generated]])</f>
        <v>0.96571876838595805</v>
      </c>
    </row>
    <row r="817" spans="1:19" x14ac:dyDescent="0.25">
      <c r="A817" t="s">
        <v>864</v>
      </c>
      <c r="B817" t="s">
        <v>45</v>
      </c>
      <c r="C817" t="s">
        <v>20</v>
      </c>
      <c r="D817" t="s">
        <v>21</v>
      </c>
      <c r="E817">
        <v>87</v>
      </c>
      <c r="F817" t="str">
        <f>IF(MediCare_Data[[#This Row],[Patient_Age]]&lt;=18,"0-18",IF(MediCare_Data[[#This Row],[Patient_Age]]&lt;=35,"19-35",IF(MediCare_Data[[#This Row],[Patient_Age]]&lt;=60,"36-60","60+")))</f>
        <v>60+</v>
      </c>
      <c r="G817" t="s">
        <v>17</v>
      </c>
      <c r="H817" t="s">
        <v>18</v>
      </c>
      <c r="I817" s="2">
        <v>50</v>
      </c>
      <c r="J817" s="11">
        <v>5148</v>
      </c>
      <c r="K817" s="3">
        <v>17.251469369999999</v>
      </c>
      <c r="L817" s="3">
        <f t="shared" si="12"/>
        <v>0.1725146937</v>
      </c>
      <c r="M817">
        <v>86</v>
      </c>
      <c r="N817" s="6">
        <f>MediCare_Data[[#This Row],[Average_Wait_Time (mins)]]/1440</f>
        <v>5.9722222222222225E-2</v>
      </c>
      <c r="O817" s="2">
        <v>4</v>
      </c>
      <c r="P817" s="10">
        <v>16848</v>
      </c>
      <c r="Q817" s="17" t="str">
        <f>IF(AND(MediCare_Data[[#This Row],[Patient_Gender]]="Male", MediCare_Data[[#This Row],[Treatment_Type]]="Maternity"), "Gender-Treatment Mismatch", "Fine")</f>
        <v>Fine</v>
      </c>
      <c r="R817" s="10">
        <f>MediCare_Data[[#This Row],[Revenue_Generated]]-MediCare_Data[[#This Row],[Average_Treatment_Cost]]</f>
        <v>11700</v>
      </c>
      <c r="S817" s="3">
        <f>(MediCare_Data[[#This Row],[Profit]]/MediCare_Data[[#This Row],[Revenue_Generated]])</f>
        <v>0.69444444444444442</v>
      </c>
    </row>
    <row r="818" spans="1:19" x14ac:dyDescent="0.25">
      <c r="A818" t="s">
        <v>865</v>
      </c>
      <c r="B818" t="s">
        <v>64</v>
      </c>
      <c r="C818" t="s">
        <v>46</v>
      </c>
      <c r="D818" t="s">
        <v>16</v>
      </c>
      <c r="E818">
        <v>83</v>
      </c>
      <c r="F818" t="str">
        <f>IF(MediCare_Data[[#This Row],[Patient_Age]]&lt;=18,"0-18",IF(MediCare_Data[[#This Row],[Patient_Age]]&lt;=35,"19-35",IF(MediCare_Data[[#This Row],[Patient_Age]]&lt;=60,"36-60","60+")))</f>
        <v>60+</v>
      </c>
      <c r="G818" t="s">
        <v>17</v>
      </c>
      <c r="H818" t="s">
        <v>37</v>
      </c>
      <c r="I818" s="2">
        <v>98</v>
      </c>
      <c r="J818" s="11">
        <v>2865</v>
      </c>
      <c r="K818" s="3">
        <v>22.47397187</v>
      </c>
      <c r="L818" s="3">
        <f t="shared" si="12"/>
        <v>0.22473971870000001</v>
      </c>
      <c r="M818">
        <v>140</v>
      </c>
      <c r="N818" s="6">
        <f>MediCare_Data[[#This Row],[Average_Wait_Time (mins)]]/1440</f>
        <v>9.7222222222222224E-2</v>
      </c>
      <c r="O818" s="2">
        <v>2</v>
      </c>
      <c r="P818" s="10">
        <v>37483</v>
      </c>
      <c r="Q818" s="17" t="str">
        <f>IF(AND(MediCare_Data[[#This Row],[Patient_Gender]]="Male", MediCare_Data[[#This Row],[Treatment_Type]]="Maternity"), "Gender-Treatment Mismatch", "Fine")</f>
        <v>Gender-Treatment Mismatch</v>
      </c>
      <c r="R818" s="10">
        <f>MediCare_Data[[#This Row],[Revenue_Generated]]-MediCare_Data[[#This Row],[Average_Treatment_Cost]]</f>
        <v>34618</v>
      </c>
      <c r="S818" s="3">
        <f>(MediCare_Data[[#This Row],[Profit]]/MediCare_Data[[#This Row],[Revenue_Generated]])</f>
        <v>0.92356534962516346</v>
      </c>
    </row>
    <row r="819" spans="1:19" x14ac:dyDescent="0.25">
      <c r="A819" t="s">
        <v>866</v>
      </c>
      <c r="B819" t="s">
        <v>41</v>
      </c>
      <c r="C819" t="s">
        <v>42</v>
      </c>
      <c r="D819" t="s">
        <v>16</v>
      </c>
      <c r="E819">
        <v>66</v>
      </c>
      <c r="F819" t="str">
        <f>IF(MediCare_Data[[#This Row],[Patient_Age]]&lt;=18,"0-18",IF(MediCare_Data[[#This Row],[Patient_Age]]&lt;=35,"19-35",IF(MediCare_Data[[#This Row],[Patient_Age]]&lt;=60,"36-60","60+")))</f>
        <v>60+</v>
      </c>
      <c r="G819" t="s">
        <v>43</v>
      </c>
      <c r="H819" t="s">
        <v>37</v>
      </c>
      <c r="I819" s="2">
        <v>89</v>
      </c>
      <c r="J819" s="11">
        <v>2025</v>
      </c>
      <c r="K819" s="3">
        <v>19.479461109999999</v>
      </c>
      <c r="L819" s="3">
        <f t="shared" si="12"/>
        <v>0.19479461109999999</v>
      </c>
      <c r="M819">
        <v>111</v>
      </c>
      <c r="N819" s="6">
        <f>MediCare_Data[[#This Row],[Average_Wait_Time (mins)]]/1440</f>
        <v>7.7083333333333337E-2</v>
      </c>
      <c r="O819" s="2">
        <v>2</v>
      </c>
      <c r="P819" s="10">
        <v>48645</v>
      </c>
      <c r="Q819" s="17" t="str">
        <f>IF(AND(MediCare_Data[[#This Row],[Patient_Gender]]="Male", MediCare_Data[[#This Row],[Treatment_Type]]="Maternity"), "Gender-Treatment Mismatch", "Fine")</f>
        <v>Gender-Treatment Mismatch</v>
      </c>
      <c r="R819" s="10">
        <f>MediCare_Data[[#This Row],[Revenue_Generated]]-MediCare_Data[[#This Row],[Average_Treatment_Cost]]</f>
        <v>46620</v>
      </c>
      <c r="S819" s="3">
        <f>(MediCare_Data[[#This Row],[Profit]]/MediCare_Data[[#This Row],[Revenue_Generated]])</f>
        <v>0.95837187789084177</v>
      </c>
    </row>
    <row r="820" spans="1:19" x14ac:dyDescent="0.25">
      <c r="A820" t="s">
        <v>867</v>
      </c>
      <c r="B820" t="s">
        <v>82</v>
      </c>
      <c r="C820" t="s">
        <v>46</v>
      </c>
      <c r="D820" t="s">
        <v>16</v>
      </c>
      <c r="E820">
        <v>37</v>
      </c>
      <c r="F820" t="str">
        <f>IF(MediCare_Data[[#This Row],[Patient_Age]]&lt;=18,"0-18",IF(MediCare_Data[[#This Row],[Patient_Age]]&lt;=35,"19-35",IF(MediCare_Data[[#This Row],[Patient_Age]]&lt;=60,"36-60","60+")))</f>
        <v>36-60</v>
      </c>
      <c r="G820" t="s">
        <v>17</v>
      </c>
      <c r="H820" t="s">
        <v>23</v>
      </c>
      <c r="I820" s="2">
        <v>81</v>
      </c>
      <c r="J820" s="11">
        <v>2146</v>
      </c>
      <c r="K820" s="3">
        <v>7.4111683279999996</v>
      </c>
      <c r="L820" s="3">
        <f t="shared" si="12"/>
        <v>7.4111683279999993E-2</v>
      </c>
      <c r="M820">
        <v>74</v>
      </c>
      <c r="N820" s="6">
        <f>MediCare_Data[[#This Row],[Average_Wait_Time (mins)]]/1440</f>
        <v>5.1388888888888887E-2</v>
      </c>
      <c r="O820" s="2">
        <v>3</v>
      </c>
      <c r="P820" s="10">
        <v>8837</v>
      </c>
      <c r="Q820" s="17" t="str">
        <f>IF(AND(MediCare_Data[[#This Row],[Patient_Gender]]="Male", MediCare_Data[[#This Row],[Treatment_Type]]="Maternity"), "Gender-Treatment Mismatch", "Fine")</f>
        <v>Fine</v>
      </c>
      <c r="R820" s="10">
        <f>MediCare_Data[[#This Row],[Revenue_Generated]]-MediCare_Data[[#This Row],[Average_Treatment_Cost]]</f>
        <v>6691</v>
      </c>
      <c r="S820" s="3">
        <f>(MediCare_Data[[#This Row],[Profit]]/MediCare_Data[[#This Row],[Revenue_Generated]])</f>
        <v>0.75715740635962425</v>
      </c>
    </row>
    <row r="821" spans="1:19" x14ac:dyDescent="0.25">
      <c r="A821" t="s">
        <v>868</v>
      </c>
      <c r="B821" t="s">
        <v>41</v>
      </c>
      <c r="C821" t="s">
        <v>42</v>
      </c>
      <c r="D821" t="s">
        <v>16</v>
      </c>
      <c r="E821">
        <v>69</v>
      </c>
      <c r="F821" t="str">
        <f>IF(MediCare_Data[[#This Row],[Patient_Age]]&lt;=18,"0-18",IF(MediCare_Data[[#This Row],[Patient_Age]]&lt;=35,"19-35",IF(MediCare_Data[[#This Row],[Patient_Age]]&lt;=60,"36-60","60+")))</f>
        <v>60+</v>
      </c>
      <c r="G821" t="s">
        <v>22</v>
      </c>
      <c r="H821" t="s">
        <v>47</v>
      </c>
      <c r="I821" s="2">
        <v>83</v>
      </c>
      <c r="J821" s="11">
        <v>513</v>
      </c>
      <c r="K821" s="3">
        <v>23.049066150000002</v>
      </c>
      <c r="L821" s="3">
        <f t="shared" si="12"/>
        <v>0.23049066150000003</v>
      </c>
      <c r="M821">
        <v>129</v>
      </c>
      <c r="N821" s="6">
        <f>MediCare_Data[[#This Row],[Average_Wait_Time (mins)]]/1440</f>
        <v>8.9583333333333334E-2</v>
      </c>
      <c r="O821" s="2">
        <v>3</v>
      </c>
      <c r="P821" s="10">
        <v>35069</v>
      </c>
      <c r="Q821" s="17" t="str">
        <f>IF(AND(MediCare_Data[[#This Row],[Patient_Gender]]="Male", MediCare_Data[[#This Row],[Treatment_Type]]="Maternity"), "Gender-Treatment Mismatch", "Fine")</f>
        <v>Fine</v>
      </c>
      <c r="R821" s="10">
        <f>MediCare_Data[[#This Row],[Revenue_Generated]]-MediCare_Data[[#This Row],[Average_Treatment_Cost]]</f>
        <v>34556</v>
      </c>
      <c r="S821" s="3">
        <f>(MediCare_Data[[#This Row],[Profit]]/MediCare_Data[[#This Row],[Revenue_Generated]])</f>
        <v>0.98537169579970918</v>
      </c>
    </row>
    <row r="822" spans="1:19" x14ac:dyDescent="0.25">
      <c r="A822" t="s">
        <v>869</v>
      </c>
      <c r="B822" t="s">
        <v>49</v>
      </c>
      <c r="C822" t="s">
        <v>31</v>
      </c>
      <c r="D822" t="s">
        <v>32</v>
      </c>
      <c r="E822">
        <v>25</v>
      </c>
      <c r="F822" t="str">
        <f>IF(MediCare_Data[[#This Row],[Patient_Age]]&lt;=18,"0-18",IF(MediCare_Data[[#This Row],[Patient_Age]]&lt;=35,"19-35",IF(MediCare_Data[[#This Row],[Patient_Age]]&lt;=60,"36-60","60+")))</f>
        <v>19-35</v>
      </c>
      <c r="G822" t="s">
        <v>43</v>
      </c>
      <c r="H822" t="s">
        <v>18</v>
      </c>
      <c r="I822" s="2">
        <v>77</v>
      </c>
      <c r="J822" s="11">
        <v>5099</v>
      </c>
      <c r="K822" s="3">
        <v>6.3288768869999998</v>
      </c>
      <c r="L822" s="3">
        <f t="shared" si="12"/>
        <v>6.3288768869999998E-2</v>
      </c>
      <c r="M822">
        <v>100</v>
      </c>
      <c r="N822" s="6">
        <f>MediCare_Data[[#This Row],[Average_Wait_Time (mins)]]/1440</f>
        <v>6.9444444444444448E-2</v>
      </c>
      <c r="O822" s="2">
        <v>3</v>
      </c>
      <c r="P822" s="10">
        <v>8370</v>
      </c>
      <c r="Q822" s="17" t="str">
        <f>IF(AND(MediCare_Data[[#This Row],[Patient_Gender]]="Male", MediCare_Data[[#This Row],[Treatment_Type]]="Maternity"), "Gender-Treatment Mismatch", "Fine")</f>
        <v>Fine</v>
      </c>
      <c r="R822" s="10">
        <f>MediCare_Data[[#This Row],[Revenue_Generated]]-MediCare_Data[[#This Row],[Average_Treatment_Cost]]</f>
        <v>3271</v>
      </c>
      <c r="S822" s="3">
        <f>(MediCare_Data[[#This Row],[Profit]]/MediCare_Data[[#This Row],[Revenue_Generated]])</f>
        <v>0.39080047789725209</v>
      </c>
    </row>
    <row r="823" spans="1:19" x14ac:dyDescent="0.25">
      <c r="A823" t="s">
        <v>870</v>
      </c>
      <c r="B823" t="s">
        <v>56</v>
      </c>
      <c r="C823" t="s">
        <v>29</v>
      </c>
      <c r="D823" t="s">
        <v>21</v>
      </c>
      <c r="E823">
        <v>20</v>
      </c>
      <c r="F823" t="str">
        <f>IF(MediCare_Data[[#This Row],[Patient_Age]]&lt;=18,"0-18",IF(MediCare_Data[[#This Row],[Patient_Age]]&lt;=35,"19-35",IF(MediCare_Data[[#This Row],[Patient_Age]]&lt;=60,"36-60","60+")))</f>
        <v>19-35</v>
      </c>
      <c r="G823" t="s">
        <v>17</v>
      </c>
      <c r="H823" t="s">
        <v>23</v>
      </c>
      <c r="I823" s="2">
        <v>80</v>
      </c>
      <c r="J823" s="11">
        <v>2778</v>
      </c>
      <c r="K823" s="3">
        <v>15.67934945</v>
      </c>
      <c r="L823" s="3">
        <f t="shared" si="12"/>
        <v>0.15679349449999999</v>
      </c>
      <c r="M823">
        <v>17</v>
      </c>
      <c r="N823" s="6">
        <f>MediCare_Data[[#This Row],[Average_Wait_Time (mins)]]/1440</f>
        <v>1.1805555555555555E-2</v>
      </c>
      <c r="O823" s="2">
        <v>3</v>
      </c>
      <c r="P823" s="10">
        <v>7411</v>
      </c>
      <c r="Q823" s="17" t="str">
        <f>IF(AND(MediCare_Data[[#This Row],[Patient_Gender]]="Male", MediCare_Data[[#This Row],[Treatment_Type]]="Maternity"), "Gender-Treatment Mismatch", "Fine")</f>
        <v>Fine</v>
      </c>
      <c r="R823" s="10">
        <f>MediCare_Data[[#This Row],[Revenue_Generated]]-MediCare_Data[[#This Row],[Average_Treatment_Cost]]</f>
        <v>4633</v>
      </c>
      <c r="S823" s="3">
        <f>(MediCare_Data[[#This Row],[Profit]]/MediCare_Data[[#This Row],[Revenue_Generated]])</f>
        <v>0.62515180137633253</v>
      </c>
    </row>
    <row r="824" spans="1:19" x14ac:dyDescent="0.25">
      <c r="A824" t="s">
        <v>871</v>
      </c>
      <c r="B824" t="s">
        <v>14</v>
      </c>
      <c r="C824" t="s">
        <v>42</v>
      </c>
      <c r="D824" t="s">
        <v>16</v>
      </c>
      <c r="E824">
        <v>89</v>
      </c>
      <c r="F824" t="str">
        <f>IF(MediCare_Data[[#This Row],[Patient_Age]]&lt;=18,"0-18",IF(MediCare_Data[[#This Row],[Patient_Age]]&lt;=35,"19-35",IF(MediCare_Data[[#This Row],[Patient_Age]]&lt;=60,"36-60","60+")))</f>
        <v>60+</v>
      </c>
      <c r="G824" t="s">
        <v>26</v>
      </c>
      <c r="H824" t="s">
        <v>47</v>
      </c>
      <c r="I824" s="2">
        <v>57</v>
      </c>
      <c r="J824" s="11">
        <v>3655</v>
      </c>
      <c r="K824" s="3">
        <v>7.8427424759999997</v>
      </c>
      <c r="L824" s="3">
        <f t="shared" si="12"/>
        <v>7.8427424760000003E-2</v>
      </c>
      <c r="M824">
        <v>82</v>
      </c>
      <c r="N824" s="6">
        <f>MediCare_Data[[#This Row],[Average_Wait_Time (mins)]]/1440</f>
        <v>5.6944444444444443E-2</v>
      </c>
      <c r="O824" s="2">
        <v>3</v>
      </c>
      <c r="P824" s="10">
        <v>40133</v>
      </c>
      <c r="Q824" s="17" t="str">
        <f>IF(AND(MediCare_Data[[#This Row],[Patient_Gender]]="Male", MediCare_Data[[#This Row],[Treatment_Type]]="Maternity"), "Gender-Treatment Mismatch", "Fine")</f>
        <v>Fine</v>
      </c>
      <c r="R824" s="10">
        <f>MediCare_Data[[#This Row],[Revenue_Generated]]-MediCare_Data[[#This Row],[Average_Treatment_Cost]]</f>
        <v>36478</v>
      </c>
      <c r="S824" s="3">
        <f>(MediCare_Data[[#This Row],[Profit]]/MediCare_Data[[#This Row],[Revenue_Generated]])</f>
        <v>0.90892781501507491</v>
      </c>
    </row>
    <row r="825" spans="1:19" x14ac:dyDescent="0.25">
      <c r="A825" t="s">
        <v>872</v>
      </c>
      <c r="B825" t="s">
        <v>82</v>
      </c>
      <c r="C825" t="s">
        <v>42</v>
      </c>
      <c r="D825" t="s">
        <v>16</v>
      </c>
      <c r="E825">
        <v>1</v>
      </c>
      <c r="F825" t="str">
        <f>IF(MediCare_Data[[#This Row],[Patient_Age]]&lt;=18,"0-18",IF(MediCare_Data[[#This Row],[Patient_Age]]&lt;=35,"19-35",IF(MediCare_Data[[#This Row],[Patient_Age]]&lt;=60,"36-60","60+")))</f>
        <v>0-18</v>
      </c>
      <c r="G825" t="s">
        <v>43</v>
      </c>
      <c r="H825" t="s">
        <v>33</v>
      </c>
      <c r="I825" s="2">
        <v>88</v>
      </c>
      <c r="J825" s="11">
        <v>8821</v>
      </c>
      <c r="K825" s="3">
        <v>5.2341322149999998</v>
      </c>
      <c r="L825" s="3">
        <f t="shared" si="12"/>
        <v>5.2341322150000001E-2</v>
      </c>
      <c r="M825">
        <v>143</v>
      </c>
      <c r="N825" s="6">
        <f>MediCare_Data[[#This Row],[Average_Wait_Time (mins)]]/1440</f>
        <v>9.930555555555555E-2</v>
      </c>
      <c r="O825" s="2">
        <v>1</v>
      </c>
      <c r="P825" s="10">
        <v>31499</v>
      </c>
      <c r="Q825" s="17" t="str">
        <f>IF(AND(MediCare_Data[[#This Row],[Patient_Gender]]="Male", MediCare_Data[[#This Row],[Treatment_Type]]="Maternity"), "Gender-Treatment Mismatch", "Fine")</f>
        <v>Fine</v>
      </c>
      <c r="R825" s="10">
        <f>MediCare_Data[[#This Row],[Revenue_Generated]]-MediCare_Data[[#This Row],[Average_Treatment_Cost]]</f>
        <v>22678</v>
      </c>
      <c r="S825" s="3">
        <f>(MediCare_Data[[#This Row],[Profit]]/MediCare_Data[[#This Row],[Revenue_Generated]])</f>
        <v>0.71995936378932668</v>
      </c>
    </row>
    <row r="826" spans="1:19" x14ac:dyDescent="0.25">
      <c r="A826" t="s">
        <v>873</v>
      </c>
      <c r="B826" t="s">
        <v>74</v>
      </c>
      <c r="C826" t="s">
        <v>15</v>
      </c>
      <c r="D826" t="s">
        <v>16</v>
      </c>
      <c r="E826">
        <v>20</v>
      </c>
      <c r="F826" t="str">
        <f>IF(MediCare_Data[[#This Row],[Patient_Age]]&lt;=18,"0-18",IF(MediCare_Data[[#This Row],[Patient_Age]]&lt;=35,"19-35",IF(MediCare_Data[[#This Row],[Patient_Age]]&lt;=60,"36-60","60+")))</f>
        <v>19-35</v>
      </c>
      <c r="G826" t="s">
        <v>26</v>
      </c>
      <c r="H826" t="s">
        <v>18</v>
      </c>
      <c r="I826" s="2">
        <v>75</v>
      </c>
      <c r="J826" s="11">
        <v>4314</v>
      </c>
      <c r="K826" s="3">
        <v>13.440685200000001</v>
      </c>
      <c r="L826" s="3">
        <f t="shared" si="12"/>
        <v>0.13440685200000002</v>
      </c>
      <c r="M826">
        <v>116</v>
      </c>
      <c r="N826" s="6">
        <f>MediCare_Data[[#This Row],[Average_Wait_Time (mins)]]/1440</f>
        <v>8.0555555555555561E-2</v>
      </c>
      <c r="O826" s="2">
        <v>1</v>
      </c>
      <c r="P826" s="10">
        <v>31225</v>
      </c>
      <c r="Q826" s="17" t="str">
        <f>IF(AND(MediCare_Data[[#This Row],[Patient_Gender]]="Male", MediCare_Data[[#This Row],[Treatment_Type]]="Maternity"), "Gender-Treatment Mismatch", "Fine")</f>
        <v>Fine</v>
      </c>
      <c r="R826" s="10">
        <f>MediCare_Data[[#This Row],[Revenue_Generated]]-MediCare_Data[[#This Row],[Average_Treatment_Cost]]</f>
        <v>26911</v>
      </c>
      <c r="S826" s="3">
        <f>(MediCare_Data[[#This Row],[Profit]]/MediCare_Data[[#This Row],[Revenue_Generated]])</f>
        <v>0.86184147317854287</v>
      </c>
    </row>
    <row r="827" spans="1:19" x14ac:dyDescent="0.25">
      <c r="A827" t="s">
        <v>874</v>
      </c>
      <c r="B827" t="s">
        <v>39</v>
      </c>
      <c r="C827" t="s">
        <v>31</v>
      </c>
      <c r="D827" t="s">
        <v>16</v>
      </c>
      <c r="E827">
        <v>46</v>
      </c>
      <c r="F827" t="str">
        <f>IF(MediCare_Data[[#This Row],[Patient_Age]]&lt;=18,"0-18",IF(MediCare_Data[[#This Row],[Patient_Age]]&lt;=35,"19-35",IF(MediCare_Data[[#This Row],[Patient_Age]]&lt;=60,"36-60","60+")))</f>
        <v>36-60</v>
      </c>
      <c r="G827" t="s">
        <v>22</v>
      </c>
      <c r="H827" t="s">
        <v>51</v>
      </c>
      <c r="I827" s="2">
        <v>83</v>
      </c>
      <c r="J827" s="11">
        <v>3716</v>
      </c>
      <c r="K827" s="3">
        <v>10.90081415</v>
      </c>
      <c r="L827" s="3">
        <f t="shared" si="12"/>
        <v>0.1090081415</v>
      </c>
      <c r="M827">
        <v>98</v>
      </c>
      <c r="N827" s="6">
        <f>MediCare_Data[[#This Row],[Average_Wait_Time (mins)]]/1440</f>
        <v>6.805555555555555E-2</v>
      </c>
      <c r="O827" s="2">
        <v>4</v>
      </c>
      <c r="P827" s="10">
        <v>49217</v>
      </c>
      <c r="Q827" s="17" t="str">
        <f>IF(AND(MediCare_Data[[#This Row],[Patient_Gender]]="Male", MediCare_Data[[#This Row],[Treatment_Type]]="Maternity"), "Gender-Treatment Mismatch", "Fine")</f>
        <v>Fine</v>
      </c>
      <c r="R827" s="10">
        <f>MediCare_Data[[#This Row],[Revenue_Generated]]-MediCare_Data[[#This Row],[Average_Treatment_Cost]]</f>
        <v>45501</v>
      </c>
      <c r="S827" s="3">
        <f>(MediCare_Data[[#This Row],[Profit]]/MediCare_Data[[#This Row],[Revenue_Generated]])</f>
        <v>0.92449763293171061</v>
      </c>
    </row>
    <row r="828" spans="1:19" x14ac:dyDescent="0.25">
      <c r="A828" t="s">
        <v>875</v>
      </c>
      <c r="B828" t="s">
        <v>64</v>
      </c>
      <c r="C828" t="s">
        <v>15</v>
      </c>
      <c r="D828" t="s">
        <v>32</v>
      </c>
      <c r="E828">
        <v>27</v>
      </c>
      <c r="F828" t="str">
        <f>IF(MediCare_Data[[#This Row],[Patient_Age]]&lt;=18,"0-18",IF(MediCare_Data[[#This Row],[Patient_Age]]&lt;=35,"19-35",IF(MediCare_Data[[#This Row],[Patient_Age]]&lt;=60,"36-60","60+")))</f>
        <v>19-35</v>
      </c>
      <c r="G828" t="s">
        <v>26</v>
      </c>
      <c r="H828" t="s">
        <v>18</v>
      </c>
      <c r="I828" s="2">
        <v>52</v>
      </c>
      <c r="J828" s="11">
        <v>8719</v>
      </c>
      <c r="K828" s="3">
        <v>14.720009879999999</v>
      </c>
      <c r="L828" s="3">
        <f t="shared" si="12"/>
        <v>0.14720009879999998</v>
      </c>
      <c r="M828">
        <v>48</v>
      </c>
      <c r="N828" s="6">
        <f>MediCare_Data[[#This Row],[Average_Wait_Time (mins)]]/1440</f>
        <v>3.3333333333333333E-2</v>
      </c>
      <c r="O828" s="2">
        <v>2</v>
      </c>
      <c r="P828" s="10">
        <v>1692</v>
      </c>
      <c r="Q828" s="17" t="str">
        <f>IF(AND(MediCare_Data[[#This Row],[Patient_Gender]]="Male", MediCare_Data[[#This Row],[Treatment_Type]]="Maternity"), "Gender-Treatment Mismatch", "Fine")</f>
        <v>Fine</v>
      </c>
      <c r="R828" s="10">
        <f>MediCare_Data[[#This Row],[Revenue_Generated]]-MediCare_Data[[#This Row],[Average_Treatment_Cost]]</f>
        <v>-7027</v>
      </c>
      <c r="S828" s="3">
        <f>(MediCare_Data[[#This Row],[Profit]]/MediCare_Data[[#This Row],[Revenue_Generated]])</f>
        <v>-4.1530732860520096</v>
      </c>
    </row>
    <row r="829" spans="1:19" x14ac:dyDescent="0.25">
      <c r="A829" t="s">
        <v>876</v>
      </c>
      <c r="B829" t="s">
        <v>39</v>
      </c>
      <c r="C829" t="s">
        <v>15</v>
      </c>
      <c r="D829" t="s">
        <v>32</v>
      </c>
      <c r="E829">
        <v>45</v>
      </c>
      <c r="F829" t="str">
        <f>IF(MediCare_Data[[#This Row],[Patient_Age]]&lt;=18,"0-18",IF(MediCare_Data[[#This Row],[Patient_Age]]&lt;=35,"19-35",IF(MediCare_Data[[#This Row],[Patient_Age]]&lt;=60,"36-60","60+")))</f>
        <v>36-60</v>
      </c>
      <c r="G829" t="s">
        <v>17</v>
      </c>
      <c r="H829" t="s">
        <v>51</v>
      </c>
      <c r="I829" s="2">
        <v>99</v>
      </c>
      <c r="J829" s="11">
        <v>2613</v>
      </c>
      <c r="K829" s="3">
        <v>16.543997730000001</v>
      </c>
      <c r="L829" s="3">
        <f t="shared" si="12"/>
        <v>0.16543997730000001</v>
      </c>
      <c r="M829">
        <v>122</v>
      </c>
      <c r="N829" s="6">
        <f>MediCare_Data[[#This Row],[Average_Wait_Time (mins)]]/1440</f>
        <v>8.4722222222222227E-2</v>
      </c>
      <c r="O829" s="2">
        <v>1</v>
      </c>
      <c r="P829" s="10">
        <v>29926</v>
      </c>
      <c r="Q829" s="17" t="str">
        <f>IF(AND(MediCare_Data[[#This Row],[Patient_Gender]]="Male", MediCare_Data[[#This Row],[Treatment_Type]]="Maternity"), "Gender-Treatment Mismatch", "Fine")</f>
        <v>Fine</v>
      </c>
      <c r="R829" s="10">
        <f>MediCare_Data[[#This Row],[Revenue_Generated]]-MediCare_Data[[#This Row],[Average_Treatment_Cost]]</f>
        <v>27313</v>
      </c>
      <c r="S829" s="3">
        <f>(MediCare_Data[[#This Row],[Profit]]/MediCare_Data[[#This Row],[Revenue_Generated]])</f>
        <v>0.91268462206776713</v>
      </c>
    </row>
    <row r="830" spans="1:19" x14ac:dyDescent="0.25">
      <c r="A830" t="s">
        <v>877</v>
      </c>
      <c r="B830" t="s">
        <v>64</v>
      </c>
      <c r="C830" t="s">
        <v>15</v>
      </c>
      <c r="D830" t="s">
        <v>21</v>
      </c>
      <c r="E830">
        <v>39</v>
      </c>
      <c r="F830" t="str">
        <f>IF(MediCare_Data[[#This Row],[Patient_Age]]&lt;=18,"0-18",IF(MediCare_Data[[#This Row],[Patient_Age]]&lt;=35,"19-35",IF(MediCare_Data[[#This Row],[Patient_Age]]&lt;=60,"36-60","60+")))</f>
        <v>36-60</v>
      </c>
      <c r="G830" t="s">
        <v>26</v>
      </c>
      <c r="H830" t="s">
        <v>33</v>
      </c>
      <c r="I830" s="2">
        <v>61</v>
      </c>
      <c r="J830" s="11">
        <v>9944</v>
      </c>
      <c r="K830" s="3">
        <v>5.8747814460000001</v>
      </c>
      <c r="L830" s="3">
        <f t="shared" si="12"/>
        <v>5.8747814459999999E-2</v>
      </c>
      <c r="M830">
        <v>37</v>
      </c>
      <c r="N830" s="6">
        <f>MediCare_Data[[#This Row],[Average_Wait_Time (mins)]]/1440</f>
        <v>2.5694444444444443E-2</v>
      </c>
      <c r="O830" s="2">
        <v>1</v>
      </c>
      <c r="P830" s="10">
        <v>35246</v>
      </c>
      <c r="Q830" s="17" t="str">
        <f>IF(AND(MediCare_Data[[#This Row],[Patient_Gender]]="Male", MediCare_Data[[#This Row],[Treatment_Type]]="Maternity"), "Gender-Treatment Mismatch", "Fine")</f>
        <v>Fine</v>
      </c>
      <c r="R830" s="10">
        <f>MediCare_Data[[#This Row],[Revenue_Generated]]-MediCare_Data[[#This Row],[Average_Treatment_Cost]]</f>
        <v>25302</v>
      </c>
      <c r="S830" s="3">
        <f>(MediCare_Data[[#This Row],[Profit]]/MediCare_Data[[#This Row],[Revenue_Generated]])</f>
        <v>0.71786869431992284</v>
      </c>
    </row>
    <row r="831" spans="1:19" x14ac:dyDescent="0.25">
      <c r="A831" t="s">
        <v>878</v>
      </c>
      <c r="B831" t="s">
        <v>45</v>
      </c>
      <c r="C831" t="s">
        <v>46</v>
      </c>
      <c r="D831" t="s">
        <v>32</v>
      </c>
      <c r="E831">
        <v>18</v>
      </c>
      <c r="F831" t="str">
        <f>IF(MediCare_Data[[#This Row],[Patient_Age]]&lt;=18,"0-18",IF(MediCare_Data[[#This Row],[Patient_Age]]&lt;=35,"19-35",IF(MediCare_Data[[#This Row],[Patient_Age]]&lt;=60,"36-60","60+")))</f>
        <v>0-18</v>
      </c>
      <c r="G831" t="s">
        <v>43</v>
      </c>
      <c r="H831" t="s">
        <v>33</v>
      </c>
      <c r="I831" s="2">
        <v>50</v>
      </c>
      <c r="J831" s="11">
        <v>4856</v>
      </c>
      <c r="K831" s="3">
        <v>7.4600659020000002</v>
      </c>
      <c r="L831" s="3">
        <f t="shared" si="12"/>
        <v>7.4600659020000001E-2</v>
      </c>
      <c r="M831">
        <v>106</v>
      </c>
      <c r="N831" s="6">
        <f>MediCare_Data[[#This Row],[Average_Wait_Time (mins)]]/1440</f>
        <v>7.3611111111111113E-2</v>
      </c>
      <c r="O831" s="2">
        <v>1</v>
      </c>
      <c r="P831" s="10">
        <v>40164</v>
      </c>
      <c r="Q831" s="17" t="str">
        <f>IF(AND(MediCare_Data[[#This Row],[Patient_Gender]]="Male", MediCare_Data[[#This Row],[Treatment_Type]]="Maternity"), "Gender-Treatment Mismatch", "Fine")</f>
        <v>Fine</v>
      </c>
      <c r="R831" s="10">
        <f>MediCare_Data[[#This Row],[Revenue_Generated]]-MediCare_Data[[#This Row],[Average_Treatment_Cost]]</f>
        <v>35308</v>
      </c>
      <c r="S831" s="3">
        <f>(MediCare_Data[[#This Row],[Profit]]/MediCare_Data[[#This Row],[Revenue_Generated]])</f>
        <v>0.8790957075988447</v>
      </c>
    </row>
    <row r="832" spans="1:19" x14ac:dyDescent="0.25">
      <c r="A832" t="s">
        <v>879</v>
      </c>
      <c r="B832" t="s">
        <v>35</v>
      </c>
      <c r="C832" t="s">
        <v>54</v>
      </c>
      <c r="D832" t="s">
        <v>16</v>
      </c>
      <c r="E832">
        <v>27</v>
      </c>
      <c r="F832" t="str">
        <f>IF(MediCare_Data[[#This Row],[Patient_Age]]&lt;=18,"0-18",IF(MediCare_Data[[#This Row],[Patient_Age]]&lt;=35,"19-35",IF(MediCare_Data[[#This Row],[Patient_Age]]&lt;=60,"36-60","60+")))</f>
        <v>19-35</v>
      </c>
      <c r="G832" t="s">
        <v>22</v>
      </c>
      <c r="H832" t="s">
        <v>18</v>
      </c>
      <c r="I832" s="2">
        <v>93</v>
      </c>
      <c r="J832" s="11">
        <v>6043</v>
      </c>
      <c r="K832" s="3">
        <v>16.17284793</v>
      </c>
      <c r="L832" s="3">
        <f t="shared" si="12"/>
        <v>0.16172847930000001</v>
      </c>
      <c r="M832">
        <v>46</v>
      </c>
      <c r="N832" s="6">
        <f>MediCare_Data[[#This Row],[Average_Wait_Time (mins)]]/1440</f>
        <v>3.1944444444444442E-2</v>
      </c>
      <c r="O832" s="2">
        <v>4</v>
      </c>
      <c r="P832" s="10">
        <v>9448</v>
      </c>
      <c r="Q832" s="17" t="str">
        <f>IF(AND(MediCare_Data[[#This Row],[Patient_Gender]]="Male", MediCare_Data[[#This Row],[Treatment_Type]]="Maternity"), "Gender-Treatment Mismatch", "Fine")</f>
        <v>Fine</v>
      </c>
      <c r="R832" s="10">
        <f>MediCare_Data[[#This Row],[Revenue_Generated]]-MediCare_Data[[#This Row],[Average_Treatment_Cost]]</f>
        <v>3405</v>
      </c>
      <c r="S832" s="3">
        <f>(MediCare_Data[[#This Row],[Profit]]/MediCare_Data[[#This Row],[Revenue_Generated]])</f>
        <v>0.36039373412362402</v>
      </c>
    </row>
    <row r="833" spans="1:19" x14ac:dyDescent="0.25">
      <c r="A833" t="s">
        <v>880</v>
      </c>
      <c r="B833" t="s">
        <v>61</v>
      </c>
      <c r="C833" t="s">
        <v>31</v>
      </c>
      <c r="D833" t="s">
        <v>32</v>
      </c>
      <c r="E833">
        <v>76</v>
      </c>
      <c r="F833" t="str">
        <f>IF(MediCare_Data[[#This Row],[Patient_Age]]&lt;=18,"0-18",IF(MediCare_Data[[#This Row],[Patient_Age]]&lt;=35,"19-35",IF(MediCare_Data[[#This Row],[Patient_Age]]&lt;=60,"36-60","60+")))</f>
        <v>60+</v>
      </c>
      <c r="G833" t="s">
        <v>43</v>
      </c>
      <c r="H833" t="s">
        <v>47</v>
      </c>
      <c r="I833" s="2">
        <v>54</v>
      </c>
      <c r="J833" s="11">
        <v>5055</v>
      </c>
      <c r="K833" s="3">
        <v>11.863347060000001</v>
      </c>
      <c r="L833" s="3">
        <f t="shared" si="12"/>
        <v>0.11863347060000001</v>
      </c>
      <c r="M833">
        <v>146</v>
      </c>
      <c r="N833" s="6">
        <f>MediCare_Data[[#This Row],[Average_Wait_Time (mins)]]/1440</f>
        <v>0.10138888888888889</v>
      </c>
      <c r="O833" s="2">
        <v>3</v>
      </c>
      <c r="P833" s="10">
        <v>44390</v>
      </c>
      <c r="Q833" s="17" t="str">
        <f>IF(AND(MediCare_Data[[#This Row],[Patient_Gender]]="Male", MediCare_Data[[#This Row],[Treatment_Type]]="Maternity"), "Gender-Treatment Mismatch", "Fine")</f>
        <v>Fine</v>
      </c>
      <c r="R833" s="10">
        <f>MediCare_Data[[#This Row],[Revenue_Generated]]-MediCare_Data[[#This Row],[Average_Treatment_Cost]]</f>
        <v>39335</v>
      </c>
      <c r="S833" s="3">
        <f>(MediCare_Data[[#This Row],[Profit]]/MediCare_Data[[#This Row],[Revenue_Generated]])</f>
        <v>0.88612300067582794</v>
      </c>
    </row>
    <row r="834" spans="1:19" x14ac:dyDescent="0.25">
      <c r="A834" t="s">
        <v>881</v>
      </c>
      <c r="B834" t="s">
        <v>64</v>
      </c>
      <c r="C834" t="s">
        <v>46</v>
      </c>
      <c r="D834" t="s">
        <v>16</v>
      </c>
      <c r="E834">
        <v>16</v>
      </c>
      <c r="F834" t="str">
        <f>IF(MediCare_Data[[#This Row],[Patient_Age]]&lt;=18,"0-18",IF(MediCare_Data[[#This Row],[Patient_Age]]&lt;=35,"19-35",IF(MediCare_Data[[#This Row],[Patient_Age]]&lt;=60,"36-60","60+")))</f>
        <v>0-18</v>
      </c>
      <c r="G834" t="s">
        <v>17</v>
      </c>
      <c r="H834" t="s">
        <v>51</v>
      </c>
      <c r="I834" s="2">
        <v>79</v>
      </c>
      <c r="J834" s="11">
        <v>7562</v>
      </c>
      <c r="K834" s="3">
        <v>19.583469749999999</v>
      </c>
      <c r="L834" s="3">
        <f t="shared" ref="L834:L897" si="13">K834/100</f>
        <v>0.19583469749999999</v>
      </c>
      <c r="M834">
        <v>91</v>
      </c>
      <c r="N834" s="6">
        <f>MediCare_Data[[#This Row],[Average_Wait_Time (mins)]]/1440</f>
        <v>6.3194444444444442E-2</v>
      </c>
      <c r="O834" s="2">
        <v>4</v>
      </c>
      <c r="P834" s="10">
        <v>11073</v>
      </c>
      <c r="Q834" s="17" t="str">
        <f>IF(AND(MediCare_Data[[#This Row],[Patient_Gender]]="Male", MediCare_Data[[#This Row],[Treatment_Type]]="Maternity"), "Gender-Treatment Mismatch", "Fine")</f>
        <v>Fine</v>
      </c>
      <c r="R834" s="10">
        <f>MediCare_Data[[#This Row],[Revenue_Generated]]-MediCare_Data[[#This Row],[Average_Treatment_Cost]]</f>
        <v>3511</v>
      </c>
      <c r="S834" s="3">
        <f>(MediCare_Data[[#This Row],[Profit]]/MediCare_Data[[#This Row],[Revenue_Generated]])</f>
        <v>0.31707757608597492</v>
      </c>
    </row>
    <row r="835" spans="1:19" x14ac:dyDescent="0.25">
      <c r="A835" t="s">
        <v>882</v>
      </c>
      <c r="B835" t="s">
        <v>58</v>
      </c>
      <c r="C835" t="s">
        <v>31</v>
      </c>
      <c r="D835" t="s">
        <v>21</v>
      </c>
      <c r="E835">
        <v>27</v>
      </c>
      <c r="F835" t="str">
        <f>IF(MediCare_Data[[#This Row],[Patient_Age]]&lt;=18,"0-18",IF(MediCare_Data[[#This Row],[Patient_Age]]&lt;=35,"19-35",IF(MediCare_Data[[#This Row],[Patient_Age]]&lt;=60,"36-60","60+")))</f>
        <v>19-35</v>
      </c>
      <c r="G835" t="s">
        <v>26</v>
      </c>
      <c r="H835" t="s">
        <v>37</v>
      </c>
      <c r="I835" s="2">
        <v>79</v>
      </c>
      <c r="J835" s="11">
        <v>3874</v>
      </c>
      <c r="K835" s="3">
        <v>18.045832969999999</v>
      </c>
      <c r="L835" s="3">
        <f t="shared" si="13"/>
        <v>0.1804583297</v>
      </c>
      <c r="M835">
        <v>65</v>
      </c>
      <c r="N835" s="6">
        <f>MediCare_Data[[#This Row],[Average_Wait_Time (mins)]]/1440</f>
        <v>4.5138888888888888E-2</v>
      </c>
      <c r="O835" s="2">
        <v>2</v>
      </c>
      <c r="P835" s="10">
        <v>36414</v>
      </c>
      <c r="Q835" s="17" t="str">
        <f>IF(AND(MediCare_Data[[#This Row],[Patient_Gender]]="Male", MediCare_Data[[#This Row],[Treatment_Type]]="Maternity"), "Gender-Treatment Mismatch", "Fine")</f>
        <v>Fine</v>
      </c>
      <c r="R835" s="10">
        <f>MediCare_Data[[#This Row],[Revenue_Generated]]-MediCare_Data[[#This Row],[Average_Treatment_Cost]]</f>
        <v>32540</v>
      </c>
      <c r="S835" s="3">
        <f>(MediCare_Data[[#This Row],[Profit]]/MediCare_Data[[#This Row],[Revenue_Generated]])</f>
        <v>0.89361234689954416</v>
      </c>
    </row>
    <row r="836" spans="1:19" x14ac:dyDescent="0.25">
      <c r="A836" t="s">
        <v>883</v>
      </c>
      <c r="B836" t="s">
        <v>25</v>
      </c>
      <c r="C836" t="s">
        <v>46</v>
      </c>
      <c r="D836" t="s">
        <v>21</v>
      </c>
      <c r="E836">
        <v>15</v>
      </c>
      <c r="F836" t="str">
        <f>IF(MediCare_Data[[#This Row],[Patient_Age]]&lt;=18,"0-18",IF(MediCare_Data[[#This Row],[Patient_Age]]&lt;=35,"19-35",IF(MediCare_Data[[#This Row],[Patient_Age]]&lt;=60,"36-60","60+")))</f>
        <v>0-18</v>
      </c>
      <c r="G836" t="s">
        <v>17</v>
      </c>
      <c r="H836" t="s">
        <v>18</v>
      </c>
      <c r="I836" s="2">
        <v>66</v>
      </c>
      <c r="J836" s="11">
        <v>6930</v>
      </c>
      <c r="K836" s="3">
        <v>21.91208726</v>
      </c>
      <c r="L836" s="3">
        <f t="shared" si="13"/>
        <v>0.21912087259999999</v>
      </c>
      <c r="M836">
        <v>94</v>
      </c>
      <c r="N836" s="6">
        <f>MediCare_Data[[#This Row],[Average_Wait_Time (mins)]]/1440</f>
        <v>6.5277777777777782E-2</v>
      </c>
      <c r="O836" s="2">
        <v>2</v>
      </c>
      <c r="P836" s="10">
        <v>6209</v>
      </c>
      <c r="Q836" s="17" t="str">
        <f>IF(AND(MediCare_Data[[#This Row],[Patient_Gender]]="Male", MediCare_Data[[#This Row],[Treatment_Type]]="Maternity"), "Gender-Treatment Mismatch", "Fine")</f>
        <v>Fine</v>
      </c>
      <c r="R836" s="10">
        <f>MediCare_Data[[#This Row],[Revenue_Generated]]-MediCare_Data[[#This Row],[Average_Treatment_Cost]]</f>
        <v>-721</v>
      </c>
      <c r="S836" s="3">
        <f>(MediCare_Data[[#This Row],[Profit]]/MediCare_Data[[#This Row],[Revenue_Generated]])</f>
        <v>-0.1161217587373168</v>
      </c>
    </row>
    <row r="837" spans="1:19" x14ac:dyDescent="0.25">
      <c r="A837" t="s">
        <v>884</v>
      </c>
      <c r="B837" t="s">
        <v>58</v>
      </c>
      <c r="C837" t="s">
        <v>29</v>
      </c>
      <c r="D837" t="s">
        <v>32</v>
      </c>
      <c r="E837">
        <v>46</v>
      </c>
      <c r="F837" t="str">
        <f>IF(MediCare_Data[[#This Row],[Patient_Age]]&lt;=18,"0-18",IF(MediCare_Data[[#This Row],[Patient_Age]]&lt;=35,"19-35",IF(MediCare_Data[[#This Row],[Patient_Age]]&lt;=60,"36-60","60+")))</f>
        <v>36-60</v>
      </c>
      <c r="G837" t="s">
        <v>26</v>
      </c>
      <c r="H837" t="s">
        <v>51</v>
      </c>
      <c r="I837" s="2">
        <v>97</v>
      </c>
      <c r="J837" s="11">
        <v>3966</v>
      </c>
      <c r="K837" s="3">
        <v>18.84985653</v>
      </c>
      <c r="L837" s="3">
        <f t="shared" si="13"/>
        <v>0.1884985653</v>
      </c>
      <c r="M837">
        <v>11</v>
      </c>
      <c r="N837" s="6">
        <f>MediCare_Data[[#This Row],[Average_Wait_Time (mins)]]/1440</f>
        <v>7.6388888888888886E-3</v>
      </c>
      <c r="O837" s="2">
        <v>2</v>
      </c>
      <c r="P837" s="10">
        <v>7533</v>
      </c>
      <c r="Q837" s="17" t="str">
        <f>IF(AND(MediCare_Data[[#This Row],[Patient_Gender]]="Male", MediCare_Data[[#This Row],[Treatment_Type]]="Maternity"), "Gender-Treatment Mismatch", "Fine")</f>
        <v>Fine</v>
      </c>
      <c r="R837" s="10">
        <f>MediCare_Data[[#This Row],[Revenue_Generated]]-MediCare_Data[[#This Row],[Average_Treatment_Cost]]</f>
        <v>3567</v>
      </c>
      <c r="S837" s="3">
        <f>(MediCare_Data[[#This Row],[Profit]]/MediCare_Data[[#This Row],[Revenue_Generated]])</f>
        <v>0.47351652727996812</v>
      </c>
    </row>
    <row r="838" spans="1:19" x14ac:dyDescent="0.25">
      <c r="A838" t="s">
        <v>885</v>
      </c>
      <c r="B838" t="s">
        <v>45</v>
      </c>
      <c r="C838" t="s">
        <v>54</v>
      </c>
      <c r="D838" t="s">
        <v>21</v>
      </c>
      <c r="E838">
        <v>90</v>
      </c>
      <c r="F838" t="str">
        <f>IF(MediCare_Data[[#This Row],[Patient_Age]]&lt;=18,"0-18",IF(MediCare_Data[[#This Row],[Patient_Age]]&lt;=35,"19-35",IF(MediCare_Data[[#This Row],[Patient_Age]]&lt;=60,"36-60","60+")))</f>
        <v>60+</v>
      </c>
      <c r="G838" t="s">
        <v>22</v>
      </c>
      <c r="H838" t="s">
        <v>23</v>
      </c>
      <c r="I838" s="2">
        <v>96</v>
      </c>
      <c r="J838" s="11">
        <v>3581</v>
      </c>
      <c r="K838" s="3">
        <v>13.598621550000001</v>
      </c>
      <c r="L838" s="3">
        <f t="shared" si="13"/>
        <v>0.13598621550000001</v>
      </c>
      <c r="M838">
        <v>67</v>
      </c>
      <c r="N838" s="6">
        <f>MediCare_Data[[#This Row],[Average_Wait_Time (mins)]]/1440</f>
        <v>4.6527777777777779E-2</v>
      </c>
      <c r="O838" s="2">
        <v>2</v>
      </c>
      <c r="P838" s="10">
        <v>22061</v>
      </c>
      <c r="Q838" s="17" t="str">
        <f>IF(AND(MediCare_Data[[#This Row],[Patient_Gender]]="Male", MediCare_Data[[#This Row],[Treatment_Type]]="Maternity"), "Gender-Treatment Mismatch", "Fine")</f>
        <v>Fine</v>
      </c>
      <c r="R838" s="10">
        <f>MediCare_Data[[#This Row],[Revenue_Generated]]-MediCare_Data[[#This Row],[Average_Treatment_Cost]]</f>
        <v>18480</v>
      </c>
      <c r="S838" s="3">
        <f>(MediCare_Data[[#This Row],[Profit]]/MediCare_Data[[#This Row],[Revenue_Generated]])</f>
        <v>0.83767734916821546</v>
      </c>
    </row>
    <row r="839" spans="1:19" x14ac:dyDescent="0.25">
      <c r="A839" t="s">
        <v>886</v>
      </c>
      <c r="B839" t="s">
        <v>35</v>
      </c>
      <c r="C839" t="s">
        <v>36</v>
      </c>
      <c r="D839" t="s">
        <v>21</v>
      </c>
      <c r="E839">
        <v>83</v>
      </c>
      <c r="F839" t="str">
        <f>IF(MediCare_Data[[#This Row],[Patient_Age]]&lt;=18,"0-18",IF(MediCare_Data[[#This Row],[Patient_Age]]&lt;=35,"19-35",IF(MediCare_Data[[#This Row],[Patient_Age]]&lt;=60,"36-60","60+")))</f>
        <v>60+</v>
      </c>
      <c r="G839" t="s">
        <v>22</v>
      </c>
      <c r="H839" t="s">
        <v>18</v>
      </c>
      <c r="I839" s="2">
        <v>72</v>
      </c>
      <c r="J839" s="11">
        <v>1129</v>
      </c>
      <c r="K839" s="3">
        <v>18.459332450000002</v>
      </c>
      <c r="L839" s="3">
        <f t="shared" si="13"/>
        <v>0.18459332450000002</v>
      </c>
      <c r="M839">
        <v>116</v>
      </c>
      <c r="N839" s="6">
        <f>MediCare_Data[[#This Row],[Average_Wait_Time (mins)]]/1440</f>
        <v>8.0555555555555561E-2</v>
      </c>
      <c r="O839" s="2">
        <v>1</v>
      </c>
      <c r="P839" s="10">
        <v>8211</v>
      </c>
      <c r="Q839" s="17" t="str">
        <f>IF(AND(MediCare_Data[[#This Row],[Patient_Gender]]="Male", MediCare_Data[[#This Row],[Treatment_Type]]="Maternity"), "Gender-Treatment Mismatch", "Fine")</f>
        <v>Fine</v>
      </c>
      <c r="R839" s="10">
        <f>MediCare_Data[[#This Row],[Revenue_Generated]]-MediCare_Data[[#This Row],[Average_Treatment_Cost]]</f>
        <v>7082</v>
      </c>
      <c r="S839" s="3">
        <f>(MediCare_Data[[#This Row],[Profit]]/MediCare_Data[[#This Row],[Revenue_Generated]])</f>
        <v>0.86250152234806965</v>
      </c>
    </row>
    <row r="840" spans="1:19" x14ac:dyDescent="0.25">
      <c r="A840" t="s">
        <v>887</v>
      </c>
      <c r="B840" t="s">
        <v>41</v>
      </c>
      <c r="C840" t="s">
        <v>15</v>
      </c>
      <c r="D840" t="s">
        <v>32</v>
      </c>
      <c r="E840">
        <v>17</v>
      </c>
      <c r="F840" t="str">
        <f>IF(MediCare_Data[[#This Row],[Patient_Age]]&lt;=18,"0-18",IF(MediCare_Data[[#This Row],[Patient_Age]]&lt;=35,"19-35",IF(MediCare_Data[[#This Row],[Patient_Age]]&lt;=60,"36-60","60+")))</f>
        <v>0-18</v>
      </c>
      <c r="G840" t="s">
        <v>17</v>
      </c>
      <c r="H840" t="s">
        <v>18</v>
      </c>
      <c r="I840" s="2">
        <v>64</v>
      </c>
      <c r="J840" s="11">
        <v>769</v>
      </c>
      <c r="K840" s="3">
        <v>10.50762349</v>
      </c>
      <c r="L840" s="3">
        <f t="shared" si="13"/>
        <v>0.10507623490000001</v>
      </c>
      <c r="M840">
        <v>132</v>
      </c>
      <c r="N840" s="6">
        <f>MediCare_Data[[#This Row],[Average_Wait_Time (mins)]]/1440</f>
        <v>9.166666666666666E-2</v>
      </c>
      <c r="O840" s="2">
        <v>1</v>
      </c>
      <c r="P840" s="10">
        <v>10927</v>
      </c>
      <c r="Q840" s="17" t="str">
        <f>IF(AND(MediCare_Data[[#This Row],[Patient_Gender]]="Male", MediCare_Data[[#This Row],[Treatment_Type]]="Maternity"), "Gender-Treatment Mismatch", "Fine")</f>
        <v>Fine</v>
      </c>
      <c r="R840" s="10">
        <f>MediCare_Data[[#This Row],[Revenue_Generated]]-MediCare_Data[[#This Row],[Average_Treatment_Cost]]</f>
        <v>10158</v>
      </c>
      <c r="S840" s="3">
        <f>(MediCare_Data[[#This Row],[Profit]]/MediCare_Data[[#This Row],[Revenue_Generated]])</f>
        <v>0.92962386748421344</v>
      </c>
    </row>
    <row r="841" spans="1:19" x14ac:dyDescent="0.25">
      <c r="A841" t="s">
        <v>888</v>
      </c>
      <c r="B841" t="s">
        <v>53</v>
      </c>
      <c r="C841" t="s">
        <v>46</v>
      </c>
      <c r="D841" t="s">
        <v>21</v>
      </c>
      <c r="E841">
        <v>27</v>
      </c>
      <c r="F841" t="str">
        <f>IF(MediCare_Data[[#This Row],[Patient_Age]]&lt;=18,"0-18",IF(MediCare_Data[[#This Row],[Patient_Age]]&lt;=35,"19-35",IF(MediCare_Data[[#This Row],[Patient_Age]]&lt;=60,"36-60","60+")))</f>
        <v>19-35</v>
      </c>
      <c r="G841" t="s">
        <v>22</v>
      </c>
      <c r="H841" t="s">
        <v>47</v>
      </c>
      <c r="I841" s="2">
        <v>86</v>
      </c>
      <c r="J841" s="11">
        <v>6224</v>
      </c>
      <c r="K841" s="3">
        <v>11.12626998</v>
      </c>
      <c r="L841" s="3">
        <f t="shared" si="13"/>
        <v>0.1112626998</v>
      </c>
      <c r="M841">
        <v>177</v>
      </c>
      <c r="N841" s="6">
        <f>MediCare_Data[[#This Row],[Average_Wait_Time (mins)]]/1440</f>
        <v>0.12291666666666666</v>
      </c>
      <c r="O841" s="2">
        <v>4</v>
      </c>
      <c r="P841" s="10">
        <v>12927</v>
      </c>
      <c r="Q841" s="17" t="str">
        <f>IF(AND(MediCare_Data[[#This Row],[Patient_Gender]]="Male", MediCare_Data[[#This Row],[Treatment_Type]]="Maternity"), "Gender-Treatment Mismatch", "Fine")</f>
        <v>Fine</v>
      </c>
      <c r="R841" s="10">
        <f>MediCare_Data[[#This Row],[Revenue_Generated]]-MediCare_Data[[#This Row],[Average_Treatment_Cost]]</f>
        <v>6703</v>
      </c>
      <c r="S841" s="3">
        <f>(MediCare_Data[[#This Row],[Profit]]/MediCare_Data[[#This Row],[Revenue_Generated]])</f>
        <v>0.51852711379283667</v>
      </c>
    </row>
    <row r="842" spans="1:19" x14ac:dyDescent="0.25">
      <c r="A842" t="s">
        <v>889</v>
      </c>
      <c r="B842" t="s">
        <v>61</v>
      </c>
      <c r="C842" t="s">
        <v>31</v>
      </c>
      <c r="D842" t="s">
        <v>21</v>
      </c>
      <c r="E842">
        <v>23</v>
      </c>
      <c r="F842" t="str">
        <f>IF(MediCare_Data[[#This Row],[Patient_Age]]&lt;=18,"0-18",IF(MediCare_Data[[#This Row],[Patient_Age]]&lt;=35,"19-35",IF(MediCare_Data[[#This Row],[Patient_Age]]&lt;=60,"36-60","60+")))</f>
        <v>19-35</v>
      </c>
      <c r="G842" t="s">
        <v>26</v>
      </c>
      <c r="H842" t="s">
        <v>33</v>
      </c>
      <c r="I842" s="2">
        <v>70</v>
      </c>
      <c r="J842" s="11">
        <v>6397</v>
      </c>
      <c r="K842" s="3">
        <v>20.7797032</v>
      </c>
      <c r="L842" s="3">
        <f t="shared" si="13"/>
        <v>0.20779703199999999</v>
      </c>
      <c r="M842">
        <v>173</v>
      </c>
      <c r="N842" s="6">
        <f>MediCare_Data[[#This Row],[Average_Wait_Time (mins)]]/1440</f>
        <v>0.12013888888888889</v>
      </c>
      <c r="O842" s="2">
        <v>3</v>
      </c>
      <c r="P842" s="10">
        <v>25594</v>
      </c>
      <c r="Q842" s="17" t="str">
        <f>IF(AND(MediCare_Data[[#This Row],[Patient_Gender]]="Male", MediCare_Data[[#This Row],[Treatment_Type]]="Maternity"), "Gender-Treatment Mismatch", "Fine")</f>
        <v>Fine</v>
      </c>
      <c r="R842" s="10">
        <f>MediCare_Data[[#This Row],[Revenue_Generated]]-MediCare_Data[[#This Row],[Average_Treatment_Cost]]</f>
        <v>19197</v>
      </c>
      <c r="S842" s="3">
        <f>(MediCare_Data[[#This Row],[Profit]]/MediCare_Data[[#This Row],[Revenue_Generated]])</f>
        <v>0.75005860748612951</v>
      </c>
    </row>
    <row r="843" spans="1:19" x14ac:dyDescent="0.25">
      <c r="A843" t="s">
        <v>890</v>
      </c>
      <c r="B843" t="s">
        <v>45</v>
      </c>
      <c r="C843" t="s">
        <v>15</v>
      </c>
      <c r="D843" t="s">
        <v>16</v>
      </c>
      <c r="E843">
        <v>21</v>
      </c>
      <c r="F843" t="str">
        <f>IF(MediCare_Data[[#This Row],[Patient_Age]]&lt;=18,"0-18",IF(MediCare_Data[[#This Row],[Patient_Age]]&lt;=35,"19-35",IF(MediCare_Data[[#This Row],[Patient_Age]]&lt;=60,"36-60","60+")))</f>
        <v>19-35</v>
      </c>
      <c r="G843" t="s">
        <v>26</v>
      </c>
      <c r="H843" t="s">
        <v>33</v>
      </c>
      <c r="I843" s="2">
        <v>63</v>
      </c>
      <c r="J843" s="11">
        <v>3932</v>
      </c>
      <c r="K843" s="3">
        <v>13.928390329999999</v>
      </c>
      <c r="L843" s="3">
        <f t="shared" si="13"/>
        <v>0.13928390329999998</v>
      </c>
      <c r="M843">
        <v>123</v>
      </c>
      <c r="N843" s="6">
        <f>MediCare_Data[[#This Row],[Average_Wait_Time (mins)]]/1440</f>
        <v>8.5416666666666669E-2</v>
      </c>
      <c r="O843" s="2">
        <v>2</v>
      </c>
      <c r="P843" s="10">
        <v>10316</v>
      </c>
      <c r="Q843" s="17" t="str">
        <f>IF(AND(MediCare_Data[[#This Row],[Patient_Gender]]="Male", MediCare_Data[[#This Row],[Treatment_Type]]="Maternity"), "Gender-Treatment Mismatch", "Fine")</f>
        <v>Fine</v>
      </c>
      <c r="R843" s="10">
        <f>MediCare_Data[[#This Row],[Revenue_Generated]]-MediCare_Data[[#This Row],[Average_Treatment_Cost]]</f>
        <v>6384</v>
      </c>
      <c r="S843" s="3">
        <f>(MediCare_Data[[#This Row],[Profit]]/MediCare_Data[[#This Row],[Revenue_Generated]])</f>
        <v>0.61884451337727797</v>
      </c>
    </row>
    <row r="844" spans="1:19" x14ac:dyDescent="0.25">
      <c r="A844" t="s">
        <v>891</v>
      </c>
      <c r="B844" t="s">
        <v>25</v>
      </c>
      <c r="C844" t="s">
        <v>29</v>
      </c>
      <c r="D844" t="s">
        <v>32</v>
      </c>
      <c r="E844">
        <v>42</v>
      </c>
      <c r="F844" t="str">
        <f>IF(MediCare_Data[[#This Row],[Patient_Age]]&lt;=18,"0-18",IF(MediCare_Data[[#This Row],[Patient_Age]]&lt;=35,"19-35",IF(MediCare_Data[[#This Row],[Patient_Age]]&lt;=60,"36-60","60+")))</f>
        <v>36-60</v>
      </c>
      <c r="G844" t="s">
        <v>43</v>
      </c>
      <c r="H844" t="s">
        <v>47</v>
      </c>
      <c r="I844" s="2">
        <v>51</v>
      </c>
      <c r="J844" s="11">
        <v>9972</v>
      </c>
      <c r="K844" s="3">
        <v>20.967606809999999</v>
      </c>
      <c r="L844" s="3">
        <f t="shared" si="13"/>
        <v>0.2096760681</v>
      </c>
      <c r="M844">
        <v>116</v>
      </c>
      <c r="N844" s="6">
        <f>MediCare_Data[[#This Row],[Average_Wait_Time (mins)]]/1440</f>
        <v>8.0555555555555561E-2</v>
      </c>
      <c r="O844" s="2">
        <v>4</v>
      </c>
      <c r="P844" s="10">
        <v>13177</v>
      </c>
      <c r="Q844" s="17" t="str">
        <f>IF(AND(MediCare_Data[[#This Row],[Patient_Gender]]="Male", MediCare_Data[[#This Row],[Treatment_Type]]="Maternity"), "Gender-Treatment Mismatch", "Fine")</f>
        <v>Fine</v>
      </c>
      <c r="R844" s="10">
        <f>MediCare_Data[[#This Row],[Revenue_Generated]]-MediCare_Data[[#This Row],[Average_Treatment_Cost]]</f>
        <v>3205</v>
      </c>
      <c r="S844" s="3">
        <f>(MediCare_Data[[#This Row],[Profit]]/MediCare_Data[[#This Row],[Revenue_Generated]])</f>
        <v>0.24322683463610836</v>
      </c>
    </row>
    <row r="845" spans="1:19" x14ac:dyDescent="0.25">
      <c r="A845" t="s">
        <v>892</v>
      </c>
      <c r="B845" t="s">
        <v>53</v>
      </c>
      <c r="C845" t="s">
        <v>42</v>
      </c>
      <c r="D845" t="s">
        <v>21</v>
      </c>
      <c r="E845">
        <v>19</v>
      </c>
      <c r="F845" t="str">
        <f>IF(MediCare_Data[[#This Row],[Patient_Age]]&lt;=18,"0-18",IF(MediCare_Data[[#This Row],[Patient_Age]]&lt;=35,"19-35",IF(MediCare_Data[[#This Row],[Patient_Age]]&lt;=60,"36-60","60+")))</f>
        <v>19-35</v>
      </c>
      <c r="G845" t="s">
        <v>26</v>
      </c>
      <c r="H845" t="s">
        <v>47</v>
      </c>
      <c r="I845" s="2">
        <v>60</v>
      </c>
      <c r="J845" s="11">
        <v>6776</v>
      </c>
      <c r="K845" s="3">
        <v>21.448447470000001</v>
      </c>
      <c r="L845" s="3">
        <f t="shared" si="13"/>
        <v>0.21448447470000001</v>
      </c>
      <c r="M845">
        <v>46</v>
      </c>
      <c r="N845" s="6">
        <f>MediCare_Data[[#This Row],[Average_Wait_Time (mins)]]/1440</f>
        <v>3.1944444444444442E-2</v>
      </c>
      <c r="O845" s="2">
        <v>1</v>
      </c>
      <c r="P845" s="10">
        <v>11846</v>
      </c>
      <c r="Q845" s="17" t="str">
        <f>IF(AND(MediCare_Data[[#This Row],[Patient_Gender]]="Male", MediCare_Data[[#This Row],[Treatment_Type]]="Maternity"), "Gender-Treatment Mismatch", "Fine")</f>
        <v>Fine</v>
      </c>
      <c r="R845" s="10">
        <f>MediCare_Data[[#This Row],[Revenue_Generated]]-MediCare_Data[[#This Row],[Average_Treatment_Cost]]</f>
        <v>5070</v>
      </c>
      <c r="S845" s="3">
        <f>(MediCare_Data[[#This Row],[Profit]]/MediCare_Data[[#This Row],[Revenue_Generated]])</f>
        <v>0.42799257133209523</v>
      </c>
    </row>
    <row r="846" spans="1:19" x14ac:dyDescent="0.25">
      <c r="A846" t="s">
        <v>893</v>
      </c>
      <c r="B846" t="s">
        <v>64</v>
      </c>
      <c r="C846" t="s">
        <v>29</v>
      </c>
      <c r="D846" t="s">
        <v>21</v>
      </c>
      <c r="E846">
        <v>2</v>
      </c>
      <c r="F846" t="str">
        <f>IF(MediCare_Data[[#This Row],[Patient_Age]]&lt;=18,"0-18",IF(MediCare_Data[[#This Row],[Patient_Age]]&lt;=35,"19-35",IF(MediCare_Data[[#This Row],[Patient_Age]]&lt;=60,"36-60","60+")))</f>
        <v>0-18</v>
      </c>
      <c r="G846" t="s">
        <v>43</v>
      </c>
      <c r="H846" t="s">
        <v>33</v>
      </c>
      <c r="I846" s="2">
        <v>88</v>
      </c>
      <c r="J846" s="11">
        <v>6395</v>
      </c>
      <c r="K846" s="3">
        <v>22.151246749999999</v>
      </c>
      <c r="L846" s="3">
        <f t="shared" si="13"/>
        <v>0.22151246749999998</v>
      </c>
      <c r="M846">
        <v>88</v>
      </c>
      <c r="N846" s="6">
        <f>MediCare_Data[[#This Row],[Average_Wait_Time (mins)]]/1440</f>
        <v>6.1111111111111109E-2</v>
      </c>
      <c r="O846" s="2">
        <v>1</v>
      </c>
      <c r="P846" s="10">
        <v>8933</v>
      </c>
      <c r="Q846" s="17" t="str">
        <f>IF(AND(MediCare_Data[[#This Row],[Patient_Gender]]="Male", MediCare_Data[[#This Row],[Treatment_Type]]="Maternity"), "Gender-Treatment Mismatch", "Fine")</f>
        <v>Fine</v>
      </c>
      <c r="R846" s="10">
        <f>MediCare_Data[[#This Row],[Revenue_Generated]]-MediCare_Data[[#This Row],[Average_Treatment_Cost]]</f>
        <v>2538</v>
      </c>
      <c r="S846" s="3">
        <f>(MediCare_Data[[#This Row],[Profit]]/MediCare_Data[[#This Row],[Revenue_Generated]])</f>
        <v>0.28411507892085525</v>
      </c>
    </row>
    <row r="847" spans="1:19" x14ac:dyDescent="0.25">
      <c r="A847" t="s">
        <v>894</v>
      </c>
      <c r="B847" t="s">
        <v>35</v>
      </c>
      <c r="C847" t="s">
        <v>46</v>
      </c>
      <c r="D847" t="s">
        <v>16</v>
      </c>
      <c r="E847">
        <v>60</v>
      </c>
      <c r="F847" t="str">
        <f>IF(MediCare_Data[[#This Row],[Patient_Age]]&lt;=18,"0-18",IF(MediCare_Data[[#This Row],[Patient_Age]]&lt;=35,"19-35",IF(MediCare_Data[[#This Row],[Patient_Age]]&lt;=60,"36-60","60+")))</f>
        <v>36-60</v>
      </c>
      <c r="G847" t="s">
        <v>22</v>
      </c>
      <c r="H847" t="s">
        <v>51</v>
      </c>
      <c r="I847" s="2">
        <v>87</v>
      </c>
      <c r="J847" s="11">
        <v>7615</v>
      </c>
      <c r="K847" s="3">
        <v>23.332704719999999</v>
      </c>
      <c r="L847" s="3">
        <f t="shared" si="13"/>
        <v>0.2333270472</v>
      </c>
      <c r="M847">
        <v>101</v>
      </c>
      <c r="N847" s="6">
        <f>MediCare_Data[[#This Row],[Average_Wait_Time (mins)]]/1440</f>
        <v>7.013888888888889E-2</v>
      </c>
      <c r="O847" s="2">
        <v>3</v>
      </c>
      <c r="P847" s="10">
        <v>39244</v>
      </c>
      <c r="Q847" s="17" t="str">
        <f>IF(AND(MediCare_Data[[#This Row],[Patient_Gender]]="Male", MediCare_Data[[#This Row],[Treatment_Type]]="Maternity"), "Gender-Treatment Mismatch", "Fine")</f>
        <v>Fine</v>
      </c>
      <c r="R847" s="10">
        <f>MediCare_Data[[#This Row],[Revenue_Generated]]-MediCare_Data[[#This Row],[Average_Treatment_Cost]]</f>
        <v>31629</v>
      </c>
      <c r="S847" s="3">
        <f>(MediCare_Data[[#This Row],[Profit]]/MediCare_Data[[#This Row],[Revenue_Generated]])</f>
        <v>0.80595759861380079</v>
      </c>
    </row>
    <row r="848" spans="1:19" x14ac:dyDescent="0.25">
      <c r="A848" t="s">
        <v>895</v>
      </c>
      <c r="B848" t="s">
        <v>39</v>
      </c>
      <c r="C848" t="s">
        <v>15</v>
      </c>
      <c r="D848" t="s">
        <v>32</v>
      </c>
      <c r="E848">
        <v>82</v>
      </c>
      <c r="F848" t="str">
        <f>IF(MediCare_Data[[#This Row],[Patient_Age]]&lt;=18,"0-18",IF(MediCare_Data[[#This Row],[Patient_Age]]&lt;=35,"19-35",IF(MediCare_Data[[#This Row],[Patient_Age]]&lt;=60,"36-60","60+")))</f>
        <v>60+</v>
      </c>
      <c r="G848" t="s">
        <v>43</v>
      </c>
      <c r="H848" t="s">
        <v>37</v>
      </c>
      <c r="I848" s="2">
        <v>83</v>
      </c>
      <c r="J848" s="11">
        <v>7156</v>
      </c>
      <c r="K848" s="3">
        <v>13.619704410000001</v>
      </c>
      <c r="L848" s="3">
        <f t="shared" si="13"/>
        <v>0.1361970441</v>
      </c>
      <c r="M848">
        <v>27</v>
      </c>
      <c r="N848" s="6">
        <f>MediCare_Data[[#This Row],[Average_Wait_Time (mins)]]/1440</f>
        <v>1.8749999999999999E-2</v>
      </c>
      <c r="O848" s="2">
        <v>3</v>
      </c>
      <c r="P848" s="10">
        <v>47621</v>
      </c>
      <c r="Q848" s="17" t="str">
        <f>IF(AND(MediCare_Data[[#This Row],[Patient_Gender]]="Male", MediCare_Data[[#This Row],[Treatment_Type]]="Maternity"), "Gender-Treatment Mismatch", "Fine")</f>
        <v>Fine</v>
      </c>
      <c r="R848" s="10">
        <f>MediCare_Data[[#This Row],[Revenue_Generated]]-MediCare_Data[[#This Row],[Average_Treatment_Cost]]</f>
        <v>40465</v>
      </c>
      <c r="S848" s="3">
        <f>(MediCare_Data[[#This Row],[Profit]]/MediCare_Data[[#This Row],[Revenue_Generated]])</f>
        <v>0.84973016106339638</v>
      </c>
    </row>
    <row r="849" spans="1:19" x14ac:dyDescent="0.25">
      <c r="A849" t="s">
        <v>896</v>
      </c>
      <c r="B849" t="s">
        <v>25</v>
      </c>
      <c r="C849" t="s">
        <v>46</v>
      </c>
      <c r="D849" t="s">
        <v>16</v>
      </c>
      <c r="E849">
        <v>70</v>
      </c>
      <c r="F849" t="str">
        <f>IF(MediCare_Data[[#This Row],[Patient_Age]]&lt;=18,"0-18",IF(MediCare_Data[[#This Row],[Patient_Age]]&lt;=35,"19-35",IF(MediCare_Data[[#This Row],[Patient_Age]]&lt;=60,"36-60","60+")))</f>
        <v>60+</v>
      </c>
      <c r="G849" t="s">
        <v>17</v>
      </c>
      <c r="H849" t="s">
        <v>33</v>
      </c>
      <c r="I849" s="2">
        <v>87</v>
      </c>
      <c r="J849" s="11">
        <v>1075</v>
      </c>
      <c r="K849" s="3">
        <v>11.37733637</v>
      </c>
      <c r="L849" s="3">
        <f t="shared" si="13"/>
        <v>0.1137733637</v>
      </c>
      <c r="M849">
        <v>107</v>
      </c>
      <c r="N849" s="6">
        <f>MediCare_Data[[#This Row],[Average_Wait_Time (mins)]]/1440</f>
        <v>7.4305555555555555E-2</v>
      </c>
      <c r="O849" s="2">
        <v>3</v>
      </c>
      <c r="P849" s="10">
        <v>41696</v>
      </c>
      <c r="Q849" s="17" t="str">
        <f>IF(AND(MediCare_Data[[#This Row],[Patient_Gender]]="Male", MediCare_Data[[#This Row],[Treatment_Type]]="Maternity"), "Gender-Treatment Mismatch", "Fine")</f>
        <v>Fine</v>
      </c>
      <c r="R849" s="10">
        <f>MediCare_Data[[#This Row],[Revenue_Generated]]-MediCare_Data[[#This Row],[Average_Treatment_Cost]]</f>
        <v>40621</v>
      </c>
      <c r="S849" s="3">
        <f>(MediCare_Data[[#This Row],[Profit]]/MediCare_Data[[#This Row],[Revenue_Generated]])</f>
        <v>0.9742181504221028</v>
      </c>
    </row>
    <row r="850" spans="1:19" x14ac:dyDescent="0.25">
      <c r="A850" t="s">
        <v>897</v>
      </c>
      <c r="B850" t="s">
        <v>14</v>
      </c>
      <c r="C850" t="s">
        <v>20</v>
      </c>
      <c r="D850" t="s">
        <v>16</v>
      </c>
      <c r="E850">
        <v>74</v>
      </c>
      <c r="F850" t="str">
        <f>IF(MediCare_Data[[#This Row],[Patient_Age]]&lt;=18,"0-18",IF(MediCare_Data[[#This Row],[Patient_Age]]&lt;=35,"19-35",IF(MediCare_Data[[#This Row],[Patient_Age]]&lt;=60,"36-60","60+")))</f>
        <v>60+</v>
      </c>
      <c r="G850" t="s">
        <v>26</v>
      </c>
      <c r="H850" t="s">
        <v>18</v>
      </c>
      <c r="I850" s="2">
        <v>99</v>
      </c>
      <c r="J850" s="11">
        <v>7529</v>
      </c>
      <c r="K850" s="3">
        <v>16.643974929999999</v>
      </c>
      <c r="L850" s="3">
        <f t="shared" si="13"/>
        <v>0.1664397493</v>
      </c>
      <c r="M850">
        <v>72</v>
      </c>
      <c r="N850" s="6">
        <f>MediCare_Data[[#This Row],[Average_Wait_Time (mins)]]/1440</f>
        <v>0.05</v>
      </c>
      <c r="O850" s="2">
        <v>4</v>
      </c>
      <c r="P850" s="10">
        <v>3080</v>
      </c>
      <c r="Q850" s="17" t="str">
        <f>IF(AND(MediCare_Data[[#This Row],[Patient_Gender]]="Male", MediCare_Data[[#This Row],[Treatment_Type]]="Maternity"), "Gender-Treatment Mismatch", "Fine")</f>
        <v>Fine</v>
      </c>
      <c r="R850" s="10">
        <f>MediCare_Data[[#This Row],[Revenue_Generated]]-MediCare_Data[[#This Row],[Average_Treatment_Cost]]</f>
        <v>-4449</v>
      </c>
      <c r="S850" s="3">
        <f>(MediCare_Data[[#This Row],[Profit]]/MediCare_Data[[#This Row],[Revenue_Generated]])</f>
        <v>-1.4444805194805195</v>
      </c>
    </row>
    <row r="851" spans="1:19" x14ac:dyDescent="0.25">
      <c r="A851" t="s">
        <v>898</v>
      </c>
      <c r="B851" t="s">
        <v>39</v>
      </c>
      <c r="C851" t="s">
        <v>42</v>
      </c>
      <c r="D851" t="s">
        <v>32</v>
      </c>
      <c r="E851">
        <v>11</v>
      </c>
      <c r="F851" t="str">
        <f>IF(MediCare_Data[[#This Row],[Patient_Age]]&lt;=18,"0-18",IF(MediCare_Data[[#This Row],[Patient_Age]]&lt;=35,"19-35",IF(MediCare_Data[[#This Row],[Patient_Age]]&lt;=60,"36-60","60+")))</f>
        <v>0-18</v>
      </c>
      <c r="G851" t="s">
        <v>17</v>
      </c>
      <c r="H851" t="s">
        <v>51</v>
      </c>
      <c r="I851" s="2">
        <v>83</v>
      </c>
      <c r="J851" s="11">
        <v>6599</v>
      </c>
      <c r="K851" s="3">
        <v>12.42344847</v>
      </c>
      <c r="L851" s="3">
        <f t="shared" si="13"/>
        <v>0.12423448470000001</v>
      </c>
      <c r="M851">
        <v>159</v>
      </c>
      <c r="N851" s="6">
        <f>MediCare_Data[[#This Row],[Average_Wait_Time (mins)]]/1440</f>
        <v>0.11041666666666666</v>
      </c>
      <c r="O851" s="2">
        <v>1</v>
      </c>
      <c r="P851" s="10">
        <v>7089</v>
      </c>
      <c r="Q851" s="17" t="str">
        <f>IF(AND(MediCare_Data[[#This Row],[Patient_Gender]]="Male", MediCare_Data[[#This Row],[Treatment_Type]]="Maternity"), "Gender-Treatment Mismatch", "Fine")</f>
        <v>Fine</v>
      </c>
      <c r="R851" s="10">
        <f>MediCare_Data[[#This Row],[Revenue_Generated]]-MediCare_Data[[#This Row],[Average_Treatment_Cost]]</f>
        <v>490</v>
      </c>
      <c r="S851" s="3">
        <f>(MediCare_Data[[#This Row],[Profit]]/MediCare_Data[[#This Row],[Revenue_Generated]])</f>
        <v>6.9121173649315845E-2</v>
      </c>
    </row>
    <row r="852" spans="1:19" x14ac:dyDescent="0.25">
      <c r="A852" t="s">
        <v>899</v>
      </c>
      <c r="B852" t="s">
        <v>64</v>
      </c>
      <c r="C852" t="s">
        <v>31</v>
      </c>
      <c r="D852" t="s">
        <v>21</v>
      </c>
      <c r="E852">
        <v>33</v>
      </c>
      <c r="F852" t="str">
        <f>IF(MediCare_Data[[#This Row],[Patient_Age]]&lt;=18,"0-18",IF(MediCare_Data[[#This Row],[Patient_Age]]&lt;=35,"19-35",IF(MediCare_Data[[#This Row],[Patient_Age]]&lt;=60,"36-60","60+")))</f>
        <v>19-35</v>
      </c>
      <c r="G852" t="s">
        <v>43</v>
      </c>
      <c r="H852" t="s">
        <v>18</v>
      </c>
      <c r="I852" s="2">
        <v>67</v>
      </c>
      <c r="J852" s="11">
        <v>9999</v>
      </c>
      <c r="K852" s="3">
        <v>17.02148334</v>
      </c>
      <c r="L852" s="3">
        <f t="shared" si="13"/>
        <v>0.17021483339999999</v>
      </c>
      <c r="M852">
        <v>148</v>
      </c>
      <c r="N852" s="6">
        <f>MediCare_Data[[#This Row],[Average_Wait_Time (mins)]]/1440</f>
        <v>0.10277777777777777</v>
      </c>
      <c r="O852" s="2">
        <v>1</v>
      </c>
      <c r="P852" s="10">
        <v>27123</v>
      </c>
      <c r="Q852" s="17" t="str">
        <f>IF(AND(MediCare_Data[[#This Row],[Patient_Gender]]="Male", MediCare_Data[[#This Row],[Treatment_Type]]="Maternity"), "Gender-Treatment Mismatch", "Fine")</f>
        <v>Fine</v>
      </c>
      <c r="R852" s="10">
        <f>MediCare_Data[[#This Row],[Revenue_Generated]]-MediCare_Data[[#This Row],[Average_Treatment_Cost]]</f>
        <v>17124</v>
      </c>
      <c r="S852" s="3">
        <f>(MediCare_Data[[#This Row],[Profit]]/MediCare_Data[[#This Row],[Revenue_Generated]])</f>
        <v>0.63134609003428821</v>
      </c>
    </row>
    <row r="853" spans="1:19" x14ac:dyDescent="0.25">
      <c r="A853" t="s">
        <v>900</v>
      </c>
      <c r="B853" t="s">
        <v>49</v>
      </c>
      <c r="C853" t="s">
        <v>54</v>
      </c>
      <c r="D853" t="s">
        <v>21</v>
      </c>
      <c r="E853">
        <v>67</v>
      </c>
      <c r="F853" t="str">
        <f>IF(MediCare_Data[[#This Row],[Patient_Age]]&lt;=18,"0-18",IF(MediCare_Data[[#This Row],[Patient_Age]]&lt;=35,"19-35",IF(MediCare_Data[[#This Row],[Patient_Age]]&lt;=60,"36-60","60+")))</f>
        <v>60+</v>
      </c>
      <c r="G853" t="s">
        <v>22</v>
      </c>
      <c r="H853" t="s">
        <v>33</v>
      </c>
      <c r="I853" s="2">
        <v>79</v>
      </c>
      <c r="J853" s="11">
        <v>3692</v>
      </c>
      <c r="K853" s="3">
        <v>19.111717250000002</v>
      </c>
      <c r="L853" s="3">
        <f t="shared" si="13"/>
        <v>0.19111717250000002</v>
      </c>
      <c r="M853">
        <v>13</v>
      </c>
      <c r="N853" s="6">
        <f>MediCare_Data[[#This Row],[Average_Wait_Time (mins)]]/1440</f>
        <v>9.0277777777777769E-3</v>
      </c>
      <c r="O853" s="2">
        <v>3</v>
      </c>
      <c r="P853" s="10">
        <v>8797</v>
      </c>
      <c r="Q853" s="17" t="str">
        <f>IF(AND(MediCare_Data[[#This Row],[Patient_Gender]]="Male", MediCare_Data[[#This Row],[Treatment_Type]]="Maternity"), "Gender-Treatment Mismatch", "Fine")</f>
        <v>Fine</v>
      </c>
      <c r="R853" s="10">
        <f>MediCare_Data[[#This Row],[Revenue_Generated]]-MediCare_Data[[#This Row],[Average_Treatment_Cost]]</f>
        <v>5105</v>
      </c>
      <c r="S853" s="3">
        <f>(MediCare_Data[[#This Row],[Profit]]/MediCare_Data[[#This Row],[Revenue_Generated]])</f>
        <v>0.58031146981925652</v>
      </c>
    </row>
    <row r="854" spans="1:19" x14ac:dyDescent="0.25">
      <c r="A854" t="s">
        <v>901</v>
      </c>
      <c r="B854" t="s">
        <v>56</v>
      </c>
      <c r="C854" t="s">
        <v>46</v>
      </c>
      <c r="D854" t="s">
        <v>32</v>
      </c>
      <c r="E854">
        <v>85</v>
      </c>
      <c r="F854" t="str">
        <f>IF(MediCare_Data[[#This Row],[Patient_Age]]&lt;=18,"0-18",IF(MediCare_Data[[#This Row],[Patient_Age]]&lt;=35,"19-35",IF(MediCare_Data[[#This Row],[Patient_Age]]&lt;=60,"36-60","60+")))</f>
        <v>60+</v>
      </c>
      <c r="G854" t="s">
        <v>43</v>
      </c>
      <c r="H854" t="s">
        <v>37</v>
      </c>
      <c r="I854" s="2">
        <v>64</v>
      </c>
      <c r="J854" s="11">
        <v>3678</v>
      </c>
      <c r="K854" s="3">
        <v>18.768100369999999</v>
      </c>
      <c r="L854" s="3">
        <f t="shared" si="13"/>
        <v>0.18768100369999999</v>
      </c>
      <c r="M854">
        <v>144</v>
      </c>
      <c r="N854" s="6">
        <f>MediCare_Data[[#This Row],[Average_Wait_Time (mins)]]/1440</f>
        <v>0.1</v>
      </c>
      <c r="O854" s="2">
        <v>2</v>
      </c>
      <c r="P854" s="10">
        <v>9346</v>
      </c>
      <c r="Q854" s="17" t="str">
        <f>IF(AND(MediCare_Data[[#This Row],[Patient_Gender]]="Male", MediCare_Data[[#This Row],[Treatment_Type]]="Maternity"), "Gender-Treatment Mismatch", "Fine")</f>
        <v>Fine</v>
      </c>
      <c r="R854" s="10">
        <f>MediCare_Data[[#This Row],[Revenue_Generated]]-MediCare_Data[[#This Row],[Average_Treatment_Cost]]</f>
        <v>5668</v>
      </c>
      <c r="S854" s="3">
        <f>(MediCare_Data[[#This Row],[Profit]]/MediCare_Data[[#This Row],[Revenue_Generated]])</f>
        <v>0.60646265782152797</v>
      </c>
    </row>
    <row r="855" spans="1:19" x14ac:dyDescent="0.25">
      <c r="A855" t="s">
        <v>902</v>
      </c>
      <c r="B855" t="s">
        <v>28</v>
      </c>
      <c r="C855" t="s">
        <v>42</v>
      </c>
      <c r="D855" t="s">
        <v>16</v>
      </c>
      <c r="E855">
        <v>24</v>
      </c>
      <c r="F855" t="str">
        <f>IF(MediCare_Data[[#This Row],[Patient_Age]]&lt;=18,"0-18",IF(MediCare_Data[[#This Row],[Patient_Age]]&lt;=35,"19-35",IF(MediCare_Data[[#This Row],[Patient_Age]]&lt;=60,"36-60","60+")))</f>
        <v>19-35</v>
      </c>
      <c r="G855" t="s">
        <v>17</v>
      </c>
      <c r="H855" t="s">
        <v>47</v>
      </c>
      <c r="I855" s="2">
        <v>76</v>
      </c>
      <c r="J855" s="11">
        <v>6552</v>
      </c>
      <c r="K855" s="3">
        <v>12.49105774</v>
      </c>
      <c r="L855" s="3">
        <f t="shared" si="13"/>
        <v>0.1249105774</v>
      </c>
      <c r="M855">
        <v>70</v>
      </c>
      <c r="N855" s="6">
        <f>MediCare_Data[[#This Row],[Average_Wait_Time (mins)]]/1440</f>
        <v>4.8611111111111112E-2</v>
      </c>
      <c r="O855" s="2">
        <v>3</v>
      </c>
      <c r="P855" s="10">
        <v>20878</v>
      </c>
      <c r="Q855" s="17" t="str">
        <f>IF(AND(MediCare_Data[[#This Row],[Patient_Gender]]="Male", MediCare_Data[[#This Row],[Treatment_Type]]="Maternity"), "Gender-Treatment Mismatch", "Fine")</f>
        <v>Fine</v>
      </c>
      <c r="R855" s="10">
        <f>MediCare_Data[[#This Row],[Revenue_Generated]]-MediCare_Data[[#This Row],[Average_Treatment_Cost]]</f>
        <v>14326</v>
      </c>
      <c r="S855" s="3">
        <f>(MediCare_Data[[#This Row],[Profit]]/MediCare_Data[[#This Row],[Revenue_Generated]])</f>
        <v>0.68617683686176834</v>
      </c>
    </row>
    <row r="856" spans="1:19" x14ac:dyDescent="0.25">
      <c r="A856" t="s">
        <v>903</v>
      </c>
      <c r="B856" t="s">
        <v>56</v>
      </c>
      <c r="C856" t="s">
        <v>54</v>
      </c>
      <c r="D856" t="s">
        <v>32</v>
      </c>
      <c r="E856">
        <v>2</v>
      </c>
      <c r="F856" t="str">
        <f>IF(MediCare_Data[[#This Row],[Patient_Age]]&lt;=18,"0-18",IF(MediCare_Data[[#This Row],[Patient_Age]]&lt;=35,"19-35",IF(MediCare_Data[[#This Row],[Patient_Age]]&lt;=60,"36-60","60+")))</f>
        <v>0-18</v>
      </c>
      <c r="G856" t="s">
        <v>43</v>
      </c>
      <c r="H856" t="s">
        <v>51</v>
      </c>
      <c r="I856" s="2">
        <v>83</v>
      </c>
      <c r="J856" s="11">
        <v>3234</v>
      </c>
      <c r="K856" s="3">
        <v>8.3372040340000009</v>
      </c>
      <c r="L856" s="3">
        <f t="shared" si="13"/>
        <v>8.3372040340000009E-2</v>
      </c>
      <c r="M856">
        <v>116</v>
      </c>
      <c r="N856" s="6">
        <f>MediCare_Data[[#This Row],[Average_Wait_Time (mins)]]/1440</f>
        <v>8.0555555555555561E-2</v>
      </c>
      <c r="O856" s="2">
        <v>4</v>
      </c>
      <c r="P856" s="10">
        <v>34672</v>
      </c>
      <c r="Q856" s="17" t="str">
        <f>IF(AND(MediCare_Data[[#This Row],[Patient_Gender]]="Male", MediCare_Data[[#This Row],[Treatment_Type]]="Maternity"), "Gender-Treatment Mismatch", "Fine")</f>
        <v>Fine</v>
      </c>
      <c r="R856" s="10">
        <f>MediCare_Data[[#This Row],[Revenue_Generated]]-MediCare_Data[[#This Row],[Average_Treatment_Cost]]</f>
        <v>31438</v>
      </c>
      <c r="S856" s="3">
        <f>(MediCare_Data[[#This Row],[Profit]]/MediCare_Data[[#This Row],[Revenue_Generated]])</f>
        <v>0.90672588832487311</v>
      </c>
    </row>
    <row r="857" spans="1:19" x14ac:dyDescent="0.25">
      <c r="A857" t="s">
        <v>904</v>
      </c>
      <c r="B857" t="s">
        <v>82</v>
      </c>
      <c r="C857" t="s">
        <v>42</v>
      </c>
      <c r="D857" t="s">
        <v>21</v>
      </c>
      <c r="E857">
        <v>58</v>
      </c>
      <c r="F857" t="str">
        <f>IF(MediCare_Data[[#This Row],[Patient_Age]]&lt;=18,"0-18",IF(MediCare_Data[[#This Row],[Patient_Age]]&lt;=35,"19-35",IF(MediCare_Data[[#This Row],[Patient_Age]]&lt;=60,"36-60","60+")))</f>
        <v>36-60</v>
      </c>
      <c r="G857" t="s">
        <v>17</v>
      </c>
      <c r="H857" t="s">
        <v>33</v>
      </c>
      <c r="I857" s="2">
        <v>87</v>
      </c>
      <c r="J857" s="11">
        <v>6616</v>
      </c>
      <c r="K857" s="3">
        <v>13.610586769999999</v>
      </c>
      <c r="L857" s="3">
        <f t="shared" si="13"/>
        <v>0.13610586769999999</v>
      </c>
      <c r="M857">
        <v>63</v>
      </c>
      <c r="N857" s="6">
        <f>MediCare_Data[[#This Row],[Average_Wait_Time (mins)]]/1440</f>
        <v>4.3749999999999997E-2</v>
      </c>
      <c r="O857" s="2">
        <v>3</v>
      </c>
      <c r="P857" s="10">
        <v>18653</v>
      </c>
      <c r="Q857" s="17" t="str">
        <f>IF(AND(MediCare_Data[[#This Row],[Patient_Gender]]="Male", MediCare_Data[[#This Row],[Treatment_Type]]="Maternity"), "Gender-Treatment Mismatch", "Fine")</f>
        <v>Fine</v>
      </c>
      <c r="R857" s="10">
        <f>MediCare_Data[[#This Row],[Revenue_Generated]]-MediCare_Data[[#This Row],[Average_Treatment_Cost]]</f>
        <v>12037</v>
      </c>
      <c r="S857" s="3">
        <f>(MediCare_Data[[#This Row],[Profit]]/MediCare_Data[[#This Row],[Revenue_Generated]])</f>
        <v>0.64531174609982311</v>
      </c>
    </row>
    <row r="858" spans="1:19" x14ac:dyDescent="0.25">
      <c r="A858" t="s">
        <v>905</v>
      </c>
      <c r="B858" t="s">
        <v>53</v>
      </c>
      <c r="C858" t="s">
        <v>54</v>
      </c>
      <c r="D858" t="s">
        <v>21</v>
      </c>
      <c r="E858">
        <v>36</v>
      </c>
      <c r="F858" t="str">
        <f>IF(MediCare_Data[[#This Row],[Patient_Age]]&lt;=18,"0-18",IF(MediCare_Data[[#This Row],[Patient_Age]]&lt;=35,"19-35",IF(MediCare_Data[[#This Row],[Patient_Age]]&lt;=60,"36-60","60+")))</f>
        <v>36-60</v>
      </c>
      <c r="G858" t="s">
        <v>26</v>
      </c>
      <c r="H858" t="s">
        <v>33</v>
      </c>
      <c r="I858" s="2">
        <v>82</v>
      </c>
      <c r="J858" s="11">
        <v>4068</v>
      </c>
      <c r="K858" s="3">
        <v>7.851882882</v>
      </c>
      <c r="L858" s="3">
        <f t="shared" si="13"/>
        <v>7.8518828819999997E-2</v>
      </c>
      <c r="M858">
        <v>97</v>
      </c>
      <c r="N858" s="6">
        <f>MediCare_Data[[#This Row],[Average_Wait_Time (mins)]]/1440</f>
        <v>6.7361111111111108E-2</v>
      </c>
      <c r="O858" s="2">
        <v>3</v>
      </c>
      <c r="P858" s="10">
        <v>43742</v>
      </c>
      <c r="Q858" s="17" t="str">
        <f>IF(AND(MediCare_Data[[#This Row],[Patient_Gender]]="Male", MediCare_Data[[#This Row],[Treatment_Type]]="Maternity"), "Gender-Treatment Mismatch", "Fine")</f>
        <v>Fine</v>
      </c>
      <c r="R858" s="10">
        <f>MediCare_Data[[#This Row],[Revenue_Generated]]-MediCare_Data[[#This Row],[Average_Treatment_Cost]]</f>
        <v>39674</v>
      </c>
      <c r="S858" s="3">
        <f>(MediCare_Data[[#This Row],[Profit]]/MediCare_Data[[#This Row],[Revenue_Generated]])</f>
        <v>0.90700013716793926</v>
      </c>
    </row>
    <row r="859" spans="1:19" x14ac:dyDescent="0.25">
      <c r="A859" t="s">
        <v>906</v>
      </c>
      <c r="B859" t="s">
        <v>61</v>
      </c>
      <c r="C859" t="s">
        <v>20</v>
      </c>
      <c r="D859" t="s">
        <v>32</v>
      </c>
      <c r="E859">
        <v>44</v>
      </c>
      <c r="F859" t="str">
        <f>IF(MediCare_Data[[#This Row],[Patient_Age]]&lt;=18,"0-18",IF(MediCare_Data[[#This Row],[Patient_Age]]&lt;=35,"19-35",IF(MediCare_Data[[#This Row],[Patient_Age]]&lt;=60,"36-60","60+")))</f>
        <v>36-60</v>
      </c>
      <c r="G859" t="s">
        <v>17</v>
      </c>
      <c r="H859" t="s">
        <v>37</v>
      </c>
      <c r="I859" s="2">
        <v>73</v>
      </c>
      <c r="J859" s="11">
        <v>2703</v>
      </c>
      <c r="K859" s="3">
        <v>22.801940699999999</v>
      </c>
      <c r="L859" s="3">
        <f t="shared" si="13"/>
        <v>0.22801940700000001</v>
      </c>
      <c r="M859">
        <v>77</v>
      </c>
      <c r="N859" s="6">
        <f>MediCare_Data[[#This Row],[Average_Wait_Time (mins)]]/1440</f>
        <v>5.347222222222222E-2</v>
      </c>
      <c r="O859" s="2">
        <v>4</v>
      </c>
      <c r="P859" s="10">
        <v>27140</v>
      </c>
      <c r="Q859" s="17" t="str">
        <f>IF(AND(MediCare_Data[[#This Row],[Patient_Gender]]="Male", MediCare_Data[[#This Row],[Treatment_Type]]="Maternity"), "Gender-Treatment Mismatch", "Fine")</f>
        <v>Fine</v>
      </c>
      <c r="R859" s="10">
        <f>MediCare_Data[[#This Row],[Revenue_Generated]]-MediCare_Data[[#This Row],[Average_Treatment_Cost]]</f>
        <v>24437</v>
      </c>
      <c r="S859" s="3">
        <f>(MediCare_Data[[#This Row],[Profit]]/MediCare_Data[[#This Row],[Revenue_Generated]])</f>
        <v>0.90040530582166545</v>
      </c>
    </row>
    <row r="860" spans="1:19" x14ac:dyDescent="0.25">
      <c r="A860" t="s">
        <v>907</v>
      </c>
      <c r="B860" t="s">
        <v>53</v>
      </c>
      <c r="C860" t="s">
        <v>36</v>
      </c>
      <c r="D860" t="s">
        <v>16</v>
      </c>
      <c r="E860">
        <v>44</v>
      </c>
      <c r="F860" t="str">
        <f>IF(MediCare_Data[[#This Row],[Patient_Age]]&lt;=18,"0-18",IF(MediCare_Data[[#This Row],[Patient_Age]]&lt;=35,"19-35",IF(MediCare_Data[[#This Row],[Patient_Age]]&lt;=60,"36-60","60+")))</f>
        <v>36-60</v>
      </c>
      <c r="G860" t="s">
        <v>17</v>
      </c>
      <c r="H860" t="s">
        <v>23</v>
      </c>
      <c r="I860" s="2">
        <v>64</v>
      </c>
      <c r="J860" s="11">
        <v>1890</v>
      </c>
      <c r="K860" s="3">
        <v>11.917549210000001</v>
      </c>
      <c r="L860" s="3">
        <f t="shared" si="13"/>
        <v>0.1191754921</v>
      </c>
      <c r="M860">
        <v>138</v>
      </c>
      <c r="N860" s="6">
        <f>MediCare_Data[[#This Row],[Average_Wait_Time (mins)]]/1440</f>
        <v>9.583333333333334E-2</v>
      </c>
      <c r="O860" s="2">
        <v>3</v>
      </c>
      <c r="P860" s="10">
        <v>2184</v>
      </c>
      <c r="Q860" s="17" t="str">
        <f>IF(AND(MediCare_Data[[#This Row],[Patient_Gender]]="Male", MediCare_Data[[#This Row],[Treatment_Type]]="Maternity"), "Gender-Treatment Mismatch", "Fine")</f>
        <v>Fine</v>
      </c>
      <c r="R860" s="10">
        <f>MediCare_Data[[#This Row],[Revenue_Generated]]-MediCare_Data[[#This Row],[Average_Treatment_Cost]]</f>
        <v>294</v>
      </c>
      <c r="S860" s="3">
        <f>(MediCare_Data[[#This Row],[Profit]]/MediCare_Data[[#This Row],[Revenue_Generated]])</f>
        <v>0.13461538461538461</v>
      </c>
    </row>
    <row r="861" spans="1:19" x14ac:dyDescent="0.25">
      <c r="A861" t="s">
        <v>908</v>
      </c>
      <c r="B861" t="s">
        <v>53</v>
      </c>
      <c r="C861" t="s">
        <v>31</v>
      </c>
      <c r="D861" t="s">
        <v>21</v>
      </c>
      <c r="E861">
        <v>17</v>
      </c>
      <c r="F861" t="str">
        <f>IF(MediCare_Data[[#This Row],[Patient_Age]]&lt;=18,"0-18",IF(MediCare_Data[[#This Row],[Patient_Age]]&lt;=35,"19-35",IF(MediCare_Data[[#This Row],[Patient_Age]]&lt;=60,"36-60","60+")))</f>
        <v>0-18</v>
      </c>
      <c r="G861" t="s">
        <v>17</v>
      </c>
      <c r="H861" t="s">
        <v>23</v>
      </c>
      <c r="I861" s="2">
        <v>79</v>
      </c>
      <c r="J861" s="11">
        <v>2242</v>
      </c>
      <c r="K861" s="3">
        <v>8.0891949440000008</v>
      </c>
      <c r="L861" s="3">
        <f t="shared" si="13"/>
        <v>8.0891949440000013E-2</v>
      </c>
      <c r="M861">
        <v>64</v>
      </c>
      <c r="N861" s="6">
        <f>MediCare_Data[[#This Row],[Average_Wait_Time (mins)]]/1440</f>
        <v>4.4444444444444446E-2</v>
      </c>
      <c r="O861" s="2">
        <v>1</v>
      </c>
      <c r="P861" s="10">
        <v>35493</v>
      </c>
      <c r="Q861" s="17" t="str">
        <f>IF(AND(MediCare_Data[[#This Row],[Patient_Gender]]="Male", MediCare_Data[[#This Row],[Treatment_Type]]="Maternity"), "Gender-Treatment Mismatch", "Fine")</f>
        <v>Fine</v>
      </c>
      <c r="R861" s="10">
        <f>MediCare_Data[[#This Row],[Revenue_Generated]]-MediCare_Data[[#This Row],[Average_Treatment_Cost]]</f>
        <v>33251</v>
      </c>
      <c r="S861" s="3">
        <f>(MediCare_Data[[#This Row],[Profit]]/MediCare_Data[[#This Row],[Revenue_Generated]])</f>
        <v>0.93683261488180769</v>
      </c>
    </row>
    <row r="862" spans="1:19" x14ac:dyDescent="0.25">
      <c r="A862" t="s">
        <v>909</v>
      </c>
      <c r="B862" t="s">
        <v>49</v>
      </c>
      <c r="C862" t="s">
        <v>54</v>
      </c>
      <c r="D862" t="s">
        <v>16</v>
      </c>
      <c r="E862">
        <v>38</v>
      </c>
      <c r="F862" t="str">
        <f>IF(MediCare_Data[[#This Row],[Patient_Age]]&lt;=18,"0-18",IF(MediCare_Data[[#This Row],[Patient_Age]]&lt;=35,"19-35",IF(MediCare_Data[[#This Row],[Patient_Age]]&lt;=60,"36-60","60+")))</f>
        <v>36-60</v>
      </c>
      <c r="G862" t="s">
        <v>17</v>
      </c>
      <c r="H862" t="s">
        <v>18</v>
      </c>
      <c r="I862" s="2">
        <v>91</v>
      </c>
      <c r="J862" s="11">
        <v>2425</v>
      </c>
      <c r="K862" s="3">
        <v>5.5089551979999998</v>
      </c>
      <c r="L862" s="3">
        <f t="shared" si="13"/>
        <v>5.5089551979999998E-2</v>
      </c>
      <c r="M862">
        <v>12</v>
      </c>
      <c r="N862" s="6">
        <f>MediCare_Data[[#This Row],[Average_Wait_Time (mins)]]/1440</f>
        <v>8.3333333333333332E-3</v>
      </c>
      <c r="O862" s="2">
        <v>2</v>
      </c>
      <c r="P862" s="10">
        <v>45148</v>
      </c>
      <c r="Q862" s="17" t="str">
        <f>IF(AND(MediCare_Data[[#This Row],[Patient_Gender]]="Male", MediCare_Data[[#This Row],[Treatment_Type]]="Maternity"), "Gender-Treatment Mismatch", "Fine")</f>
        <v>Fine</v>
      </c>
      <c r="R862" s="10">
        <f>MediCare_Data[[#This Row],[Revenue_Generated]]-MediCare_Data[[#This Row],[Average_Treatment_Cost]]</f>
        <v>42723</v>
      </c>
      <c r="S862" s="3">
        <f>(MediCare_Data[[#This Row],[Profit]]/MediCare_Data[[#This Row],[Revenue_Generated]])</f>
        <v>0.94628776468503584</v>
      </c>
    </row>
    <row r="863" spans="1:19" x14ac:dyDescent="0.25">
      <c r="A863" t="s">
        <v>910</v>
      </c>
      <c r="B863" t="s">
        <v>41</v>
      </c>
      <c r="C863" t="s">
        <v>36</v>
      </c>
      <c r="D863" t="s">
        <v>32</v>
      </c>
      <c r="E863">
        <v>65</v>
      </c>
      <c r="F863" t="str">
        <f>IF(MediCare_Data[[#This Row],[Patient_Age]]&lt;=18,"0-18",IF(MediCare_Data[[#This Row],[Patient_Age]]&lt;=35,"19-35",IF(MediCare_Data[[#This Row],[Patient_Age]]&lt;=60,"36-60","60+")))</f>
        <v>60+</v>
      </c>
      <c r="G863" t="s">
        <v>43</v>
      </c>
      <c r="H863" t="s">
        <v>33</v>
      </c>
      <c r="I863" s="2">
        <v>66</v>
      </c>
      <c r="J863" s="11">
        <v>1119</v>
      </c>
      <c r="K863" s="3">
        <v>17.916447730000002</v>
      </c>
      <c r="L863" s="3">
        <f t="shared" si="13"/>
        <v>0.17916447730000001</v>
      </c>
      <c r="M863">
        <v>175</v>
      </c>
      <c r="N863" s="6">
        <f>MediCare_Data[[#This Row],[Average_Wait_Time (mins)]]/1440</f>
        <v>0.12152777777777778</v>
      </c>
      <c r="O863" s="2">
        <v>3</v>
      </c>
      <c r="P863" s="10">
        <v>25846</v>
      </c>
      <c r="Q863" s="17" t="str">
        <f>IF(AND(MediCare_Data[[#This Row],[Patient_Gender]]="Male", MediCare_Data[[#This Row],[Treatment_Type]]="Maternity"), "Gender-Treatment Mismatch", "Fine")</f>
        <v>Fine</v>
      </c>
      <c r="R863" s="10">
        <f>MediCare_Data[[#This Row],[Revenue_Generated]]-MediCare_Data[[#This Row],[Average_Treatment_Cost]]</f>
        <v>24727</v>
      </c>
      <c r="S863" s="3">
        <f>(MediCare_Data[[#This Row],[Profit]]/MediCare_Data[[#This Row],[Revenue_Generated]])</f>
        <v>0.95670509943511572</v>
      </c>
    </row>
    <row r="864" spans="1:19" x14ac:dyDescent="0.25">
      <c r="A864" t="s">
        <v>911</v>
      </c>
      <c r="B864" t="s">
        <v>39</v>
      </c>
      <c r="C864" t="s">
        <v>54</v>
      </c>
      <c r="D864" t="s">
        <v>32</v>
      </c>
      <c r="E864">
        <v>29</v>
      </c>
      <c r="F864" t="str">
        <f>IF(MediCare_Data[[#This Row],[Patient_Age]]&lt;=18,"0-18",IF(MediCare_Data[[#This Row],[Patient_Age]]&lt;=35,"19-35",IF(MediCare_Data[[#This Row],[Patient_Age]]&lt;=60,"36-60","60+")))</f>
        <v>19-35</v>
      </c>
      <c r="G864" t="s">
        <v>26</v>
      </c>
      <c r="H864" t="s">
        <v>51</v>
      </c>
      <c r="I864" s="2">
        <v>54</v>
      </c>
      <c r="J864" s="11">
        <v>1774</v>
      </c>
      <c r="K864" s="3">
        <v>17.738046350000001</v>
      </c>
      <c r="L864" s="3">
        <f t="shared" si="13"/>
        <v>0.1773804635</v>
      </c>
      <c r="M864">
        <v>130</v>
      </c>
      <c r="N864" s="6">
        <f>MediCare_Data[[#This Row],[Average_Wait_Time (mins)]]/1440</f>
        <v>9.0277777777777776E-2</v>
      </c>
      <c r="O864" s="2">
        <v>4</v>
      </c>
      <c r="P864" s="10">
        <v>46825</v>
      </c>
      <c r="Q864" s="17" t="str">
        <f>IF(AND(MediCare_Data[[#This Row],[Patient_Gender]]="Male", MediCare_Data[[#This Row],[Treatment_Type]]="Maternity"), "Gender-Treatment Mismatch", "Fine")</f>
        <v>Fine</v>
      </c>
      <c r="R864" s="10">
        <f>MediCare_Data[[#This Row],[Revenue_Generated]]-MediCare_Data[[#This Row],[Average_Treatment_Cost]]</f>
        <v>45051</v>
      </c>
      <c r="S864" s="3">
        <f>(MediCare_Data[[#This Row],[Profit]]/MediCare_Data[[#This Row],[Revenue_Generated]])</f>
        <v>0.9621142552055526</v>
      </c>
    </row>
    <row r="865" spans="1:19" x14ac:dyDescent="0.25">
      <c r="A865" t="s">
        <v>912</v>
      </c>
      <c r="B865" t="s">
        <v>49</v>
      </c>
      <c r="C865" t="s">
        <v>31</v>
      </c>
      <c r="D865" t="s">
        <v>21</v>
      </c>
      <c r="E865">
        <v>68</v>
      </c>
      <c r="F865" t="str">
        <f>IF(MediCare_Data[[#This Row],[Patient_Age]]&lt;=18,"0-18",IF(MediCare_Data[[#This Row],[Patient_Age]]&lt;=35,"19-35",IF(MediCare_Data[[#This Row],[Patient_Age]]&lt;=60,"36-60","60+")))</f>
        <v>60+</v>
      </c>
      <c r="G865" t="s">
        <v>22</v>
      </c>
      <c r="H865" t="s">
        <v>51</v>
      </c>
      <c r="I865" s="2">
        <v>78</v>
      </c>
      <c r="J865" s="11">
        <v>1456</v>
      </c>
      <c r="K865" s="3">
        <v>11.81208333</v>
      </c>
      <c r="L865" s="3">
        <f t="shared" si="13"/>
        <v>0.11812083330000001</v>
      </c>
      <c r="M865">
        <v>138</v>
      </c>
      <c r="N865" s="6">
        <f>MediCare_Data[[#This Row],[Average_Wait_Time (mins)]]/1440</f>
        <v>9.583333333333334E-2</v>
      </c>
      <c r="O865" s="2">
        <v>2</v>
      </c>
      <c r="P865" s="10">
        <v>23195</v>
      </c>
      <c r="Q865" s="17" t="str">
        <f>IF(AND(MediCare_Data[[#This Row],[Patient_Gender]]="Male", MediCare_Data[[#This Row],[Treatment_Type]]="Maternity"), "Gender-Treatment Mismatch", "Fine")</f>
        <v>Fine</v>
      </c>
      <c r="R865" s="10">
        <f>MediCare_Data[[#This Row],[Revenue_Generated]]-MediCare_Data[[#This Row],[Average_Treatment_Cost]]</f>
        <v>21739</v>
      </c>
      <c r="S865" s="3">
        <f>(MediCare_Data[[#This Row],[Profit]]/MediCare_Data[[#This Row],[Revenue_Generated]])</f>
        <v>0.93722785082992022</v>
      </c>
    </row>
    <row r="866" spans="1:19" x14ac:dyDescent="0.25">
      <c r="A866" t="s">
        <v>913</v>
      </c>
      <c r="B866" t="s">
        <v>41</v>
      </c>
      <c r="C866" t="s">
        <v>46</v>
      </c>
      <c r="D866" t="s">
        <v>21</v>
      </c>
      <c r="E866">
        <v>48</v>
      </c>
      <c r="F866" t="str">
        <f>IF(MediCare_Data[[#This Row],[Patient_Age]]&lt;=18,"0-18",IF(MediCare_Data[[#This Row],[Patient_Age]]&lt;=35,"19-35",IF(MediCare_Data[[#This Row],[Patient_Age]]&lt;=60,"36-60","60+")))</f>
        <v>36-60</v>
      </c>
      <c r="G866" t="s">
        <v>43</v>
      </c>
      <c r="H866" t="s">
        <v>18</v>
      </c>
      <c r="I866" s="2">
        <v>53</v>
      </c>
      <c r="J866" s="11">
        <v>2439</v>
      </c>
      <c r="K866" s="3">
        <v>6.4342377769999999</v>
      </c>
      <c r="L866" s="3">
        <f t="shared" si="13"/>
        <v>6.434237777E-2</v>
      </c>
      <c r="M866">
        <v>111</v>
      </c>
      <c r="N866" s="6">
        <f>MediCare_Data[[#This Row],[Average_Wait_Time (mins)]]/1440</f>
        <v>7.7083333333333337E-2</v>
      </c>
      <c r="O866" s="2">
        <v>4</v>
      </c>
      <c r="P866" s="10">
        <v>6606</v>
      </c>
      <c r="Q866" s="17" t="str">
        <f>IF(AND(MediCare_Data[[#This Row],[Patient_Gender]]="Male", MediCare_Data[[#This Row],[Treatment_Type]]="Maternity"), "Gender-Treatment Mismatch", "Fine")</f>
        <v>Fine</v>
      </c>
      <c r="R866" s="10">
        <f>MediCare_Data[[#This Row],[Revenue_Generated]]-MediCare_Data[[#This Row],[Average_Treatment_Cost]]</f>
        <v>4167</v>
      </c>
      <c r="S866" s="3">
        <f>(MediCare_Data[[#This Row],[Profit]]/MediCare_Data[[#This Row],[Revenue_Generated]])</f>
        <v>0.63079019073569487</v>
      </c>
    </row>
    <row r="867" spans="1:19" x14ac:dyDescent="0.25">
      <c r="A867" t="s">
        <v>914</v>
      </c>
      <c r="B867" t="s">
        <v>39</v>
      </c>
      <c r="C867" t="s">
        <v>42</v>
      </c>
      <c r="D867" t="s">
        <v>32</v>
      </c>
      <c r="E867">
        <v>79</v>
      </c>
      <c r="F867" t="str">
        <f>IF(MediCare_Data[[#This Row],[Patient_Age]]&lt;=18,"0-18",IF(MediCare_Data[[#This Row],[Patient_Age]]&lt;=35,"19-35",IF(MediCare_Data[[#This Row],[Patient_Age]]&lt;=60,"36-60","60+")))</f>
        <v>60+</v>
      </c>
      <c r="G867" t="s">
        <v>43</v>
      </c>
      <c r="H867" t="s">
        <v>33</v>
      </c>
      <c r="I867" s="2">
        <v>59</v>
      </c>
      <c r="J867" s="11">
        <v>4453</v>
      </c>
      <c r="K867" s="3">
        <v>13.1925779</v>
      </c>
      <c r="L867" s="3">
        <f t="shared" si="13"/>
        <v>0.13192577899999999</v>
      </c>
      <c r="M867">
        <v>47</v>
      </c>
      <c r="N867" s="6">
        <f>MediCare_Data[[#This Row],[Average_Wait_Time (mins)]]/1440</f>
        <v>3.2638888888888891E-2</v>
      </c>
      <c r="O867" s="2">
        <v>2</v>
      </c>
      <c r="P867" s="10">
        <v>4956</v>
      </c>
      <c r="Q867" s="17" t="str">
        <f>IF(AND(MediCare_Data[[#This Row],[Patient_Gender]]="Male", MediCare_Data[[#This Row],[Treatment_Type]]="Maternity"), "Gender-Treatment Mismatch", "Fine")</f>
        <v>Fine</v>
      </c>
      <c r="R867" s="10">
        <f>MediCare_Data[[#This Row],[Revenue_Generated]]-MediCare_Data[[#This Row],[Average_Treatment_Cost]]</f>
        <v>503</v>
      </c>
      <c r="S867" s="3">
        <f>(MediCare_Data[[#This Row],[Profit]]/MediCare_Data[[#This Row],[Revenue_Generated]])</f>
        <v>0.10149313962873285</v>
      </c>
    </row>
    <row r="868" spans="1:19" x14ac:dyDescent="0.25">
      <c r="A868" t="s">
        <v>915</v>
      </c>
      <c r="B868" t="s">
        <v>74</v>
      </c>
      <c r="C868" t="s">
        <v>36</v>
      </c>
      <c r="D868" t="s">
        <v>16</v>
      </c>
      <c r="E868">
        <v>67</v>
      </c>
      <c r="F868" t="str">
        <f>IF(MediCare_Data[[#This Row],[Patient_Age]]&lt;=18,"0-18",IF(MediCare_Data[[#This Row],[Patient_Age]]&lt;=35,"19-35",IF(MediCare_Data[[#This Row],[Patient_Age]]&lt;=60,"36-60","60+")))</f>
        <v>60+</v>
      </c>
      <c r="G868" t="s">
        <v>43</v>
      </c>
      <c r="H868" t="s">
        <v>18</v>
      </c>
      <c r="I868" s="2">
        <v>66</v>
      </c>
      <c r="J868" s="11">
        <v>1468</v>
      </c>
      <c r="K868" s="3">
        <v>11.2243499</v>
      </c>
      <c r="L868" s="3">
        <f t="shared" si="13"/>
        <v>0.112243499</v>
      </c>
      <c r="M868">
        <v>94</v>
      </c>
      <c r="N868" s="6">
        <f>MediCare_Data[[#This Row],[Average_Wait_Time (mins)]]/1440</f>
        <v>6.5277777777777782E-2</v>
      </c>
      <c r="O868" s="2">
        <v>2</v>
      </c>
      <c r="P868" s="10">
        <v>17555</v>
      </c>
      <c r="Q868" s="17" t="str">
        <f>IF(AND(MediCare_Data[[#This Row],[Patient_Gender]]="Male", MediCare_Data[[#This Row],[Treatment_Type]]="Maternity"), "Gender-Treatment Mismatch", "Fine")</f>
        <v>Fine</v>
      </c>
      <c r="R868" s="10">
        <f>MediCare_Data[[#This Row],[Revenue_Generated]]-MediCare_Data[[#This Row],[Average_Treatment_Cost]]</f>
        <v>16087</v>
      </c>
      <c r="S868" s="3">
        <f>(MediCare_Data[[#This Row],[Profit]]/MediCare_Data[[#This Row],[Revenue_Generated]])</f>
        <v>0.9163771005411564</v>
      </c>
    </row>
    <row r="869" spans="1:19" x14ac:dyDescent="0.25">
      <c r="A869" t="s">
        <v>916</v>
      </c>
      <c r="B869" t="s">
        <v>39</v>
      </c>
      <c r="C869" t="s">
        <v>15</v>
      </c>
      <c r="D869" t="s">
        <v>16</v>
      </c>
      <c r="E869">
        <v>39</v>
      </c>
      <c r="F869" t="str">
        <f>IF(MediCare_Data[[#This Row],[Patient_Age]]&lt;=18,"0-18",IF(MediCare_Data[[#This Row],[Patient_Age]]&lt;=35,"19-35",IF(MediCare_Data[[#This Row],[Patient_Age]]&lt;=60,"36-60","60+")))</f>
        <v>36-60</v>
      </c>
      <c r="G869" t="s">
        <v>17</v>
      </c>
      <c r="H869" t="s">
        <v>37</v>
      </c>
      <c r="I869" s="2">
        <v>59</v>
      </c>
      <c r="J869" s="11">
        <v>9735</v>
      </c>
      <c r="K869" s="3">
        <v>18.54241279</v>
      </c>
      <c r="L869" s="3">
        <f t="shared" si="13"/>
        <v>0.18542412790000001</v>
      </c>
      <c r="M869">
        <v>166</v>
      </c>
      <c r="N869" s="6">
        <f>MediCare_Data[[#This Row],[Average_Wait_Time (mins)]]/1440</f>
        <v>0.11527777777777778</v>
      </c>
      <c r="O869" s="2">
        <v>3</v>
      </c>
      <c r="P869" s="10">
        <v>25849</v>
      </c>
      <c r="Q869" s="17" t="str">
        <f>IF(AND(MediCare_Data[[#This Row],[Patient_Gender]]="Male", MediCare_Data[[#This Row],[Treatment_Type]]="Maternity"), "Gender-Treatment Mismatch", "Fine")</f>
        <v>Gender-Treatment Mismatch</v>
      </c>
      <c r="R869" s="10">
        <f>MediCare_Data[[#This Row],[Revenue_Generated]]-MediCare_Data[[#This Row],[Average_Treatment_Cost]]</f>
        <v>16114</v>
      </c>
      <c r="S869" s="3">
        <f>(MediCare_Data[[#This Row],[Profit]]/MediCare_Data[[#This Row],[Revenue_Generated]])</f>
        <v>0.62338968625478741</v>
      </c>
    </row>
    <row r="870" spans="1:19" x14ac:dyDescent="0.25">
      <c r="A870" t="s">
        <v>917</v>
      </c>
      <c r="B870" t="s">
        <v>39</v>
      </c>
      <c r="C870" t="s">
        <v>31</v>
      </c>
      <c r="D870" t="s">
        <v>32</v>
      </c>
      <c r="E870">
        <v>79</v>
      </c>
      <c r="F870" t="str">
        <f>IF(MediCare_Data[[#This Row],[Patient_Age]]&lt;=18,"0-18",IF(MediCare_Data[[#This Row],[Patient_Age]]&lt;=35,"19-35",IF(MediCare_Data[[#This Row],[Patient_Age]]&lt;=60,"36-60","60+")))</f>
        <v>60+</v>
      </c>
      <c r="G870" t="s">
        <v>22</v>
      </c>
      <c r="H870" t="s">
        <v>37</v>
      </c>
      <c r="I870" s="2">
        <v>66</v>
      </c>
      <c r="J870" s="11">
        <v>781</v>
      </c>
      <c r="K870" s="3">
        <v>17.115584989999999</v>
      </c>
      <c r="L870" s="3">
        <f t="shared" si="13"/>
        <v>0.17115584989999999</v>
      </c>
      <c r="M870">
        <v>142</v>
      </c>
      <c r="N870" s="6">
        <f>MediCare_Data[[#This Row],[Average_Wait_Time (mins)]]/1440</f>
        <v>9.8611111111111108E-2</v>
      </c>
      <c r="O870" s="2">
        <v>1</v>
      </c>
      <c r="P870" s="10">
        <v>19690</v>
      </c>
      <c r="Q870" s="17" t="str">
        <f>IF(AND(MediCare_Data[[#This Row],[Patient_Gender]]="Male", MediCare_Data[[#This Row],[Treatment_Type]]="Maternity"), "Gender-Treatment Mismatch", "Fine")</f>
        <v>Fine</v>
      </c>
      <c r="R870" s="10">
        <f>MediCare_Data[[#This Row],[Revenue_Generated]]-MediCare_Data[[#This Row],[Average_Treatment_Cost]]</f>
        <v>18909</v>
      </c>
      <c r="S870" s="3">
        <f>(MediCare_Data[[#This Row],[Profit]]/MediCare_Data[[#This Row],[Revenue_Generated]])</f>
        <v>0.96033519553072622</v>
      </c>
    </row>
    <row r="871" spans="1:19" x14ac:dyDescent="0.25">
      <c r="A871" t="s">
        <v>918</v>
      </c>
      <c r="B871" t="s">
        <v>61</v>
      </c>
      <c r="C871" t="s">
        <v>46</v>
      </c>
      <c r="D871" t="s">
        <v>16</v>
      </c>
      <c r="E871">
        <v>21</v>
      </c>
      <c r="F871" t="str">
        <f>IF(MediCare_Data[[#This Row],[Patient_Age]]&lt;=18,"0-18",IF(MediCare_Data[[#This Row],[Patient_Age]]&lt;=35,"19-35",IF(MediCare_Data[[#This Row],[Patient_Age]]&lt;=60,"36-60","60+")))</f>
        <v>19-35</v>
      </c>
      <c r="G871" t="s">
        <v>43</v>
      </c>
      <c r="H871" t="s">
        <v>47</v>
      </c>
      <c r="I871" s="2">
        <v>69</v>
      </c>
      <c r="J871" s="11">
        <v>6762</v>
      </c>
      <c r="K871" s="3">
        <v>12.29187456</v>
      </c>
      <c r="L871" s="3">
        <f t="shared" si="13"/>
        <v>0.1229187456</v>
      </c>
      <c r="M871">
        <v>101</v>
      </c>
      <c r="N871" s="6">
        <f>MediCare_Data[[#This Row],[Average_Wait_Time (mins)]]/1440</f>
        <v>7.013888888888889E-2</v>
      </c>
      <c r="O871" s="2">
        <v>3</v>
      </c>
      <c r="P871" s="10">
        <v>49849</v>
      </c>
      <c r="Q871" s="17" t="str">
        <f>IF(AND(MediCare_Data[[#This Row],[Patient_Gender]]="Male", MediCare_Data[[#This Row],[Treatment_Type]]="Maternity"), "Gender-Treatment Mismatch", "Fine")</f>
        <v>Fine</v>
      </c>
      <c r="R871" s="10">
        <f>MediCare_Data[[#This Row],[Revenue_Generated]]-MediCare_Data[[#This Row],[Average_Treatment_Cost]]</f>
        <v>43087</v>
      </c>
      <c r="S871" s="3">
        <f>(MediCare_Data[[#This Row],[Profit]]/MediCare_Data[[#This Row],[Revenue_Generated]])</f>
        <v>0.86435033802082284</v>
      </c>
    </row>
    <row r="872" spans="1:19" x14ac:dyDescent="0.25">
      <c r="A872" t="s">
        <v>919</v>
      </c>
      <c r="B872" t="s">
        <v>39</v>
      </c>
      <c r="C872" t="s">
        <v>31</v>
      </c>
      <c r="D872" t="s">
        <v>21</v>
      </c>
      <c r="E872">
        <v>54</v>
      </c>
      <c r="F872" t="str">
        <f>IF(MediCare_Data[[#This Row],[Patient_Age]]&lt;=18,"0-18",IF(MediCare_Data[[#This Row],[Patient_Age]]&lt;=35,"19-35",IF(MediCare_Data[[#This Row],[Patient_Age]]&lt;=60,"36-60","60+")))</f>
        <v>36-60</v>
      </c>
      <c r="G872" t="s">
        <v>43</v>
      </c>
      <c r="H872" t="s">
        <v>18</v>
      </c>
      <c r="I872" s="2">
        <v>73</v>
      </c>
      <c r="J872" s="11">
        <v>1558</v>
      </c>
      <c r="K872" s="3">
        <v>9.3578510850000001</v>
      </c>
      <c r="L872" s="3">
        <f t="shared" si="13"/>
        <v>9.3578510850000005E-2</v>
      </c>
      <c r="M872">
        <v>30</v>
      </c>
      <c r="N872" s="6">
        <f>MediCare_Data[[#This Row],[Average_Wait_Time (mins)]]/1440</f>
        <v>2.0833333333333332E-2</v>
      </c>
      <c r="O872" s="2">
        <v>4</v>
      </c>
      <c r="P872" s="10">
        <v>27347</v>
      </c>
      <c r="Q872" s="17" t="str">
        <f>IF(AND(MediCare_Data[[#This Row],[Patient_Gender]]="Male", MediCare_Data[[#This Row],[Treatment_Type]]="Maternity"), "Gender-Treatment Mismatch", "Fine")</f>
        <v>Fine</v>
      </c>
      <c r="R872" s="10">
        <f>MediCare_Data[[#This Row],[Revenue_Generated]]-MediCare_Data[[#This Row],[Average_Treatment_Cost]]</f>
        <v>25789</v>
      </c>
      <c r="S872" s="3">
        <f>(MediCare_Data[[#This Row],[Profit]]/MediCare_Data[[#This Row],[Revenue_Generated]])</f>
        <v>0.94302848575712139</v>
      </c>
    </row>
    <row r="873" spans="1:19" x14ac:dyDescent="0.25">
      <c r="A873" t="s">
        <v>920</v>
      </c>
      <c r="B873" t="s">
        <v>61</v>
      </c>
      <c r="C873" t="s">
        <v>46</v>
      </c>
      <c r="D873" t="s">
        <v>32</v>
      </c>
      <c r="E873">
        <v>18</v>
      </c>
      <c r="F873" t="str">
        <f>IF(MediCare_Data[[#This Row],[Patient_Age]]&lt;=18,"0-18",IF(MediCare_Data[[#This Row],[Patient_Age]]&lt;=35,"19-35",IF(MediCare_Data[[#This Row],[Patient_Age]]&lt;=60,"36-60","60+")))</f>
        <v>0-18</v>
      </c>
      <c r="G873" t="s">
        <v>22</v>
      </c>
      <c r="H873" t="s">
        <v>47</v>
      </c>
      <c r="I873" s="2">
        <v>54</v>
      </c>
      <c r="J873" s="11">
        <v>4793</v>
      </c>
      <c r="K873" s="3">
        <v>24.76071932</v>
      </c>
      <c r="L873" s="3">
        <f t="shared" si="13"/>
        <v>0.24760719319999999</v>
      </c>
      <c r="M873">
        <v>118</v>
      </c>
      <c r="N873" s="6">
        <f>MediCare_Data[[#This Row],[Average_Wait_Time (mins)]]/1440</f>
        <v>8.1944444444444445E-2</v>
      </c>
      <c r="O873" s="2">
        <v>4</v>
      </c>
      <c r="P873" s="10">
        <v>34189</v>
      </c>
      <c r="Q873" s="17" t="str">
        <f>IF(AND(MediCare_Data[[#This Row],[Patient_Gender]]="Male", MediCare_Data[[#This Row],[Treatment_Type]]="Maternity"), "Gender-Treatment Mismatch", "Fine")</f>
        <v>Fine</v>
      </c>
      <c r="R873" s="10">
        <f>MediCare_Data[[#This Row],[Revenue_Generated]]-MediCare_Data[[#This Row],[Average_Treatment_Cost]]</f>
        <v>29396</v>
      </c>
      <c r="S873" s="3">
        <f>(MediCare_Data[[#This Row],[Profit]]/MediCare_Data[[#This Row],[Revenue_Generated]])</f>
        <v>0.85980871040393114</v>
      </c>
    </row>
    <row r="874" spans="1:19" x14ac:dyDescent="0.25">
      <c r="A874" t="s">
        <v>921</v>
      </c>
      <c r="B874" t="s">
        <v>61</v>
      </c>
      <c r="C874" t="s">
        <v>20</v>
      </c>
      <c r="D874" t="s">
        <v>16</v>
      </c>
      <c r="E874">
        <v>19</v>
      </c>
      <c r="F874" t="str">
        <f>IF(MediCare_Data[[#This Row],[Patient_Age]]&lt;=18,"0-18",IF(MediCare_Data[[#This Row],[Patient_Age]]&lt;=35,"19-35",IF(MediCare_Data[[#This Row],[Patient_Age]]&lt;=60,"36-60","60+")))</f>
        <v>19-35</v>
      </c>
      <c r="G874" t="s">
        <v>26</v>
      </c>
      <c r="H874" t="s">
        <v>51</v>
      </c>
      <c r="I874" s="2">
        <v>83</v>
      </c>
      <c r="J874" s="11">
        <v>5678</v>
      </c>
      <c r="K874" s="3">
        <v>14.08003242</v>
      </c>
      <c r="L874" s="3">
        <f t="shared" si="13"/>
        <v>0.14080032419999999</v>
      </c>
      <c r="M874">
        <v>56</v>
      </c>
      <c r="N874" s="6">
        <f>MediCare_Data[[#This Row],[Average_Wait_Time (mins)]]/1440</f>
        <v>3.888888888888889E-2</v>
      </c>
      <c r="O874" s="2">
        <v>2</v>
      </c>
      <c r="P874" s="10">
        <v>39308</v>
      </c>
      <c r="Q874" s="17" t="str">
        <f>IF(AND(MediCare_Data[[#This Row],[Patient_Gender]]="Male", MediCare_Data[[#This Row],[Treatment_Type]]="Maternity"), "Gender-Treatment Mismatch", "Fine")</f>
        <v>Fine</v>
      </c>
      <c r="R874" s="10">
        <f>MediCare_Data[[#This Row],[Revenue_Generated]]-MediCare_Data[[#This Row],[Average_Treatment_Cost]]</f>
        <v>33630</v>
      </c>
      <c r="S874" s="3">
        <f>(MediCare_Data[[#This Row],[Profit]]/MediCare_Data[[#This Row],[Revenue_Generated]])</f>
        <v>0.85555103286862721</v>
      </c>
    </row>
    <row r="875" spans="1:19" x14ac:dyDescent="0.25">
      <c r="A875" t="s">
        <v>922</v>
      </c>
      <c r="B875" t="s">
        <v>82</v>
      </c>
      <c r="C875" t="s">
        <v>20</v>
      </c>
      <c r="D875" t="s">
        <v>21</v>
      </c>
      <c r="E875">
        <v>68</v>
      </c>
      <c r="F875" t="str">
        <f>IF(MediCare_Data[[#This Row],[Patient_Age]]&lt;=18,"0-18",IF(MediCare_Data[[#This Row],[Patient_Age]]&lt;=35,"19-35",IF(MediCare_Data[[#This Row],[Patient_Age]]&lt;=60,"36-60","60+")))</f>
        <v>60+</v>
      </c>
      <c r="G875" t="s">
        <v>22</v>
      </c>
      <c r="H875" t="s">
        <v>23</v>
      </c>
      <c r="I875" s="2">
        <v>55</v>
      </c>
      <c r="J875" s="11">
        <v>7480</v>
      </c>
      <c r="K875" s="3">
        <v>18.76548472</v>
      </c>
      <c r="L875" s="3">
        <f t="shared" si="13"/>
        <v>0.1876548472</v>
      </c>
      <c r="M875">
        <v>93</v>
      </c>
      <c r="N875" s="6">
        <f>MediCare_Data[[#This Row],[Average_Wait_Time (mins)]]/1440</f>
        <v>6.458333333333334E-2</v>
      </c>
      <c r="O875" s="2">
        <v>2</v>
      </c>
      <c r="P875" s="10">
        <v>26785</v>
      </c>
      <c r="Q875" s="17" t="str">
        <f>IF(AND(MediCare_Data[[#This Row],[Patient_Gender]]="Male", MediCare_Data[[#This Row],[Treatment_Type]]="Maternity"), "Gender-Treatment Mismatch", "Fine")</f>
        <v>Fine</v>
      </c>
      <c r="R875" s="10">
        <f>MediCare_Data[[#This Row],[Revenue_Generated]]-MediCare_Data[[#This Row],[Average_Treatment_Cost]]</f>
        <v>19305</v>
      </c>
      <c r="S875" s="3">
        <f>(MediCare_Data[[#This Row],[Profit]]/MediCare_Data[[#This Row],[Revenue_Generated]])</f>
        <v>0.72073921971252564</v>
      </c>
    </row>
    <row r="876" spans="1:19" x14ac:dyDescent="0.25">
      <c r="A876" t="s">
        <v>923</v>
      </c>
      <c r="B876" t="s">
        <v>56</v>
      </c>
      <c r="C876" t="s">
        <v>36</v>
      </c>
      <c r="D876" t="s">
        <v>21</v>
      </c>
      <c r="E876">
        <v>16</v>
      </c>
      <c r="F876" t="str">
        <f>IF(MediCare_Data[[#This Row],[Patient_Age]]&lt;=18,"0-18",IF(MediCare_Data[[#This Row],[Patient_Age]]&lt;=35,"19-35",IF(MediCare_Data[[#This Row],[Patient_Age]]&lt;=60,"36-60","60+")))</f>
        <v>0-18</v>
      </c>
      <c r="G876" t="s">
        <v>22</v>
      </c>
      <c r="H876" t="s">
        <v>23</v>
      </c>
      <c r="I876" s="2">
        <v>51</v>
      </c>
      <c r="J876" s="11">
        <v>9700</v>
      </c>
      <c r="K876" s="3">
        <v>7.811059352</v>
      </c>
      <c r="L876" s="3">
        <f t="shared" si="13"/>
        <v>7.8110593519999993E-2</v>
      </c>
      <c r="M876">
        <v>92</v>
      </c>
      <c r="N876" s="6">
        <f>MediCare_Data[[#This Row],[Average_Wait_Time (mins)]]/1440</f>
        <v>6.3888888888888884E-2</v>
      </c>
      <c r="O876" s="2">
        <v>1</v>
      </c>
      <c r="P876" s="10">
        <v>33698</v>
      </c>
      <c r="Q876" s="17" t="str">
        <f>IF(AND(MediCare_Data[[#This Row],[Patient_Gender]]="Male", MediCare_Data[[#This Row],[Treatment_Type]]="Maternity"), "Gender-Treatment Mismatch", "Fine")</f>
        <v>Fine</v>
      </c>
      <c r="R876" s="10">
        <f>MediCare_Data[[#This Row],[Revenue_Generated]]-MediCare_Data[[#This Row],[Average_Treatment_Cost]]</f>
        <v>23998</v>
      </c>
      <c r="S876" s="3">
        <f>(MediCare_Data[[#This Row],[Profit]]/MediCare_Data[[#This Row],[Revenue_Generated]])</f>
        <v>0.71214908896670426</v>
      </c>
    </row>
    <row r="877" spans="1:19" x14ac:dyDescent="0.25">
      <c r="A877" t="s">
        <v>924</v>
      </c>
      <c r="B877" t="s">
        <v>74</v>
      </c>
      <c r="C877" t="s">
        <v>42</v>
      </c>
      <c r="D877" t="s">
        <v>32</v>
      </c>
      <c r="E877">
        <v>6</v>
      </c>
      <c r="F877" t="str">
        <f>IF(MediCare_Data[[#This Row],[Patient_Age]]&lt;=18,"0-18",IF(MediCare_Data[[#This Row],[Patient_Age]]&lt;=35,"19-35",IF(MediCare_Data[[#This Row],[Patient_Age]]&lt;=60,"36-60","60+")))</f>
        <v>0-18</v>
      </c>
      <c r="G877" t="s">
        <v>17</v>
      </c>
      <c r="H877" t="s">
        <v>47</v>
      </c>
      <c r="I877" s="2">
        <v>62</v>
      </c>
      <c r="J877" s="11">
        <v>1729</v>
      </c>
      <c r="K877" s="3">
        <v>14.71179399</v>
      </c>
      <c r="L877" s="3">
        <f t="shared" si="13"/>
        <v>0.14711793989999999</v>
      </c>
      <c r="M877">
        <v>44</v>
      </c>
      <c r="N877" s="6">
        <f>MediCare_Data[[#This Row],[Average_Wait_Time (mins)]]/1440</f>
        <v>3.0555555555555555E-2</v>
      </c>
      <c r="O877" s="2">
        <v>3</v>
      </c>
      <c r="P877" s="10">
        <v>16966</v>
      </c>
      <c r="Q877" s="17" t="str">
        <f>IF(AND(MediCare_Data[[#This Row],[Patient_Gender]]="Male", MediCare_Data[[#This Row],[Treatment_Type]]="Maternity"), "Gender-Treatment Mismatch", "Fine")</f>
        <v>Fine</v>
      </c>
      <c r="R877" s="10">
        <f>MediCare_Data[[#This Row],[Revenue_Generated]]-MediCare_Data[[#This Row],[Average_Treatment_Cost]]</f>
        <v>15237</v>
      </c>
      <c r="S877" s="3">
        <f>(MediCare_Data[[#This Row],[Profit]]/MediCare_Data[[#This Row],[Revenue_Generated]])</f>
        <v>0.89809029824354591</v>
      </c>
    </row>
    <row r="878" spans="1:19" x14ac:dyDescent="0.25">
      <c r="A878" t="s">
        <v>925</v>
      </c>
      <c r="B878" t="s">
        <v>14</v>
      </c>
      <c r="C878" t="s">
        <v>20</v>
      </c>
      <c r="D878" t="s">
        <v>21</v>
      </c>
      <c r="E878">
        <v>22</v>
      </c>
      <c r="F878" t="str">
        <f>IF(MediCare_Data[[#This Row],[Patient_Age]]&lt;=18,"0-18",IF(MediCare_Data[[#This Row],[Patient_Age]]&lt;=35,"19-35",IF(MediCare_Data[[#This Row],[Patient_Age]]&lt;=60,"36-60","60+")))</f>
        <v>19-35</v>
      </c>
      <c r="G878" t="s">
        <v>43</v>
      </c>
      <c r="H878" t="s">
        <v>18</v>
      </c>
      <c r="I878" s="2">
        <v>92</v>
      </c>
      <c r="J878" s="11">
        <v>9727</v>
      </c>
      <c r="K878" s="3">
        <v>5.5507343970000003</v>
      </c>
      <c r="L878" s="3">
        <f t="shared" si="13"/>
        <v>5.5507343970000005E-2</v>
      </c>
      <c r="M878">
        <v>78</v>
      </c>
      <c r="N878" s="6">
        <f>MediCare_Data[[#This Row],[Average_Wait_Time (mins)]]/1440</f>
        <v>5.4166666666666669E-2</v>
      </c>
      <c r="O878" s="2">
        <v>4</v>
      </c>
      <c r="P878" s="10">
        <v>32097</v>
      </c>
      <c r="Q878" s="17" t="str">
        <f>IF(AND(MediCare_Data[[#This Row],[Patient_Gender]]="Male", MediCare_Data[[#This Row],[Treatment_Type]]="Maternity"), "Gender-Treatment Mismatch", "Fine")</f>
        <v>Fine</v>
      </c>
      <c r="R878" s="10">
        <f>MediCare_Data[[#This Row],[Revenue_Generated]]-MediCare_Data[[#This Row],[Average_Treatment_Cost]]</f>
        <v>22370</v>
      </c>
      <c r="S878" s="3">
        <f>(MediCare_Data[[#This Row],[Profit]]/MediCare_Data[[#This Row],[Revenue_Generated]])</f>
        <v>0.69694987070442715</v>
      </c>
    </row>
    <row r="879" spans="1:19" x14ac:dyDescent="0.25">
      <c r="A879" t="s">
        <v>926</v>
      </c>
      <c r="B879" t="s">
        <v>39</v>
      </c>
      <c r="C879" t="s">
        <v>54</v>
      </c>
      <c r="D879" t="s">
        <v>16</v>
      </c>
      <c r="E879">
        <v>14</v>
      </c>
      <c r="F879" t="str">
        <f>IF(MediCare_Data[[#This Row],[Patient_Age]]&lt;=18,"0-18",IF(MediCare_Data[[#This Row],[Patient_Age]]&lt;=35,"19-35",IF(MediCare_Data[[#This Row],[Patient_Age]]&lt;=60,"36-60","60+")))</f>
        <v>0-18</v>
      </c>
      <c r="G879" t="s">
        <v>17</v>
      </c>
      <c r="H879" t="s">
        <v>18</v>
      </c>
      <c r="I879" s="2">
        <v>92</v>
      </c>
      <c r="J879" s="11">
        <v>5085</v>
      </c>
      <c r="K879" s="3">
        <v>15.10910236</v>
      </c>
      <c r="L879" s="3">
        <f t="shared" si="13"/>
        <v>0.15109102359999999</v>
      </c>
      <c r="M879">
        <v>138</v>
      </c>
      <c r="N879" s="6">
        <f>MediCare_Data[[#This Row],[Average_Wait_Time (mins)]]/1440</f>
        <v>9.583333333333334E-2</v>
      </c>
      <c r="O879" s="2">
        <v>2</v>
      </c>
      <c r="P879" s="10">
        <v>16882</v>
      </c>
      <c r="Q879" s="17" t="str">
        <f>IF(AND(MediCare_Data[[#This Row],[Patient_Gender]]="Male", MediCare_Data[[#This Row],[Treatment_Type]]="Maternity"), "Gender-Treatment Mismatch", "Fine")</f>
        <v>Fine</v>
      </c>
      <c r="R879" s="10">
        <f>MediCare_Data[[#This Row],[Revenue_Generated]]-MediCare_Data[[#This Row],[Average_Treatment_Cost]]</f>
        <v>11797</v>
      </c>
      <c r="S879" s="3">
        <f>(MediCare_Data[[#This Row],[Profit]]/MediCare_Data[[#This Row],[Revenue_Generated]])</f>
        <v>0.69879161236820286</v>
      </c>
    </row>
    <row r="880" spans="1:19" x14ac:dyDescent="0.25">
      <c r="A880" t="s">
        <v>927</v>
      </c>
      <c r="B880" t="s">
        <v>39</v>
      </c>
      <c r="C880" t="s">
        <v>36</v>
      </c>
      <c r="D880" t="s">
        <v>32</v>
      </c>
      <c r="E880">
        <v>64</v>
      </c>
      <c r="F880" t="str">
        <f>IF(MediCare_Data[[#This Row],[Patient_Age]]&lt;=18,"0-18",IF(MediCare_Data[[#This Row],[Patient_Age]]&lt;=35,"19-35",IF(MediCare_Data[[#This Row],[Patient_Age]]&lt;=60,"36-60","60+")))</f>
        <v>60+</v>
      </c>
      <c r="G880" t="s">
        <v>26</v>
      </c>
      <c r="H880" t="s">
        <v>23</v>
      </c>
      <c r="I880" s="2">
        <v>97</v>
      </c>
      <c r="J880" s="11">
        <v>8967</v>
      </c>
      <c r="K880" s="3">
        <v>24.280348140000001</v>
      </c>
      <c r="L880" s="3">
        <f t="shared" si="13"/>
        <v>0.24280348140000002</v>
      </c>
      <c r="M880">
        <v>149</v>
      </c>
      <c r="N880" s="6">
        <f>MediCare_Data[[#This Row],[Average_Wait_Time (mins)]]/1440</f>
        <v>0.10347222222222222</v>
      </c>
      <c r="O880" s="2">
        <v>1</v>
      </c>
      <c r="P880" s="10">
        <v>5675</v>
      </c>
      <c r="Q880" s="17" t="str">
        <f>IF(AND(MediCare_Data[[#This Row],[Patient_Gender]]="Male", MediCare_Data[[#This Row],[Treatment_Type]]="Maternity"), "Gender-Treatment Mismatch", "Fine")</f>
        <v>Fine</v>
      </c>
      <c r="R880" s="10">
        <f>MediCare_Data[[#This Row],[Revenue_Generated]]-MediCare_Data[[#This Row],[Average_Treatment_Cost]]</f>
        <v>-3292</v>
      </c>
      <c r="S880" s="3">
        <f>(MediCare_Data[[#This Row],[Profit]]/MediCare_Data[[#This Row],[Revenue_Generated]])</f>
        <v>-0.58008810572687219</v>
      </c>
    </row>
    <row r="881" spans="1:19" x14ac:dyDescent="0.25">
      <c r="A881" t="s">
        <v>928</v>
      </c>
      <c r="B881" t="s">
        <v>35</v>
      </c>
      <c r="C881" t="s">
        <v>54</v>
      </c>
      <c r="D881" t="s">
        <v>21</v>
      </c>
      <c r="E881">
        <v>36</v>
      </c>
      <c r="F881" t="str">
        <f>IF(MediCare_Data[[#This Row],[Patient_Age]]&lt;=18,"0-18",IF(MediCare_Data[[#This Row],[Patient_Age]]&lt;=35,"19-35",IF(MediCare_Data[[#This Row],[Patient_Age]]&lt;=60,"36-60","60+")))</f>
        <v>36-60</v>
      </c>
      <c r="G881" t="s">
        <v>43</v>
      </c>
      <c r="H881" t="s">
        <v>23</v>
      </c>
      <c r="I881" s="2">
        <v>60</v>
      </c>
      <c r="J881" s="11">
        <v>3240</v>
      </c>
      <c r="K881" s="3">
        <v>12.68413426</v>
      </c>
      <c r="L881" s="3">
        <f t="shared" si="13"/>
        <v>0.12684134260000002</v>
      </c>
      <c r="M881">
        <v>36</v>
      </c>
      <c r="N881" s="6">
        <f>MediCare_Data[[#This Row],[Average_Wait_Time (mins)]]/1440</f>
        <v>2.5000000000000001E-2</v>
      </c>
      <c r="O881" s="2">
        <v>4</v>
      </c>
      <c r="P881" s="10">
        <v>42850</v>
      </c>
      <c r="Q881" s="17" t="str">
        <f>IF(AND(MediCare_Data[[#This Row],[Patient_Gender]]="Male", MediCare_Data[[#This Row],[Treatment_Type]]="Maternity"), "Gender-Treatment Mismatch", "Fine")</f>
        <v>Fine</v>
      </c>
      <c r="R881" s="10">
        <f>MediCare_Data[[#This Row],[Revenue_Generated]]-MediCare_Data[[#This Row],[Average_Treatment_Cost]]</f>
        <v>39610</v>
      </c>
      <c r="S881" s="3">
        <f>(MediCare_Data[[#This Row],[Profit]]/MediCare_Data[[#This Row],[Revenue_Generated]])</f>
        <v>0.92438739789964997</v>
      </c>
    </row>
    <row r="882" spans="1:19" x14ac:dyDescent="0.25">
      <c r="A882" t="s">
        <v>929</v>
      </c>
      <c r="B882" t="s">
        <v>74</v>
      </c>
      <c r="C882" t="s">
        <v>31</v>
      </c>
      <c r="D882" t="s">
        <v>16</v>
      </c>
      <c r="E882">
        <v>11</v>
      </c>
      <c r="F882" t="str">
        <f>IF(MediCare_Data[[#This Row],[Patient_Age]]&lt;=18,"0-18",IF(MediCare_Data[[#This Row],[Patient_Age]]&lt;=35,"19-35",IF(MediCare_Data[[#This Row],[Patient_Age]]&lt;=60,"36-60","60+")))</f>
        <v>0-18</v>
      </c>
      <c r="G882" t="s">
        <v>26</v>
      </c>
      <c r="H882" t="s">
        <v>47</v>
      </c>
      <c r="I882" s="2">
        <v>96</v>
      </c>
      <c r="J882" s="11">
        <v>2789</v>
      </c>
      <c r="K882" s="3">
        <v>5.7799202510000001</v>
      </c>
      <c r="L882" s="3">
        <f t="shared" si="13"/>
        <v>5.7799202510000001E-2</v>
      </c>
      <c r="M882">
        <v>65</v>
      </c>
      <c r="N882" s="6">
        <f>MediCare_Data[[#This Row],[Average_Wait_Time (mins)]]/1440</f>
        <v>4.5138888888888888E-2</v>
      </c>
      <c r="O882" s="2">
        <v>2</v>
      </c>
      <c r="P882" s="10">
        <v>14009</v>
      </c>
      <c r="Q882" s="17" t="str">
        <f>IF(AND(MediCare_Data[[#This Row],[Patient_Gender]]="Male", MediCare_Data[[#This Row],[Treatment_Type]]="Maternity"), "Gender-Treatment Mismatch", "Fine")</f>
        <v>Fine</v>
      </c>
      <c r="R882" s="10">
        <f>MediCare_Data[[#This Row],[Revenue_Generated]]-MediCare_Data[[#This Row],[Average_Treatment_Cost]]</f>
        <v>11220</v>
      </c>
      <c r="S882" s="3">
        <f>(MediCare_Data[[#This Row],[Profit]]/MediCare_Data[[#This Row],[Revenue_Generated]])</f>
        <v>0.8009136983367835</v>
      </c>
    </row>
    <row r="883" spans="1:19" x14ac:dyDescent="0.25">
      <c r="A883" t="s">
        <v>930</v>
      </c>
      <c r="B883" t="s">
        <v>82</v>
      </c>
      <c r="C883" t="s">
        <v>46</v>
      </c>
      <c r="D883" t="s">
        <v>21</v>
      </c>
      <c r="E883">
        <v>29</v>
      </c>
      <c r="F883" t="str">
        <f>IF(MediCare_Data[[#This Row],[Patient_Age]]&lt;=18,"0-18",IF(MediCare_Data[[#This Row],[Patient_Age]]&lt;=35,"19-35",IF(MediCare_Data[[#This Row],[Patient_Age]]&lt;=60,"36-60","60+")))</f>
        <v>19-35</v>
      </c>
      <c r="G883" t="s">
        <v>26</v>
      </c>
      <c r="H883" t="s">
        <v>47</v>
      </c>
      <c r="I883" s="2">
        <v>72</v>
      </c>
      <c r="J883" s="11">
        <v>1739</v>
      </c>
      <c r="K883" s="3">
        <v>5.619115818</v>
      </c>
      <c r="L883" s="3">
        <f t="shared" si="13"/>
        <v>5.6191158179999999E-2</v>
      </c>
      <c r="M883">
        <v>32</v>
      </c>
      <c r="N883" s="6">
        <f>MediCare_Data[[#This Row],[Average_Wait_Time (mins)]]/1440</f>
        <v>2.2222222222222223E-2</v>
      </c>
      <c r="O883" s="2">
        <v>4</v>
      </c>
      <c r="P883" s="10">
        <v>28843</v>
      </c>
      <c r="Q883" s="17" t="str">
        <f>IF(AND(MediCare_Data[[#This Row],[Patient_Gender]]="Male", MediCare_Data[[#This Row],[Treatment_Type]]="Maternity"), "Gender-Treatment Mismatch", "Fine")</f>
        <v>Fine</v>
      </c>
      <c r="R883" s="10">
        <f>MediCare_Data[[#This Row],[Revenue_Generated]]-MediCare_Data[[#This Row],[Average_Treatment_Cost]]</f>
        <v>27104</v>
      </c>
      <c r="S883" s="3">
        <f>(MediCare_Data[[#This Row],[Profit]]/MediCare_Data[[#This Row],[Revenue_Generated]])</f>
        <v>0.93970807474950591</v>
      </c>
    </row>
    <row r="884" spans="1:19" x14ac:dyDescent="0.25">
      <c r="A884" t="s">
        <v>931</v>
      </c>
      <c r="B884" t="s">
        <v>49</v>
      </c>
      <c r="C884" t="s">
        <v>46</v>
      </c>
      <c r="D884" t="s">
        <v>21</v>
      </c>
      <c r="E884">
        <v>73</v>
      </c>
      <c r="F884" t="str">
        <f>IF(MediCare_Data[[#This Row],[Patient_Age]]&lt;=18,"0-18",IF(MediCare_Data[[#This Row],[Patient_Age]]&lt;=35,"19-35",IF(MediCare_Data[[#This Row],[Patient_Age]]&lt;=60,"36-60","60+")))</f>
        <v>60+</v>
      </c>
      <c r="G884" t="s">
        <v>43</v>
      </c>
      <c r="H884" t="s">
        <v>51</v>
      </c>
      <c r="I884" s="2">
        <v>65</v>
      </c>
      <c r="J884" s="11">
        <v>5870</v>
      </c>
      <c r="K884" s="3">
        <v>12.7597352</v>
      </c>
      <c r="L884" s="3">
        <f t="shared" si="13"/>
        <v>0.127597352</v>
      </c>
      <c r="M884">
        <v>162</v>
      </c>
      <c r="N884" s="6">
        <f>MediCare_Data[[#This Row],[Average_Wait_Time (mins)]]/1440</f>
        <v>0.1125</v>
      </c>
      <c r="O884" s="2">
        <v>1</v>
      </c>
      <c r="P884" s="10">
        <v>30793</v>
      </c>
      <c r="Q884" s="17" t="str">
        <f>IF(AND(MediCare_Data[[#This Row],[Patient_Gender]]="Male", MediCare_Data[[#This Row],[Treatment_Type]]="Maternity"), "Gender-Treatment Mismatch", "Fine")</f>
        <v>Fine</v>
      </c>
      <c r="R884" s="10">
        <f>MediCare_Data[[#This Row],[Revenue_Generated]]-MediCare_Data[[#This Row],[Average_Treatment_Cost]]</f>
        <v>24923</v>
      </c>
      <c r="S884" s="3">
        <f>(MediCare_Data[[#This Row],[Profit]]/MediCare_Data[[#This Row],[Revenue_Generated]])</f>
        <v>0.8093722599292047</v>
      </c>
    </row>
    <row r="885" spans="1:19" x14ac:dyDescent="0.25">
      <c r="A885" t="s">
        <v>932</v>
      </c>
      <c r="B885" t="s">
        <v>41</v>
      </c>
      <c r="C885" t="s">
        <v>29</v>
      </c>
      <c r="D885" t="s">
        <v>32</v>
      </c>
      <c r="E885">
        <v>76</v>
      </c>
      <c r="F885" t="str">
        <f>IF(MediCare_Data[[#This Row],[Patient_Age]]&lt;=18,"0-18",IF(MediCare_Data[[#This Row],[Patient_Age]]&lt;=35,"19-35",IF(MediCare_Data[[#This Row],[Patient_Age]]&lt;=60,"36-60","60+")))</f>
        <v>60+</v>
      </c>
      <c r="G885" t="s">
        <v>17</v>
      </c>
      <c r="H885" t="s">
        <v>33</v>
      </c>
      <c r="I885" s="2">
        <v>80</v>
      </c>
      <c r="J885" s="11">
        <v>625</v>
      </c>
      <c r="K885" s="3">
        <v>8.2004987289999995</v>
      </c>
      <c r="L885" s="3">
        <f t="shared" si="13"/>
        <v>8.2004987289999998E-2</v>
      </c>
      <c r="M885">
        <v>30</v>
      </c>
      <c r="N885" s="6">
        <f>MediCare_Data[[#This Row],[Average_Wait_Time (mins)]]/1440</f>
        <v>2.0833333333333332E-2</v>
      </c>
      <c r="O885" s="2">
        <v>1</v>
      </c>
      <c r="P885" s="10">
        <v>40516</v>
      </c>
      <c r="Q885" s="17" t="str">
        <f>IF(AND(MediCare_Data[[#This Row],[Patient_Gender]]="Male", MediCare_Data[[#This Row],[Treatment_Type]]="Maternity"), "Gender-Treatment Mismatch", "Fine")</f>
        <v>Fine</v>
      </c>
      <c r="R885" s="10">
        <f>MediCare_Data[[#This Row],[Revenue_Generated]]-MediCare_Data[[#This Row],[Average_Treatment_Cost]]</f>
        <v>39891</v>
      </c>
      <c r="S885" s="3">
        <f>(MediCare_Data[[#This Row],[Profit]]/MediCare_Data[[#This Row],[Revenue_Generated]])</f>
        <v>0.98457399545858426</v>
      </c>
    </row>
    <row r="886" spans="1:19" x14ac:dyDescent="0.25">
      <c r="A886" t="s">
        <v>933</v>
      </c>
      <c r="B886" t="s">
        <v>28</v>
      </c>
      <c r="C886" t="s">
        <v>42</v>
      </c>
      <c r="D886" t="s">
        <v>21</v>
      </c>
      <c r="E886">
        <v>47</v>
      </c>
      <c r="F886" t="str">
        <f>IF(MediCare_Data[[#This Row],[Patient_Age]]&lt;=18,"0-18",IF(MediCare_Data[[#This Row],[Patient_Age]]&lt;=35,"19-35",IF(MediCare_Data[[#This Row],[Patient_Age]]&lt;=60,"36-60","60+")))</f>
        <v>36-60</v>
      </c>
      <c r="G886" t="s">
        <v>43</v>
      </c>
      <c r="H886" t="s">
        <v>33</v>
      </c>
      <c r="I886" s="2">
        <v>60</v>
      </c>
      <c r="J886" s="11">
        <v>7973</v>
      </c>
      <c r="K886" s="3">
        <v>5.4670419270000004</v>
      </c>
      <c r="L886" s="3">
        <f t="shared" si="13"/>
        <v>5.4670419270000006E-2</v>
      </c>
      <c r="M886">
        <v>70</v>
      </c>
      <c r="N886" s="6">
        <f>MediCare_Data[[#This Row],[Average_Wait_Time (mins)]]/1440</f>
        <v>4.8611111111111112E-2</v>
      </c>
      <c r="O886" s="2">
        <v>4</v>
      </c>
      <c r="P886" s="10">
        <v>39871</v>
      </c>
      <c r="Q886" s="17" t="str">
        <f>IF(AND(MediCare_Data[[#This Row],[Patient_Gender]]="Male", MediCare_Data[[#This Row],[Treatment_Type]]="Maternity"), "Gender-Treatment Mismatch", "Fine")</f>
        <v>Fine</v>
      </c>
      <c r="R886" s="10">
        <f>MediCare_Data[[#This Row],[Revenue_Generated]]-MediCare_Data[[#This Row],[Average_Treatment_Cost]]</f>
        <v>31898</v>
      </c>
      <c r="S886" s="3">
        <f>(MediCare_Data[[#This Row],[Profit]]/MediCare_Data[[#This Row],[Revenue_Generated]])</f>
        <v>0.8000300970630283</v>
      </c>
    </row>
    <row r="887" spans="1:19" x14ac:dyDescent="0.25">
      <c r="A887" t="s">
        <v>934</v>
      </c>
      <c r="B887" t="s">
        <v>14</v>
      </c>
      <c r="C887" t="s">
        <v>42</v>
      </c>
      <c r="D887" t="s">
        <v>21</v>
      </c>
      <c r="E887">
        <v>6</v>
      </c>
      <c r="F887" t="str">
        <f>IF(MediCare_Data[[#This Row],[Patient_Age]]&lt;=18,"0-18",IF(MediCare_Data[[#This Row],[Patient_Age]]&lt;=35,"19-35",IF(MediCare_Data[[#This Row],[Patient_Age]]&lt;=60,"36-60","60+")))</f>
        <v>0-18</v>
      </c>
      <c r="G887" t="s">
        <v>22</v>
      </c>
      <c r="H887" t="s">
        <v>23</v>
      </c>
      <c r="I887" s="2">
        <v>65</v>
      </c>
      <c r="J887" s="11">
        <v>9900</v>
      </c>
      <c r="K887" s="3">
        <v>20.12427228</v>
      </c>
      <c r="L887" s="3">
        <f t="shared" si="13"/>
        <v>0.2012427228</v>
      </c>
      <c r="M887">
        <v>72</v>
      </c>
      <c r="N887" s="6">
        <f>MediCare_Data[[#This Row],[Average_Wait_Time (mins)]]/1440</f>
        <v>0.05</v>
      </c>
      <c r="O887" s="2">
        <v>3</v>
      </c>
      <c r="P887" s="10">
        <v>18857</v>
      </c>
      <c r="Q887" s="17" t="str">
        <f>IF(AND(MediCare_Data[[#This Row],[Patient_Gender]]="Male", MediCare_Data[[#This Row],[Treatment_Type]]="Maternity"), "Gender-Treatment Mismatch", "Fine")</f>
        <v>Fine</v>
      </c>
      <c r="R887" s="10">
        <f>MediCare_Data[[#This Row],[Revenue_Generated]]-MediCare_Data[[#This Row],[Average_Treatment_Cost]]</f>
        <v>8957</v>
      </c>
      <c r="S887" s="3">
        <f>(MediCare_Data[[#This Row],[Profit]]/MediCare_Data[[#This Row],[Revenue_Generated]])</f>
        <v>0.47499602269714164</v>
      </c>
    </row>
    <row r="888" spans="1:19" x14ac:dyDescent="0.25">
      <c r="A888" t="s">
        <v>935</v>
      </c>
      <c r="B888" t="s">
        <v>14</v>
      </c>
      <c r="C888" t="s">
        <v>42</v>
      </c>
      <c r="D888" t="s">
        <v>16</v>
      </c>
      <c r="E888">
        <v>56</v>
      </c>
      <c r="F888" t="str">
        <f>IF(MediCare_Data[[#This Row],[Patient_Age]]&lt;=18,"0-18",IF(MediCare_Data[[#This Row],[Patient_Age]]&lt;=35,"19-35",IF(MediCare_Data[[#This Row],[Patient_Age]]&lt;=60,"36-60","60+")))</f>
        <v>36-60</v>
      </c>
      <c r="G888" t="s">
        <v>43</v>
      </c>
      <c r="H888" t="s">
        <v>18</v>
      </c>
      <c r="I888" s="2">
        <v>57</v>
      </c>
      <c r="J888" s="11">
        <v>5842</v>
      </c>
      <c r="K888" s="3">
        <v>14.170460179999999</v>
      </c>
      <c r="L888" s="3">
        <f t="shared" si="13"/>
        <v>0.1417046018</v>
      </c>
      <c r="M888">
        <v>131</v>
      </c>
      <c r="N888" s="6">
        <f>MediCare_Data[[#This Row],[Average_Wait_Time (mins)]]/1440</f>
        <v>9.0972222222222218E-2</v>
      </c>
      <c r="O888" s="2">
        <v>4</v>
      </c>
      <c r="P888" s="10">
        <v>20627</v>
      </c>
      <c r="Q888" s="17" t="str">
        <f>IF(AND(MediCare_Data[[#This Row],[Patient_Gender]]="Male", MediCare_Data[[#This Row],[Treatment_Type]]="Maternity"), "Gender-Treatment Mismatch", "Fine")</f>
        <v>Fine</v>
      </c>
      <c r="R888" s="10">
        <f>MediCare_Data[[#This Row],[Revenue_Generated]]-MediCare_Data[[#This Row],[Average_Treatment_Cost]]</f>
        <v>14785</v>
      </c>
      <c r="S888" s="3">
        <f>(MediCare_Data[[#This Row],[Profit]]/MediCare_Data[[#This Row],[Revenue_Generated]])</f>
        <v>0.71677897900809617</v>
      </c>
    </row>
    <row r="889" spans="1:19" x14ac:dyDescent="0.25">
      <c r="A889" t="s">
        <v>936</v>
      </c>
      <c r="B889" t="s">
        <v>53</v>
      </c>
      <c r="C889" t="s">
        <v>29</v>
      </c>
      <c r="D889" t="s">
        <v>21</v>
      </c>
      <c r="E889">
        <v>43</v>
      </c>
      <c r="F889" t="str">
        <f>IF(MediCare_Data[[#This Row],[Patient_Age]]&lt;=18,"0-18",IF(MediCare_Data[[#This Row],[Patient_Age]]&lt;=35,"19-35",IF(MediCare_Data[[#This Row],[Patient_Age]]&lt;=60,"36-60","60+")))</f>
        <v>36-60</v>
      </c>
      <c r="G889" t="s">
        <v>22</v>
      </c>
      <c r="H889" t="s">
        <v>51</v>
      </c>
      <c r="I889" s="2">
        <v>53</v>
      </c>
      <c r="J889" s="11">
        <v>7851</v>
      </c>
      <c r="K889" s="3">
        <v>10.78489544</v>
      </c>
      <c r="L889" s="3">
        <f t="shared" si="13"/>
        <v>0.1078489544</v>
      </c>
      <c r="M889">
        <v>61</v>
      </c>
      <c r="N889" s="6">
        <f>MediCare_Data[[#This Row],[Average_Wait_Time (mins)]]/1440</f>
        <v>4.2361111111111113E-2</v>
      </c>
      <c r="O889" s="2">
        <v>2</v>
      </c>
      <c r="P889" s="10">
        <v>19565</v>
      </c>
      <c r="Q889" s="17" t="str">
        <f>IF(AND(MediCare_Data[[#This Row],[Patient_Gender]]="Male", MediCare_Data[[#This Row],[Treatment_Type]]="Maternity"), "Gender-Treatment Mismatch", "Fine")</f>
        <v>Fine</v>
      </c>
      <c r="R889" s="10">
        <f>MediCare_Data[[#This Row],[Revenue_Generated]]-MediCare_Data[[#This Row],[Average_Treatment_Cost]]</f>
        <v>11714</v>
      </c>
      <c r="S889" s="3">
        <f>(MediCare_Data[[#This Row],[Profit]]/MediCare_Data[[#This Row],[Revenue_Generated]])</f>
        <v>0.59872220802453358</v>
      </c>
    </row>
    <row r="890" spans="1:19" x14ac:dyDescent="0.25">
      <c r="A890" t="s">
        <v>937</v>
      </c>
      <c r="B890" t="s">
        <v>74</v>
      </c>
      <c r="C890" t="s">
        <v>42</v>
      </c>
      <c r="D890" t="s">
        <v>21</v>
      </c>
      <c r="E890">
        <v>88</v>
      </c>
      <c r="F890" t="str">
        <f>IF(MediCare_Data[[#This Row],[Patient_Age]]&lt;=18,"0-18",IF(MediCare_Data[[#This Row],[Patient_Age]]&lt;=35,"19-35",IF(MediCare_Data[[#This Row],[Patient_Age]]&lt;=60,"36-60","60+")))</f>
        <v>60+</v>
      </c>
      <c r="G890" t="s">
        <v>22</v>
      </c>
      <c r="H890" t="s">
        <v>47</v>
      </c>
      <c r="I890" s="2">
        <v>89</v>
      </c>
      <c r="J890" s="11">
        <v>7138</v>
      </c>
      <c r="K890" s="3">
        <v>23.001663659999998</v>
      </c>
      <c r="L890" s="3">
        <f t="shared" si="13"/>
        <v>0.23001663659999999</v>
      </c>
      <c r="M890">
        <v>97</v>
      </c>
      <c r="N890" s="6">
        <f>MediCare_Data[[#This Row],[Average_Wait_Time (mins)]]/1440</f>
        <v>6.7361111111111108E-2</v>
      </c>
      <c r="O890" s="2">
        <v>3</v>
      </c>
      <c r="P890" s="10">
        <v>27025</v>
      </c>
      <c r="Q890" s="17" t="str">
        <f>IF(AND(MediCare_Data[[#This Row],[Patient_Gender]]="Male", MediCare_Data[[#This Row],[Treatment_Type]]="Maternity"), "Gender-Treatment Mismatch", "Fine")</f>
        <v>Fine</v>
      </c>
      <c r="R890" s="10">
        <f>MediCare_Data[[#This Row],[Revenue_Generated]]-MediCare_Data[[#This Row],[Average_Treatment_Cost]]</f>
        <v>19887</v>
      </c>
      <c r="S890" s="3">
        <f>(MediCare_Data[[#This Row],[Profit]]/MediCare_Data[[#This Row],[Revenue_Generated]])</f>
        <v>0.73587419056429237</v>
      </c>
    </row>
    <row r="891" spans="1:19" x14ac:dyDescent="0.25">
      <c r="A891" t="s">
        <v>938</v>
      </c>
      <c r="B891" t="s">
        <v>58</v>
      </c>
      <c r="C891" t="s">
        <v>20</v>
      </c>
      <c r="D891" t="s">
        <v>16</v>
      </c>
      <c r="E891">
        <v>42</v>
      </c>
      <c r="F891" t="str">
        <f>IF(MediCare_Data[[#This Row],[Patient_Age]]&lt;=18,"0-18",IF(MediCare_Data[[#This Row],[Patient_Age]]&lt;=35,"19-35",IF(MediCare_Data[[#This Row],[Patient_Age]]&lt;=60,"36-60","60+")))</f>
        <v>36-60</v>
      </c>
      <c r="G891" t="s">
        <v>22</v>
      </c>
      <c r="H891" t="s">
        <v>47</v>
      </c>
      <c r="I891" s="2">
        <v>53</v>
      </c>
      <c r="J891" s="11">
        <v>7070</v>
      </c>
      <c r="K891" s="3">
        <v>7.3227792039999997</v>
      </c>
      <c r="L891" s="3">
        <f t="shared" si="13"/>
        <v>7.3227792040000003E-2</v>
      </c>
      <c r="M891">
        <v>162</v>
      </c>
      <c r="N891" s="6">
        <f>MediCare_Data[[#This Row],[Average_Wait_Time (mins)]]/1440</f>
        <v>0.1125</v>
      </c>
      <c r="O891" s="2">
        <v>2</v>
      </c>
      <c r="P891" s="10">
        <v>28832</v>
      </c>
      <c r="Q891" s="17" t="str">
        <f>IF(AND(MediCare_Data[[#This Row],[Patient_Gender]]="Male", MediCare_Data[[#This Row],[Treatment_Type]]="Maternity"), "Gender-Treatment Mismatch", "Fine")</f>
        <v>Fine</v>
      </c>
      <c r="R891" s="10">
        <f>MediCare_Data[[#This Row],[Revenue_Generated]]-MediCare_Data[[#This Row],[Average_Treatment_Cost]]</f>
        <v>21762</v>
      </c>
      <c r="S891" s="3">
        <f>(MediCare_Data[[#This Row],[Profit]]/MediCare_Data[[#This Row],[Revenue_Generated]])</f>
        <v>0.75478634850166482</v>
      </c>
    </row>
    <row r="892" spans="1:19" x14ac:dyDescent="0.25">
      <c r="A892" t="s">
        <v>939</v>
      </c>
      <c r="B892" t="s">
        <v>39</v>
      </c>
      <c r="C892" t="s">
        <v>36</v>
      </c>
      <c r="D892" t="s">
        <v>21</v>
      </c>
      <c r="E892">
        <v>71</v>
      </c>
      <c r="F892" t="str">
        <f>IF(MediCare_Data[[#This Row],[Patient_Age]]&lt;=18,"0-18",IF(MediCare_Data[[#This Row],[Patient_Age]]&lt;=35,"19-35",IF(MediCare_Data[[#This Row],[Patient_Age]]&lt;=60,"36-60","60+")))</f>
        <v>60+</v>
      </c>
      <c r="G892" t="s">
        <v>43</v>
      </c>
      <c r="H892" t="s">
        <v>33</v>
      </c>
      <c r="I892" s="2">
        <v>74</v>
      </c>
      <c r="J892" s="11">
        <v>3749</v>
      </c>
      <c r="K892" s="3">
        <v>24.11837658</v>
      </c>
      <c r="L892" s="3">
        <f t="shared" si="13"/>
        <v>0.24118376580000001</v>
      </c>
      <c r="M892">
        <v>64</v>
      </c>
      <c r="N892" s="6">
        <f>MediCare_Data[[#This Row],[Average_Wait_Time (mins)]]/1440</f>
        <v>4.4444444444444446E-2</v>
      </c>
      <c r="O892" s="2">
        <v>4</v>
      </c>
      <c r="P892" s="10">
        <v>45116</v>
      </c>
      <c r="Q892" s="17" t="str">
        <f>IF(AND(MediCare_Data[[#This Row],[Patient_Gender]]="Male", MediCare_Data[[#This Row],[Treatment_Type]]="Maternity"), "Gender-Treatment Mismatch", "Fine")</f>
        <v>Fine</v>
      </c>
      <c r="R892" s="10">
        <f>MediCare_Data[[#This Row],[Revenue_Generated]]-MediCare_Data[[#This Row],[Average_Treatment_Cost]]</f>
        <v>41367</v>
      </c>
      <c r="S892" s="3">
        <f>(MediCare_Data[[#This Row],[Profit]]/MediCare_Data[[#This Row],[Revenue_Generated]])</f>
        <v>0.91690309424594374</v>
      </c>
    </row>
    <row r="893" spans="1:19" x14ac:dyDescent="0.25">
      <c r="A893" t="s">
        <v>940</v>
      </c>
      <c r="B893" t="s">
        <v>58</v>
      </c>
      <c r="C893" t="s">
        <v>15</v>
      </c>
      <c r="D893" t="s">
        <v>32</v>
      </c>
      <c r="E893">
        <v>43</v>
      </c>
      <c r="F893" t="str">
        <f>IF(MediCare_Data[[#This Row],[Patient_Age]]&lt;=18,"0-18",IF(MediCare_Data[[#This Row],[Patient_Age]]&lt;=35,"19-35",IF(MediCare_Data[[#This Row],[Patient_Age]]&lt;=60,"36-60","60+")))</f>
        <v>36-60</v>
      </c>
      <c r="G893" t="s">
        <v>17</v>
      </c>
      <c r="H893" t="s">
        <v>51</v>
      </c>
      <c r="I893" s="2">
        <v>52</v>
      </c>
      <c r="J893" s="11">
        <v>9610</v>
      </c>
      <c r="K893" s="3">
        <v>11.279334349999999</v>
      </c>
      <c r="L893" s="3">
        <f t="shared" si="13"/>
        <v>0.11279334349999999</v>
      </c>
      <c r="M893">
        <v>55</v>
      </c>
      <c r="N893" s="6">
        <f>MediCare_Data[[#This Row],[Average_Wait_Time (mins)]]/1440</f>
        <v>3.8194444444444448E-2</v>
      </c>
      <c r="O893" s="2">
        <v>3</v>
      </c>
      <c r="P893" s="10">
        <v>10782</v>
      </c>
      <c r="Q893" s="17" t="str">
        <f>IF(AND(MediCare_Data[[#This Row],[Patient_Gender]]="Male", MediCare_Data[[#This Row],[Treatment_Type]]="Maternity"), "Gender-Treatment Mismatch", "Fine")</f>
        <v>Fine</v>
      </c>
      <c r="R893" s="10">
        <f>MediCare_Data[[#This Row],[Revenue_Generated]]-MediCare_Data[[#This Row],[Average_Treatment_Cost]]</f>
        <v>1172</v>
      </c>
      <c r="S893" s="3">
        <f>(MediCare_Data[[#This Row],[Profit]]/MediCare_Data[[#This Row],[Revenue_Generated]])</f>
        <v>0.10869968465961788</v>
      </c>
    </row>
    <row r="894" spans="1:19" x14ac:dyDescent="0.25">
      <c r="A894" t="s">
        <v>941</v>
      </c>
      <c r="B894" t="s">
        <v>45</v>
      </c>
      <c r="C894" t="s">
        <v>54</v>
      </c>
      <c r="D894" t="s">
        <v>21</v>
      </c>
      <c r="E894">
        <v>12</v>
      </c>
      <c r="F894" t="str">
        <f>IF(MediCare_Data[[#This Row],[Patient_Age]]&lt;=18,"0-18",IF(MediCare_Data[[#This Row],[Patient_Age]]&lt;=35,"19-35",IF(MediCare_Data[[#This Row],[Patient_Age]]&lt;=60,"36-60","60+")))</f>
        <v>0-18</v>
      </c>
      <c r="G894" t="s">
        <v>43</v>
      </c>
      <c r="H894" t="s">
        <v>33</v>
      </c>
      <c r="I894" s="2">
        <v>81</v>
      </c>
      <c r="J894" s="11">
        <v>8095</v>
      </c>
      <c r="K894" s="3">
        <v>22.768073449999999</v>
      </c>
      <c r="L894" s="3">
        <f t="shared" si="13"/>
        <v>0.22768073449999998</v>
      </c>
      <c r="M894">
        <v>41</v>
      </c>
      <c r="N894" s="6">
        <f>MediCare_Data[[#This Row],[Average_Wait_Time (mins)]]/1440</f>
        <v>2.8472222222222222E-2</v>
      </c>
      <c r="O894" s="2">
        <v>2</v>
      </c>
      <c r="P894" s="10">
        <v>39650</v>
      </c>
      <c r="Q894" s="17" t="str">
        <f>IF(AND(MediCare_Data[[#This Row],[Patient_Gender]]="Male", MediCare_Data[[#This Row],[Treatment_Type]]="Maternity"), "Gender-Treatment Mismatch", "Fine")</f>
        <v>Fine</v>
      </c>
      <c r="R894" s="10">
        <f>MediCare_Data[[#This Row],[Revenue_Generated]]-MediCare_Data[[#This Row],[Average_Treatment_Cost]]</f>
        <v>31555</v>
      </c>
      <c r="S894" s="3">
        <f>(MediCare_Data[[#This Row],[Profit]]/MediCare_Data[[#This Row],[Revenue_Generated]])</f>
        <v>0.79583858764186632</v>
      </c>
    </row>
    <row r="895" spans="1:19" x14ac:dyDescent="0.25">
      <c r="A895" t="s">
        <v>942</v>
      </c>
      <c r="B895" t="s">
        <v>58</v>
      </c>
      <c r="C895" t="s">
        <v>54</v>
      </c>
      <c r="D895" t="s">
        <v>21</v>
      </c>
      <c r="E895">
        <v>34</v>
      </c>
      <c r="F895" t="str">
        <f>IF(MediCare_Data[[#This Row],[Patient_Age]]&lt;=18,"0-18",IF(MediCare_Data[[#This Row],[Patient_Age]]&lt;=35,"19-35",IF(MediCare_Data[[#This Row],[Patient_Age]]&lt;=60,"36-60","60+")))</f>
        <v>19-35</v>
      </c>
      <c r="G895" t="s">
        <v>26</v>
      </c>
      <c r="H895" t="s">
        <v>37</v>
      </c>
      <c r="I895" s="2">
        <v>52</v>
      </c>
      <c r="J895" s="11">
        <v>6794</v>
      </c>
      <c r="K895" s="3">
        <v>17.058857530000001</v>
      </c>
      <c r="L895" s="3">
        <f t="shared" si="13"/>
        <v>0.17058857530000002</v>
      </c>
      <c r="M895">
        <v>64</v>
      </c>
      <c r="N895" s="6">
        <f>MediCare_Data[[#This Row],[Average_Wait_Time (mins)]]/1440</f>
        <v>4.4444444444444446E-2</v>
      </c>
      <c r="O895" s="2">
        <v>4</v>
      </c>
      <c r="P895" s="10">
        <v>23366</v>
      </c>
      <c r="Q895" s="17" t="str">
        <f>IF(AND(MediCare_Data[[#This Row],[Patient_Gender]]="Male", MediCare_Data[[#This Row],[Treatment_Type]]="Maternity"), "Gender-Treatment Mismatch", "Fine")</f>
        <v>Fine</v>
      </c>
      <c r="R895" s="10">
        <f>MediCare_Data[[#This Row],[Revenue_Generated]]-MediCare_Data[[#This Row],[Average_Treatment_Cost]]</f>
        <v>16572</v>
      </c>
      <c r="S895" s="3">
        <f>(MediCare_Data[[#This Row],[Profit]]/MediCare_Data[[#This Row],[Revenue_Generated]])</f>
        <v>0.70923564153042884</v>
      </c>
    </row>
    <row r="896" spans="1:19" x14ac:dyDescent="0.25">
      <c r="A896" t="s">
        <v>943</v>
      </c>
      <c r="B896" t="s">
        <v>45</v>
      </c>
      <c r="C896" t="s">
        <v>42</v>
      </c>
      <c r="D896" t="s">
        <v>21</v>
      </c>
      <c r="E896">
        <v>22</v>
      </c>
      <c r="F896" t="str">
        <f>IF(MediCare_Data[[#This Row],[Patient_Age]]&lt;=18,"0-18",IF(MediCare_Data[[#This Row],[Patient_Age]]&lt;=35,"19-35",IF(MediCare_Data[[#This Row],[Patient_Age]]&lt;=60,"36-60","60+")))</f>
        <v>19-35</v>
      </c>
      <c r="G896" t="s">
        <v>17</v>
      </c>
      <c r="H896" t="s">
        <v>23</v>
      </c>
      <c r="I896" s="2">
        <v>76</v>
      </c>
      <c r="J896" s="11">
        <v>7027</v>
      </c>
      <c r="K896" s="3">
        <v>21.534147189999999</v>
      </c>
      <c r="L896" s="3">
        <f t="shared" si="13"/>
        <v>0.2153414719</v>
      </c>
      <c r="M896">
        <v>105</v>
      </c>
      <c r="N896" s="6">
        <f>MediCare_Data[[#This Row],[Average_Wait_Time (mins)]]/1440</f>
        <v>7.2916666666666671E-2</v>
      </c>
      <c r="O896" s="2">
        <v>4</v>
      </c>
      <c r="P896" s="10">
        <v>29557</v>
      </c>
      <c r="Q896" s="17" t="str">
        <f>IF(AND(MediCare_Data[[#This Row],[Patient_Gender]]="Male", MediCare_Data[[#This Row],[Treatment_Type]]="Maternity"), "Gender-Treatment Mismatch", "Fine")</f>
        <v>Fine</v>
      </c>
      <c r="R896" s="10">
        <f>MediCare_Data[[#This Row],[Revenue_Generated]]-MediCare_Data[[#This Row],[Average_Treatment_Cost]]</f>
        <v>22530</v>
      </c>
      <c r="S896" s="3">
        <f>(MediCare_Data[[#This Row],[Profit]]/MediCare_Data[[#This Row],[Revenue_Generated]])</f>
        <v>0.76225597997090366</v>
      </c>
    </row>
    <row r="897" spans="1:19" x14ac:dyDescent="0.25">
      <c r="A897" t="s">
        <v>944</v>
      </c>
      <c r="B897" t="s">
        <v>49</v>
      </c>
      <c r="C897" t="s">
        <v>15</v>
      </c>
      <c r="D897" t="s">
        <v>21</v>
      </c>
      <c r="E897">
        <v>83</v>
      </c>
      <c r="F897" t="str">
        <f>IF(MediCare_Data[[#This Row],[Patient_Age]]&lt;=18,"0-18",IF(MediCare_Data[[#This Row],[Patient_Age]]&lt;=35,"19-35",IF(MediCare_Data[[#This Row],[Patient_Age]]&lt;=60,"36-60","60+")))</f>
        <v>60+</v>
      </c>
      <c r="G897" t="s">
        <v>17</v>
      </c>
      <c r="H897" t="s">
        <v>51</v>
      </c>
      <c r="I897" s="2">
        <v>78</v>
      </c>
      <c r="J897" s="11">
        <v>6257</v>
      </c>
      <c r="K897" s="3">
        <v>24.68026326</v>
      </c>
      <c r="L897" s="3">
        <f t="shared" si="13"/>
        <v>0.24680263260000002</v>
      </c>
      <c r="M897">
        <v>142</v>
      </c>
      <c r="N897" s="6">
        <f>MediCare_Data[[#This Row],[Average_Wait_Time (mins)]]/1440</f>
        <v>9.8611111111111108E-2</v>
      </c>
      <c r="O897" s="2">
        <v>3</v>
      </c>
      <c r="P897" s="10">
        <v>6798</v>
      </c>
      <c r="Q897" s="17" t="str">
        <f>IF(AND(MediCare_Data[[#This Row],[Patient_Gender]]="Male", MediCare_Data[[#This Row],[Treatment_Type]]="Maternity"), "Gender-Treatment Mismatch", "Fine")</f>
        <v>Fine</v>
      </c>
      <c r="R897" s="10">
        <f>MediCare_Data[[#This Row],[Revenue_Generated]]-MediCare_Data[[#This Row],[Average_Treatment_Cost]]</f>
        <v>541</v>
      </c>
      <c r="S897" s="3">
        <f>(MediCare_Data[[#This Row],[Profit]]/MediCare_Data[[#This Row],[Revenue_Generated]])</f>
        <v>7.9582230067666959E-2</v>
      </c>
    </row>
    <row r="898" spans="1:19" x14ac:dyDescent="0.25">
      <c r="A898" t="s">
        <v>945</v>
      </c>
      <c r="B898" t="s">
        <v>14</v>
      </c>
      <c r="C898" t="s">
        <v>29</v>
      </c>
      <c r="D898" t="s">
        <v>21</v>
      </c>
      <c r="E898">
        <v>90</v>
      </c>
      <c r="F898" t="str">
        <f>IF(MediCare_Data[[#This Row],[Patient_Age]]&lt;=18,"0-18",IF(MediCare_Data[[#This Row],[Patient_Age]]&lt;=35,"19-35",IF(MediCare_Data[[#This Row],[Patient_Age]]&lt;=60,"36-60","60+")))</f>
        <v>60+</v>
      </c>
      <c r="G898" t="s">
        <v>43</v>
      </c>
      <c r="H898" t="s">
        <v>33</v>
      </c>
      <c r="I898" s="2">
        <v>81</v>
      </c>
      <c r="J898" s="11">
        <v>2469</v>
      </c>
      <c r="K898" s="3">
        <v>10.768108760000001</v>
      </c>
      <c r="L898" s="3">
        <f t="shared" ref="L898:L961" si="14">K898/100</f>
        <v>0.1076810876</v>
      </c>
      <c r="M898">
        <v>45</v>
      </c>
      <c r="N898" s="6">
        <f>MediCare_Data[[#This Row],[Average_Wait_Time (mins)]]/1440</f>
        <v>3.125E-2</v>
      </c>
      <c r="O898" s="2">
        <v>4</v>
      </c>
      <c r="P898" s="10">
        <v>10627</v>
      </c>
      <c r="Q898" s="17" t="str">
        <f>IF(AND(MediCare_Data[[#This Row],[Patient_Gender]]="Male", MediCare_Data[[#This Row],[Treatment_Type]]="Maternity"), "Gender-Treatment Mismatch", "Fine")</f>
        <v>Fine</v>
      </c>
      <c r="R898" s="10">
        <f>MediCare_Data[[#This Row],[Revenue_Generated]]-MediCare_Data[[#This Row],[Average_Treatment_Cost]]</f>
        <v>8158</v>
      </c>
      <c r="S898" s="3">
        <f>(MediCare_Data[[#This Row],[Profit]]/MediCare_Data[[#This Row],[Revenue_Generated]])</f>
        <v>0.76766726263291618</v>
      </c>
    </row>
    <row r="899" spans="1:19" x14ac:dyDescent="0.25">
      <c r="A899" t="s">
        <v>946</v>
      </c>
      <c r="B899" t="s">
        <v>45</v>
      </c>
      <c r="C899" t="s">
        <v>36</v>
      </c>
      <c r="D899" t="s">
        <v>16</v>
      </c>
      <c r="E899">
        <v>44</v>
      </c>
      <c r="F899" t="str">
        <f>IF(MediCare_Data[[#This Row],[Patient_Age]]&lt;=18,"0-18",IF(MediCare_Data[[#This Row],[Patient_Age]]&lt;=35,"19-35",IF(MediCare_Data[[#This Row],[Patient_Age]]&lt;=60,"36-60","60+")))</f>
        <v>36-60</v>
      </c>
      <c r="G899" t="s">
        <v>43</v>
      </c>
      <c r="H899" t="s">
        <v>18</v>
      </c>
      <c r="I899" s="2">
        <v>99</v>
      </c>
      <c r="J899" s="11">
        <v>1391</v>
      </c>
      <c r="K899" s="3">
        <v>24.22270971</v>
      </c>
      <c r="L899" s="3">
        <f t="shared" si="14"/>
        <v>0.24222709710000001</v>
      </c>
      <c r="M899">
        <v>119</v>
      </c>
      <c r="N899" s="6">
        <f>MediCare_Data[[#This Row],[Average_Wait_Time (mins)]]/1440</f>
        <v>8.2638888888888887E-2</v>
      </c>
      <c r="O899" s="2">
        <v>1</v>
      </c>
      <c r="P899" s="10">
        <v>42183</v>
      </c>
      <c r="Q899" s="17" t="str">
        <f>IF(AND(MediCare_Data[[#This Row],[Patient_Gender]]="Male", MediCare_Data[[#This Row],[Treatment_Type]]="Maternity"), "Gender-Treatment Mismatch", "Fine")</f>
        <v>Fine</v>
      </c>
      <c r="R899" s="10">
        <f>MediCare_Data[[#This Row],[Revenue_Generated]]-MediCare_Data[[#This Row],[Average_Treatment_Cost]]</f>
        <v>40792</v>
      </c>
      <c r="S899" s="3">
        <f>(MediCare_Data[[#This Row],[Profit]]/MediCare_Data[[#This Row],[Revenue_Generated]])</f>
        <v>0.96702463077543088</v>
      </c>
    </row>
    <row r="900" spans="1:19" x14ac:dyDescent="0.25">
      <c r="A900" t="s">
        <v>947</v>
      </c>
      <c r="B900" t="s">
        <v>25</v>
      </c>
      <c r="C900" t="s">
        <v>29</v>
      </c>
      <c r="D900" t="s">
        <v>32</v>
      </c>
      <c r="E900">
        <v>73</v>
      </c>
      <c r="F900" t="str">
        <f>IF(MediCare_Data[[#This Row],[Patient_Age]]&lt;=18,"0-18",IF(MediCare_Data[[#This Row],[Patient_Age]]&lt;=35,"19-35",IF(MediCare_Data[[#This Row],[Patient_Age]]&lt;=60,"36-60","60+")))</f>
        <v>60+</v>
      </c>
      <c r="G900" t="s">
        <v>22</v>
      </c>
      <c r="H900" t="s">
        <v>51</v>
      </c>
      <c r="I900" s="2">
        <v>68</v>
      </c>
      <c r="J900" s="11">
        <v>4970</v>
      </c>
      <c r="K900" s="3">
        <v>12.789637900000001</v>
      </c>
      <c r="L900" s="3">
        <f t="shared" si="14"/>
        <v>0.127896379</v>
      </c>
      <c r="M900">
        <v>115</v>
      </c>
      <c r="N900" s="6">
        <f>MediCare_Data[[#This Row],[Average_Wait_Time (mins)]]/1440</f>
        <v>7.9861111111111105E-2</v>
      </c>
      <c r="O900" s="2">
        <v>2</v>
      </c>
      <c r="P900" s="10">
        <v>13466</v>
      </c>
      <c r="Q900" s="17" t="str">
        <f>IF(AND(MediCare_Data[[#This Row],[Patient_Gender]]="Male", MediCare_Data[[#This Row],[Treatment_Type]]="Maternity"), "Gender-Treatment Mismatch", "Fine")</f>
        <v>Fine</v>
      </c>
      <c r="R900" s="10">
        <f>MediCare_Data[[#This Row],[Revenue_Generated]]-MediCare_Data[[#This Row],[Average_Treatment_Cost]]</f>
        <v>8496</v>
      </c>
      <c r="S900" s="3">
        <f>(MediCare_Data[[#This Row],[Profit]]/MediCare_Data[[#This Row],[Revenue_Generated]])</f>
        <v>0.63092232288727168</v>
      </c>
    </row>
    <row r="901" spans="1:19" x14ac:dyDescent="0.25">
      <c r="A901" t="s">
        <v>948</v>
      </c>
      <c r="B901" t="s">
        <v>28</v>
      </c>
      <c r="C901" t="s">
        <v>15</v>
      </c>
      <c r="D901" t="s">
        <v>16</v>
      </c>
      <c r="E901">
        <v>71</v>
      </c>
      <c r="F901" t="str">
        <f>IF(MediCare_Data[[#This Row],[Patient_Age]]&lt;=18,"0-18",IF(MediCare_Data[[#This Row],[Patient_Age]]&lt;=35,"19-35",IF(MediCare_Data[[#This Row],[Patient_Age]]&lt;=60,"36-60","60+")))</f>
        <v>60+</v>
      </c>
      <c r="G901" t="s">
        <v>26</v>
      </c>
      <c r="H901" t="s">
        <v>37</v>
      </c>
      <c r="I901" s="2">
        <v>70</v>
      </c>
      <c r="J901" s="11">
        <v>7675</v>
      </c>
      <c r="K901" s="3">
        <v>12.710238090000001</v>
      </c>
      <c r="L901" s="3">
        <f t="shared" si="14"/>
        <v>0.12710238090000001</v>
      </c>
      <c r="M901">
        <v>67</v>
      </c>
      <c r="N901" s="6">
        <f>MediCare_Data[[#This Row],[Average_Wait_Time (mins)]]/1440</f>
        <v>4.6527777777777779E-2</v>
      </c>
      <c r="O901" s="2">
        <v>2</v>
      </c>
      <c r="P901" s="10">
        <v>43614</v>
      </c>
      <c r="Q901" s="17" t="str">
        <f>IF(AND(MediCare_Data[[#This Row],[Patient_Gender]]="Male", MediCare_Data[[#This Row],[Treatment_Type]]="Maternity"), "Gender-Treatment Mismatch", "Fine")</f>
        <v>Gender-Treatment Mismatch</v>
      </c>
      <c r="R901" s="10">
        <f>MediCare_Data[[#This Row],[Revenue_Generated]]-MediCare_Data[[#This Row],[Average_Treatment_Cost]]</f>
        <v>35939</v>
      </c>
      <c r="S901" s="3">
        <f>(MediCare_Data[[#This Row],[Profit]]/MediCare_Data[[#This Row],[Revenue_Generated]])</f>
        <v>0.82402439583619935</v>
      </c>
    </row>
    <row r="902" spans="1:19" x14ac:dyDescent="0.25">
      <c r="A902" t="s">
        <v>949</v>
      </c>
      <c r="B902" t="s">
        <v>39</v>
      </c>
      <c r="C902" t="s">
        <v>36</v>
      </c>
      <c r="D902" t="s">
        <v>32</v>
      </c>
      <c r="E902">
        <v>29</v>
      </c>
      <c r="F902" t="str">
        <f>IF(MediCare_Data[[#This Row],[Patient_Age]]&lt;=18,"0-18",IF(MediCare_Data[[#This Row],[Patient_Age]]&lt;=35,"19-35",IF(MediCare_Data[[#This Row],[Patient_Age]]&lt;=60,"36-60","60+")))</f>
        <v>19-35</v>
      </c>
      <c r="G902" t="s">
        <v>26</v>
      </c>
      <c r="H902" t="s">
        <v>23</v>
      </c>
      <c r="I902" s="2">
        <v>54</v>
      </c>
      <c r="J902" s="11">
        <v>8820</v>
      </c>
      <c r="K902" s="3">
        <v>11.80774209</v>
      </c>
      <c r="L902" s="3">
        <f t="shared" si="14"/>
        <v>0.11807742089999999</v>
      </c>
      <c r="M902">
        <v>48</v>
      </c>
      <c r="N902" s="6">
        <f>MediCare_Data[[#This Row],[Average_Wait_Time (mins)]]/1440</f>
        <v>3.3333333333333333E-2</v>
      </c>
      <c r="O902" s="2">
        <v>4</v>
      </c>
      <c r="P902" s="10">
        <v>13720</v>
      </c>
      <c r="Q902" s="17" t="str">
        <f>IF(AND(MediCare_Data[[#This Row],[Patient_Gender]]="Male", MediCare_Data[[#This Row],[Treatment_Type]]="Maternity"), "Gender-Treatment Mismatch", "Fine")</f>
        <v>Fine</v>
      </c>
      <c r="R902" s="10">
        <f>MediCare_Data[[#This Row],[Revenue_Generated]]-MediCare_Data[[#This Row],[Average_Treatment_Cost]]</f>
        <v>4900</v>
      </c>
      <c r="S902" s="3">
        <f>(MediCare_Data[[#This Row],[Profit]]/MediCare_Data[[#This Row],[Revenue_Generated]])</f>
        <v>0.35714285714285715</v>
      </c>
    </row>
    <row r="903" spans="1:19" x14ac:dyDescent="0.25">
      <c r="A903" t="s">
        <v>950</v>
      </c>
      <c r="B903" t="s">
        <v>35</v>
      </c>
      <c r="C903" t="s">
        <v>31</v>
      </c>
      <c r="D903" t="s">
        <v>32</v>
      </c>
      <c r="E903">
        <v>32</v>
      </c>
      <c r="F903" t="str">
        <f>IF(MediCare_Data[[#This Row],[Patient_Age]]&lt;=18,"0-18",IF(MediCare_Data[[#This Row],[Patient_Age]]&lt;=35,"19-35",IF(MediCare_Data[[#This Row],[Patient_Age]]&lt;=60,"36-60","60+")))</f>
        <v>19-35</v>
      </c>
      <c r="G903" t="s">
        <v>22</v>
      </c>
      <c r="H903" t="s">
        <v>47</v>
      </c>
      <c r="I903" s="2">
        <v>67</v>
      </c>
      <c r="J903" s="11">
        <v>9706</v>
      </c>
      <c r="K903" s="3">
        <v>15.828152149999999</v>
      </c>
      <c r="L903" s="3">
        <f t="shared" si="14"/>
        <v>0.15828152149999999</v>
      </c>
      <c r="M903">
        <v>89</v>
      </c>
      <c r="N903" s="6">
        <f>MediCare_Data[[#This Row],[Average_Wait_Time (mins)]]/1440</f>
        <v>6.1805555555555558E-2</v>
      </c>
      <c r="O903" s="2">
        <v>4</v>
      </c>
      <c r="P903" s="10">
        <v>42913</v>
      </c>
      <c r="Q903" s="17" t="str">
        <f>IF(AND(MediCare_Data[[#This Row],[Patient_Gender]]="Male", MediCare_Data[[#This Row],[Treatment_Type]]="Maternity"), "Gender-Treatment Mismatch", "Fine")</f>
        <v>Fine</v>
      </c>
      <c r="R903" s="10">
        <f>MediCare_Data[[#This Row],[Revenue_Generated]]-MediCare_Data[[#This Row],[Average_Treatment_Cost]]</f>
        <v>33207</v>
      </c>
      <c r="S903" s="3">
        <f>(MediCare_Data[[#This Row],[Profit]]/MediCare_Data[[#This Row],[Revenue_Generated]])</f>
        <v>0.77382145270663905</v>
      </c>
    </row>
    <row r="904" spans="1:19" x14ac:dyDescent="0.25">
      <c r="A904" t="s">
        <v>951</v>
      </c>
      <c r="B904" t="s">
        <v>14</v>
      </c>
      <c r="C904" t="s">
        <v>46</v>
      </c>
      <c r="D904" t="s">
        <v>16</v>
      </c>
      <c r="E904">
        <v>71</v>
      </c>
      <c r="F904" t="str">
        <f>IF(MediCare_Data[[#This Row],[Patient_Age]]&lt;=18,"0-18",IF(MediCare_Data[[#This Row],[Patient_Age]]&lt;=35,"19-35",IF(MediCare_Data[[#This Row],[Patient_Age]]&lt;=60,"36-60","60+")))</f>
        <v>60+</v>
      </c>
      <c r="G904" t="s">
        <v>17</v>
      </c>
      <c r="H904" t="s">
        <v>47</v>
      </c>
      <c r="I904" s="2">
        <v>77</v>
      </c>
      <c r="J904" s="11">
        <v>7312</v>
      </c>
      <c r="K904" s="3">
        <v>8.0829008640000009</v>
      </c>
      <c r="L904" s="3">
        <f t="shared" si="14"/>
        <v>8.0829008640000005E-2</v>
      </c>
      <c r="M904">
        <v>106</v>
      </c>
      <c r="N904" s="6">
        <f>MediCare_Data[[#This Row],[Average_Wait_Time (mins)]]/1440</f>
        <v>7.3611111111111113E-2</v>
      </c>
      <c r="O904" s="2">
        <v>1</v>
      </c>
      <c r="P904" s="10">
        <v>38292</v>
      </c>
      <c r="Q904" s="17" t="str">
        <f>IF(AND(MediCare_Data[[#This Row],[Patient_Gender]]="Male", MediCare_Data[[#This Row],[Treatment_Type]]="Maternity"), "Gender-Treatment Mismatch", "Fine")</f>
        <v>Fine</v>
      </c>
      <c r="R904" s="10">
        <f>MediCare_Data[[#This Row],[Revenue_Generated]]-MediCare_Data[[#This Row],[Average_Treatment_Cost]]</f>
        <v>30980</v>
      </c>
      <c r="S904" s="3">
        <f>(MediCare_Data[[#This Row],[Profit]]/MediCare_Data[[#This Row],[Revenue_Generated]])</f>
        <v>0.80904627598453982</v>
      </c>
    </row>
    <row r="905" spans="1:19" x14ac:dyDescent="0.25">
      <c r="A905" t="s">
        <v>952</v>
      </c>
      <c r="B905" t="s">
        <v>82</v>
      </c>
      <c r="C905" t="s">
        <v>36</v>
      </c>
      <c r="D905" t="s">
        <v>16</v>
      </c>
      <c r="E905">
        <v>34</v>
      </c>
      <c r="F905" t="str">
        <f>IF(MediCare_Data[[#This Row],[Patient_Age]]&lt;=18,"0-18",IF(MediCare_Data[[#This Row],[Patient_Age]]&lt;=35,"19-35",IF(MediCare_Data[[#This Row],[Patient_Age]]&lt;=60,"36-60","60+")))</f>
        <v>19-35</v>
      </c>
      <c r="G905" t="s">
        <v>17</v>
      </c>
      <c r="H905" t="s">
        <v>47</v>
      </c>
      <c r="I905" s="2">
        <v>91</v>
      </c>
      <c r="J905" s="11">
        <v>8019</v>
      </c>
      <c r="K905" s="3">
        <v>16.074229710000001</v>
      </c>
      <c r="L905" s="3">
        <f t="shared" si="14"/>
        <v>0.16074229710000001</v>
      </c>
      <c r="M905">
        <v>122</v>
      </c>
      <c r="N905" s="6">
        <f>MediCare_Data[[#This Row],[Average_Wait_Time (mins)]]/1440</f>
        <v>8.4722222222222227E-2</v>
      </c>
      <c r="O905" s="2">
        <v>3</v>
      </c>
      <c r="P905" s="10">
        <v>7559</v>
      </c>
      <c r="Q905" s="17" t="str">
        <f>IF(AND(MediCare_Data[[#This Row],[Patient_Gender]]="Male", MediCare_Data[[#This Row],[Treatment_Type]]="Maternity"), "Gender-Treatment Mismatch", "Fine")</f>
        <v>Fine</v>
      </c>
      <c r="R905" s="10">
        <f>MediCare_Data[[#This Row],[Revenue_Generated]]-MediCare_Data[[#This Row],[Average_Treatment_Cost]]</f>
        <v>-460</v>
      </c>
      <c r="S905" s="3">
        <f>(MediCare_Data[[#This Row],[Profit]]/MediCare_Data[[#This Row],[Revenue_Generated]])</f>
        <v>-6.0854610398200823E-2</v>
      </c>
    </row>
    <row r="906" spans="1:19" x14ac:dyDescent="0.25">
      <c r="A906" t="s">
        <v>953</v>
      </c>
      <c r="B906" t="s">
        <v>74</v>
      </c>
      <c r="C906" t="s">
        <v>46</v>
      </c>
      <c r="D906" t="s">
        <v>32</v>
      </c>
      <c r="E906">
        <v>31</v>
      </c>
      <c r="F906" t="str">
        <f>IF(MediCare_Data[[#This Row],[Patient_Age]]&lt;=18,"0-18",IF(MediCare_Data[[#This Row],[Patient_Age]]&lt;=35,"19-35",IF(MediCare_Data[[#This Row],[Patient_Age]]&lt;=60,"36-60","60+")))</f>
        <v>19-35</v>
      </c>
      <c r="G906" t="s">
        <v>43</v>
      </c>
      <c r="H906" t="s">
        <v>47</v>
      </c>
      <c r="I906" s="2">
        <v>71</v>
      </c>
      <c r="J906" s="11">
        <v>5112</v>
      </c>
      <c r="K906" s="3">
        <v>15.83409625</v>
      </c>
      <c r="L906" s="3">
        <f t="shared" si="14"/>
        <v>0.15834096249999999</v>
      </c>
      <c r="M906">
        <v>70</v>
      </c>
      <c r="N906" s="6">
        <f>MediCare_Data[[#This Row],[Average_Wait_Time (mins)]]/1440</f>
        <v>4.8611111111111112E-2</v>
      </c>
      <c r="O906" s="2">
        <v>4</v>
      </c>
      <c r="P906" s="10">
        <v>41388</v>
      </c>
      <c r="Q906" s="17" t="str">
        <f>IF(AND(MediCare_Data[[#This Row],[Patient_Gender]]="Male", MediCare_Data[[#This Row],[Treatment_Type]]="Maternity"), "Gender-Treatment Mismatch", "Fine")</f>
        <v>Fine</v>
      </c>
      <c r="R906" s="10">
        <f>MediCare_Data[[#This Row],[Revenue_Generated]]-MediCare_Data[[#This Row],[Average_Treatment_Cost]]</f>
        <v>36276</v>
      </c>
      <c r="S906" s="3">
        <f>(MediCare_Data[[#This Row],[Profit]]/MediCare_Data[[#This Row],[Revenue_Generated]])</f>
        <v>0.87648593795302987</v>
      </c>
    </row>
    <row r="907" spans="1:19" x14ac:dyDescent="0.25">
      <c r="A907" t="s">
        <v>954</v>
      </c>
      <c r="B907" t="s">
        <v>39</v>
      </c>
      <c r="C907" t="s">
        <v>42</v>
      </c>
      <c r="D907" t="s">
        <v>21</v>
      </c>
      <c r="E907">
        <v>75</v>
      </c>
      <c r="F907" t="str">
        <f>IF(MediCare_Data[[#This Row],[Patient_Age]]&lt;=18,"0-18",IF(MediCare_Data[[#This Row],[Patient_Age]]&lt;=35,"19-35",IF(MediCare_Data[[#This Row],[Patient_Age]]&lt;=60,"36-60","60+")))</f>
        <v>60+</v>
      </c>
      <c r="G907" t="s">
        <v>26</v>
      </c>
      <c r="H907" t="s">
        <v>51</v>
      </c>
      <c r="I907" s="2">
        <v>70</v>
      </c>
      <c r="J907" s="11">
        <v>1698</v>
      </c>
      <c r="K907" s="3">
        <v>20.23803625</v>
      </c>
      <c r="L907" s="3">
        <f t="shared" si="14"/>
        <v>0.20238036249999999</v>
      </c>
      <c r="M907">
        <v>146</v>
      </c>
      <c r="N907" s="6">
        <f>MediCare_Data[[#This Row],[Average_Wait_Time (mins)]]/1440</f>
        <v>0.10138888888888889</v>
      </c>
      <c r="O907" s="2">
        <v>4</v>
      </c>
      <c r="P907" s="10">
        <v>20158</v>
      </c>
      <c r="Q907" s="17" t="str">
        <f>IF(AND(MediCare_Data[[#This Row],[Patient_Gender]]="Male", MediCare_Data[[#This Row],[Treatment_Type]]="Maternity"), "Gender-Treatment Mismatch", "Fine")</f>
        <v>Fine</v>
      </c>
      <c r="R907" s="10">
        <f>MediCare_Data[[#This Row],[Revenue_Generated]]-MediCare_Data[[#This Row],[Average_Treatment_Cost]]</f>
        <v>18460</v>
      </c>
      <c r="S907" s="3">
        <f>(MediCare_Data[[#This Row],[Profit]]/MediCare_Data[[#This Row],[Revenue_Generated]])</f>
        <v>0.91576545292191691</v>
      </c>
    </row>
    <row r="908" spans="1:19" x14ac:dyDescent="0.25">
      <c r="A908" t="s">
        <v>955</v>
      </c>
      <c r="B908" t="s">
        <v>82</v>
      </c>
      <c r="C908" t="s">
        <v>54</v>
      </c>
      <c r="D908" t="s">
        <v>16</v>
      </c>
      <c r="E908">
        <v>14</v>
      </c>
      <c r="F908" t="str">
        <f>IF(MediCare_Data[[#This Row],[Patient_Age]]&lt;=18,"0-18",IF(MediCare_Data[[#This Row],[Patient_Age]]&lt;=35,"19-35",IF(MediCare_Data[[#This Row],[Patient_Age]]&lt;=60,"36-60","60+")))</f>
        <v>0-18</v>
      </c>
      <c r="G908" t="s">
        <v>17</v>
      </c>
      <c r="H908" t="s">
        <v>37</v>
      </c>
      <c r="I908" s="2">
        <v>55</v>
      </c>
      <c r="J908" s="11">
        <v>5738</v>
      </c>
      <c r="K908" s="3">
        <v>21.672999239999999</v>
      </c>
      <c r="L908" s="3">
        <f t="shared" si="14"/>
        <v>0.21672999239999999</v>
      </c>
      <c r="M908">
        <v>15</v>
      </c>
      <c r="N908" s="6">
        <f>MediCare_Data[[#This Row],[Average_Wait_Time (mins)]]/1440</f>
        <v>1.0416666666666666E-2</v>
      </c>
      <c r="O908" s="2">
        <v>4</v>
      </c>
      <c r="P908" s="10">
        <v>31916</v>
      </c>
      <c r="Q908" s="17" t="str">
        <f>IF(AND(MediCare_Data[[#This Row],[Patient_Gender]]="Male", MediCare_Data[[#This Row],[Treatment_Type]]="Maternity"), "Gender-Treatment Mismatch", "Fine")</f>
        <v>Gender-Treatment Mismatch</v>
      </c>
      <c r="R908" s="10">
        <f>MediCare_Data[[#This Row],[Revenue_Generated]]-MediCare_Data[[#This Row],[Average_Treatment_Cost]]</f>
        <v>26178</v>
      </c>
      <c r="S908" s="3">
        <f>(MediCare_Data[[#This Row],[Profit]]/MediCare_Data[[#This Row],[Revenue_Generated]])</f>
        <v>0.82021556586038347</v>
      </c>
    </row>
    <row r="909" spans="1:19" x14ac:dyDescent="0.25">
      <c r="A909" t="s">
        <v>956</v>
      </c>
      <c r="B909" t="s">
        <v>56</v>
      </c>
      <c r="C909" t="s">
        <v>29</v>
      </c>
      <c r="D909" t="s">
        <v>32</v>
      </c>
      <c r="E909">
        <v>74</v>
      </c>
      <c r="F909" t="str">
        <f>IF(MediCare_Data[[#This Row],[Patient_Age]]&lt;=18,"0-18",IF(MediCare_Data[[#This Row],[Patient_Age]]&lt;=35,"19-35",IF(MediCare_Data[[#This Row],[Patient_Age]]&lt;=60,"36-60","60+")))</f>
        <v>60+</v>
      </c>
      <c r="G909" t="s">
        <v>43</v>
      </c>
      <c r="H909" t="s">
        <v>37</v>
      </c>
      <c r="I909" s="2">
        <v>50</v>
      </c>
      <c r="J909" s="11">
        <v>6589</v>
      </c>
      <c r="K909" s="3">
        <v>13.80882701</v>
      </c>
      <c r="L909" s="3">
        <f t="shared" si="14"/>
        <v>0.13808827009999999</v>
      </c>
      <c r="M909">
        <v>118</v>
      </c>
      <c r="N909" s="6">
        <f>MediCare_Data[[#This Row],[Average_Wait_Time (mins)]]/1440</f>
        <v>8.1944444444444445E-2</v>
      </c>
      <c r="O909" s="2">
        <v>4</v>
      </c>
      <c r="P909" s="10">
        <v>23057</v>
      </c>
      <c r="Q909" s="17" t="str">
        <f>IF(AND(MediCare_Data[[#This Row],[Patient_Gender]]="Male", MediCare_Data[[#This Row],[Treatment_Type]]="Maternity"), "Gender-Treatment Mismatch", "Fine")</f>
        <v>Fine</v>
      </c>
      <c r="R909" s="10">
        <f>MediCare_Data[[#This Row],[Revenue_Generated]]-MediCare_Data[[#This Row],[Average_Treatment_Cost]]</f>
        <v>16468</v>
      </c>
      <c r="S909" s="3">
        <f>(MediCare_Data[[#This Row],[Profit]]/MediCare_Data[[#This Row],[Revenue_Generated]])</f>
        <v>0.71422995185843774</v>
      </c>
    </row>
    <row r="910" spans="1:19" x14ac:dyDescent="0.25">
      <c r="A910" t="s">
        <v>957</v>
      </c>
      <c r="B910" t="s">
        <v>82</v>
      </c>
      <c r="C910" t="s">
        <v>42</v>
      </c>
      <c r="D910" t="s">
        <v>21</v>
      </c>
      <c r="E910">
        <v>9</v>
      </c>
      <c r="F910" t="str">
        <f>IF(MediCare_Data[[#This Row],[Patient_Age]]&lt;=18,"0-18",IF(MediCare_Data[[#This Row],[Patient_Age]]&lt;=35,"19-35",IF(MediCare_Data[[#This Row],[Patient_Age]]&lt;=60,"36-60","60+")))</f>
        <v>0-18</v>
      </c>
      <c r="G910" t="s">
        <v>22</v>
      </c>
      <c r="H910" t="s">
        <v>47</v>
      </c>
      <c r="I910" s="2">
        <v>54</v>
      </c>
      <c r="J910" s="11">
        <v>6757</v>
      </c>
      <c r="K910" s="3">
        <v>11.04666499</v>
      </c>
      <c r="L910" s="3">
        <f t="shared" si="14"/>
        <v>0.11046664990000001</v>
      </c>
      <c r="M910">
        <v>44</v>
      </c>
      <c r="N910" s="6">
        <f>MediCare_Data[[#This Row],[Average_Wait_Time (mins)]]/1440</f>
        <v>3.0555555555555555E-2</v>
      </c>
      <c r="O910" s="2">
        <v>2</v>
      </c>
      <c r="P910" s="10">
        <v>36892</v>
      </c>
      <c r="Q910" s="17" t="str">
        <f>IF(AND(MediCare_Data[[#This Row],[Patient_Gender]]="Male", MediCare_Data[[#This Row],[Treatment_Type]]="Maternity"), "Gender-Treatment Mismatch", "Fine")</f>
        <v>Fine</v>
      </c>
      <c r="R910" s="10">
        <f>MediCare_Data[[#This Row],[Revenue_Generated]]-MediCare_Data[[#This Row],[Average_Treatment_Cost]]</f>
        <v>30135</v>
      </c>
      <c r="S910" s="3">
        <f>(MediCare_Data[[#This Row],[Profit]]/MediCare_Data[[#This Row],[Revenue_Generated]])</f>
        <v>0.81684376016480542</v>
      </c>
    </row>
    <row r="911" spans="1:19" x14ac:dyDescent="0.25">
      <c r="A911" t="s">
        <v>958</v>
      </c>
      <c r="B911" t="s">
        <v>49</v>
      </c>
      <c r="C911" t="s">
        <v>15</v>
      </c>
      <c r="D911" t="s">
        <v>21</v>
      </c>
      <c r="E911">
        <v>8</v>
      </c>
      <c r="F911" t="str">
        <f>IF(MediCare_Data[[#This Row],[Patient_Age]]&lt;=18,"0-18",IF(MediCare_Data[[#This Row],[Patient_Age]]&lt;=35,"19-35",IF(MediCare_Data[[#This Row],[Patient_Age]]&lt;=60,"36-60","60+")))</f>
        <v>0-18</v>
      </c>
      <c r="G911" t="s">
        <v>43</v>
      </c>
      <c r="H911" t="s">
        <v>18</v>
      </c>
      <c r="I911" s="2">
        <v>90</v>
      </c>
      <c r="J911" s="11">
        <v>8205</v>
      </c>
      <c r="K911" s="3">
        <v>10.186697949999999</v>
      </c>
      <c r="L911" s="3">
        <f t="shared" si="14"/>
        <v>0.1018669795</v>
      </c>
      <c r="M911">
        <v>48</v>
      </c>
      <c r="N911" s="6">
        <f>MediCare_Data[[#This Row],[Average_Wait_Time (mins)]]/1440</f>
        <v>3.3333333333333333E-2</v>
      </c>
      <c r="O911" s="2">
        <v>4</v>
      </c>
      <c r="P911" s="10">
        <v>42439</v>
      </c>
      <c r="Q911" s="17" t="str">
        <f>IF(AND(MediCare_Data[[#This Row],[Patient_Gender]]="Male", MediCare_Data[[#This Row],[Treatment_Type]]="Maternity"), "Gender-Treatment Mismatch", "Fine")</f>
        <v>Fine</v>
      </c>
      <c r="R911" s="10">
        <f>MediCare_Data[[#This Row],[Revenue_Generated]]-MediCare_Data[[#This Row],[Average_Treatment_Cost]]</f>
        <v>34234</v>
      </c>
      <c r="S911" s="3">
        <f>(MediCare_Data[[#This Row],[Profit]]/MediCare_Data[[#This Row],[Revenue_Generated]])</f>
        <v>0.80666368199062188</v>
      </c>
    </row>
    <row r="912" spans="1:19" x14ac:dyDescent="0.25">
      <c r="A912" t="s">
        <v>959</v>
      </c>
      <c r="B912" t="s">
        <v>45</v>
      </c>
      <c r="C912" t="s">
        <v>46</v>
      </c>
      <c r="D912" t="s">
        <v>16</v>
      </c>
      <c r="E912">
        <v>36</v>
      </c>
      <c r="F912" t="str">
        <f>IF(MediCare_Data[[#This Row],[Patient_Age]]&lt;=18,"0-18",IF(MediCare_Data[[#This Row],[Patient_Age]]&lt;=35,"19-35",IF(MediCare_Data[[#This Row],[Patient_Age]]&lt;=60,"36-60","60+")))</f>
        <v>36-60</v>
      </c>
      <c r="G912" t="s">
        <v>22</v>
      </c>
      <c r="H912" t="s">
        <v>47</v>
      </c>
      <c r="I912" s="2">
        <v>61</v>
      </c>
      <c r="J912" s="11">
        <v>4219</v>
      </c>
      <c r="K912" s="3">
        <v>8.8924767340000006</v>
      </c>
      <c r="L912" s="3">
        <f t="shared" si="14"/>
        <v>8.8924767340000002E-2</v>
      </c>
      <c r="M912">
        <v>159</v>
      </c>
      <c r="N912" s="6">
        <f>MediCare_Data[[#This Row],[Average_Wait_Time (mins)]]/1440</f>
        <v>0.11041666666666666</v>
      </c>
      <c r="O912" s="2">
        <v>2</v>
      </c>
      <c r="P912" s="10">
        <v>12706</v>
      </c>
      <c r="Q912" s="17" t="str">
        <f>IF(AND(MediCare_Data[[#This Row],[Patient_Gender]]="Male", MediCare_Data[[#This Row],[Treatment_Type]]="Maternity"), "Gender-Treatment Mismatch", "Fine")</f>
        <v>Fine</v>
      </c>
      <c r="R912" s="10">
        <f>MediCare_Data[[#This Row],[Revenue_Generated]]-MediCare_Data[[#This Row],[Average_Treatment_Cost]]</f>
        <v>8487</v>
      </c>
      <c r="S912" s="3">
        <f>(MediCare_Data[[#This Row],[Profit]]/MediCare_Data[[#This Row],[Revenue_Generated]])</f>
        <v>0.66795214859121677</v>
      </c>
    </row>
    <row r="913" spans="1:19" x14ac:dyDescent="0.25">
      <c r="A913" t="s">
        <v>960</v>
      </c>
      <c r="B913" t="s">
        <v>14</v>
      </c>
      <c r="C913" t="s">
        <v>20</v>
      </c>
      <c r="D913" t="s">
        <v>16</v>
      </c>
      <c r="E913">
        <v>18</v>
      </c>
      <c r="F913" t="str">
        <f>IF(MediCare_Data[[#This Row],[Patient_Age]]&lt;=18,"0-18",IF(MediCare_Data[[#This Row],[Patient_Age]]&lt;=35,"19-35",IF(MediCare_Data[[#This Row],[Patient_Age]]&lt;=60,"36-60","60+")))</f>
        <v>0-18</v>
      </c>
      <c r="G913" t="s">
        <v>26</v>
      </c>
      <c r="H913" t="s">
        <v>51</v>
      </c>
      <c r="I913" s="2">
        <v>75</v>
      </c>
      <c r="J913" s="11">
        <v>802</v>
      </c>
      <c r="K913" s="3">
        <v>6.1529516439999998</v>
      </c>
      <c r="L913" s="3">
        <f t="shared" si="14"/>
        <v>6.1529516440000001E-2</v>
      </c>
      <c r="M913">
        <v>178</v>
      </c>
      <c r="N913" s="6">
        <f>MediCare_Data[[#This Row],[Average_Wait_Time (mins)]]/1440</f>
        <v>0.12361111111111112</v>
      </c>
      <c r="O913" s="2">
        <v>4</v>
      </c>
      <c r="P913" s="10">
        <v>13070</v>
      </c>
      <c r="Q913" s="17" t="str">
        <f>IF(AND(MediCare_Data[[#This Row],[Patient_Gender]]="Male", MediCare_Data[[#This Row],[Treatment_Type]]="Maternity"), "Gender-Treatment Mismatch", "Fine")</f>
        <v>Fine</v>
      </c>
      <c r="R913" s="10">
        <f>MediCare_Data[[#This Row],[Revenue_Generated]]-MediCare_Data[[#This Row],[Average_Treatment_Cost]]</f>
        <v>12268</v>
      </c>
      <c r="S913" s="3">
        <f>(MediCare_Data[[#This Row],[Profit]]/MediCare_Data[[#This Row],[Revenue_Generated]])</f>
        <v>0.93863810252486612</v>
      </c>
    </row>
    <row r="914" spans="1:19" x14ac:dyDescent="0.25">
      <c r="A914" t="s">
        <v>961</v>
      </c>
      <c r="B914" t="s">
        <v>49</v>
      </c>
      <c r="C914" t="s">
        <v>31</v>
      </c>
      <c r="D914" t="s">
        <v>32</v>
      </c>
      <c r="E914">
        <v>87</v>
      </c>
      <c r="F914" t="str">
        <f>IF(MediCare_Data[[#This Row],[Patient_Age]]&lt;=18,"0-18",IF(MediCare_Data[[#This Row],[Patient_Age]]&lt;=35,"19-35",IF(MediCare_Data[[#This Row],[Patient_Age]]&lt;=60,"36-60","60+")))</f>
        <v>60+</v>
      </c>
      <c r="G914" t="s">
        <v>26</v>
      </c>
      <c r="H914" t="s">
        <v>37</v>
      </c>
      <c r="I914" s="2">
        <v>95</v>
      </c>
      <c r="J914" s="11">
        <v>1486</v>
      </c>
      <c r="K914" s="3">
        <v>11.848959580000001</v>
      </c>
      <c r="L914" s="3">
        <f t="shared" si="14"/>
        <v>0.11848959580000001</v>
      </c>
      <c r="M914">
        <v>127</v>
      </c>
      <c r="N914" s="6">
        <f>MediCare_Data[[#This Row],[Average_Wait_Time (mins)]]/1440</f>
        <v>8.819444444444445E-2</v>
      </c>
      <c r="O914" s="2">
        <v>3</v>
      </c>
      <c r="P914" s="10">
        <v>41902</v>
      </c>
      <c r="Q914" s="17" t="str">
        <f>IF(AND(MediCare_Data[[#This Row],[Patient_Gender]]="Male", MediCare_Data[[#This Row],[Treatment_Type]]="Maternity"), "Gender-Treatment Mismatch", "Fine")</f>
        <v>Fine</v>
      </c>
      <c r="R914" s="10">
        <f>MediCare_Data[[#This Row],[Revenue_Generated]]-MediCare_Data[[#This Row],[Average_Treatment_Cost]]</f>
        <v>40416</v>
      </c>
      <c r="S914" s="3">
        <f>(MediCare_Data[[#This Row],[Profit]]/MediCare_Data[[#This Row],[Revenue_Generated]])</f>
        <v>0.96453629898334203</v>
      </c>
    </row>
    <row r="915" spans="1:19" x14ac:dyDescent="0.25">
      <c r="A915" t="s">
        <v>962</v>
      </c>
      <c r="B915" t="s">
        <v>39</v>
      </c>
      <c r="C915" t="s">
        <v>31</v>
      </c>
      <c r="D915" t="s">
        <v>16</v>
      </c>
      <c r="E915">
        <v>88</v>
      </c>
      <c r="F915" t="str">
        <f>IF(MediCare_Data[[#This Row],[Patient_Age]]&lt;=18,"0-18",IF(MediCare_Data[[#This Row],[Patient_Age]]&lt;=35,"19-35",IF(MediCare_Data[[#This Row],[Patient_Age]]&lt;=60,"36-60","60+")))</f>
        <v>60+</v>
      </c>
      <c r="G915" t="s">
        <v>17</v>
      </c>
      <c r="H915" t="s">
        <v>23</v>
      </c>
      <c r="I915" s="2">
        <v>83</v>
      </c>
      <c r="J915" s="11">
        <v>4940</v>
      </c>
      <c r="K915" s="3">
        <v>10.404953839999999</v>
      </c>
      <c r="L915" s="3">
        <f t="shared" si="14"/>
        <v>0.10404953839999999</v>
      </c>
      <c r="M915">
        <v>14</v>
      </c>
      <c r="N915" s="6">
        <f>MediCare_Data[[#This Row],[Average_Wait_Time (mins)]]/1440</f>
        <v>9.7222222222222224E-3</v>
      </c>
      <c r="O915" s="2">
        <v>1</v>
      </c>
      <c r="P915" s="10">
        <v>1924</v>
      </c>
      <c r="Q915" s="17" t="str">
        <f>IF(AND(MediCare_Data[[#This Row],[Patient_Gender]]="Male", MediCare_Data[[#This Row],[Treatment_Type]]="Maternity"), "Gender-Treatment Mismatch", "Fine")</f>
        <v>Fine</v>
      </c>
      <c r="R915" s="10">
        <f>MediCare_Data[[#This Row],[Revenue_Generated]]-MediCare_Data[[#This Row],[Average_Treatment_Cost]]</f>
        <v>-3016</v>
      </c>
      <c r="S915" s="3">
        <f>(MediCare_Data[[#This Row],[Profit]]/MediCare_Data[[#This Row],[Revenue_Generated]])</f>
        <v>-1.5675675675675675</v>
      </c>
    </row>
    <row r="916" spans="1:19" x14ac:dyDescent="0.25">
      <c r="A916" t="s">
        <v>963</v>
      </c>
      <c r="B916" t="s">
        <v>25</v>
      </c>
      <c r="C916" t="s">
        <v>36</v>
      </c>
      <c r="D916" t="s">
        <v>21</v>
      </c>
      <c r="E916">
        <v>16</v>
      </c>
      <c r="F916" t="str">
        <f>IF(MediCare_Data[[#This Row],[Patient_Age]]&lt;=18,"0-18",IF(MediCare_Data[[#This Row],[Patient_Age]]&lt;=35,"19-35",IF(MediCare_Data[[#This Row],[Patient_Age]]&lt;=60,"36-60","60+")))</f>
        <v>0-18</v>
      </c>
      <c r="G916" t="s">
        <v>43</v>
      </c>
      <c r="H916" t="s">
        <v>47</v>
      </c>
      <c r="I916" s="2">
        <v>98</v>
      </c>
      <c r="J916" s="11">
        <v>5409</v>
      </c>
      <c r="K916" s="3">
        <v>24.32834772</v>
      </c>
      <c r="L916" s="3">
        <f t="shared" si="14"/>
        <v>0.24328347719999999</v>
      </c>
      <c r="M916">
        <v>179</v>
      </c>
      <c r="N916" s="6">
        <f>MediCare_Data[[#This Row],[Average_Wait_Time (mins)]]/1440</f>
        <v>0.12430555555555556</v>
      </c>
      <c r="O916" s="2">
        <v>3</v>
      </c>
      <c r="P916" s="10">
        <v>27478</v>
      </c>
      <c r="Q916" s="17" t="str">
        <f>IF(AND(MediCare_Data[[#This Row],[Patient_Gender]]="Male", MediCare_Data[[#This Row],[Treatment_Type]]="Maternity"), "Gender-Treatment Mismatch", "Fine")</f>
        <v>Fine</v>
      </c>
      <c r="R916" s="10">
        <f>MediCare_Data[[#This Row],[Revenue_Generated]]-MediCare_Data[[#This Row],[Average_Treatment_Cost]]</f>
        <v>22069</v>
      </c>
      <c r="S916" s="3">
        <f>(MediCare_Data[[#This Row],[Profit]]/MediCare_Data[[#This Row],[Revenue_Generated]])</f>
        <v>0.80315161219885001</v>
      </c>
    </row>
    <row r="917" spans="1:19" x14ac:dyDescent="0.25">
      <c r="A917" t="s">
        <v>964</v>
      </c>
      <c r="B917" t="s">
        <v>39</v>
      </c>
      <c r="C917" t="s">
        <v>46</v>
      </c>
      <c r="D917" t="s">
        <v>16</v>
      </c>
      <c r="E917">
        <v>25</v>
      </c>
      <c r="F917" t="str">
        <f>IF(MediCare_Data[[#This Row],[Patient_Age]]&lt;=18,"0-18",IF(MediCare_Data[[#This Row],[Patient_Age]]&lt;=35,"19-35",IF(MediCare_Data[[#This Row],[Patient_Age]]&lt;=60,"36-60","60+")))</f>
        <v>19-35</v>
      </c>
      <c r="G917" t="s">
        <v>26</v>
      </c>
      <c r="H917" t="s">
        <v>33</v>
      </c>
      <c r="I917" s="2">
        <v>63</v>
      </c>
      <c r="J917" s="11">
        <v>3572</v>
      </c>
      <c r="K917" s="3">
        <v>16.154176530000001</v>
      </c>
      <c r="L917" s="3">
        <f t="shared" si="14"/>
        <v>0.1615417653</v>
      </c>
      <c r="M917">
        <v>96</v>
      </c>
      <c r="N917" s="6">
        <f>MediCare_Data[[#This Row],[Average_Wait_Time (mins)]]/1440</f>
        <v>6.6666666666666666E-2</v>
      </c>
      <c r="O917" s="2">
        <v>4</v>
      </c>
      <c r="P917" s="10">
        <v>6506</v>
      </c>
      <c r="Q917" s="17" t="str">
        <f>IF(AND(MediCare_Data[[#This Row],[Patient_Gender]]="Male", MediCare_Data[[#This Row],[Treatment_Type]]="Maternity"), "Gender-Treatment Mismatch", "Fine")</f>
        <v>Fine</v>
      </c>
      <c r="R917" s="10">
        <f>MediCare_Data[[#This Row],[Revenue_Generated]]-MediCare_Data[[#This Row],[Average_Treatment_Cost]]</f>
        <v>2934</v>
      </c>
      <c r="S917" s="3">
        <f>(MediCare_Data[[#This Row],[Profit]]/MediCare_Data[[#This Row],[Revenue_Generated]])</f>
        <v>0.45096833691976634</v>
      </c>
    </row>
    <row r="918" spans="1:19" x14ac:dyDescent="0.25">
      <c r="A918" t="s">
        <v>965</v>
      </c>
      <c r="B918" t="s">
        <v>53</v>
      </c>
      <c r="C918" t="s">
        <v>20</v>
      </c>
      <c r="D918" t="s">
        <v>16</v>
      </c>
      <c r="E918">
        <v>64</v>
      </c>
      <c r="F918" t="str">
        <f>IF(MediCare_Data[[#This Row],[Patient_Age]]&lt;=18,"0-18",IF(MediCare_Data[[#This Row],[Patient_Age]]&lt;=35,"19-35",IF(MediCare_Data[[#This Row],[Patient_Age]]&lt;=60,"36-60","60+")))</f>
        <v>60+</v>
      </c>
      <c r="G918" t="s">
        <v>17</v>
      </c>
      <c r="H918" t="s">
        <v>47</v>
      </c>
      <c r="I918" s="2">
        <v>75</v>
      </c>
      <c r="J918" s="11">
        <v>3624</v>
      </c>
      <c r="K918" s="3">
        <v>11.94554078</v>
      </c>
      <c r="L918" s="3">
        <f t="shared" si="14"/>
        <v>0.1194554078</v>
      </c>
      <c r="M918">
        <v>85</v>
      </c>
      <c r="N918" s="6">
        <f>MediCare_Data[[#This Row],[Average_Wait_Time (mins)]]/1440</f>
        <v>5.9027777777777776E-2</v>
      </c>
      <c r="O918" s="2">
        <v>4</v>
      </c>
      <c r="P918" s="10">
        <v>47418</v>
      </c>
      <c r="Q918" s="17" t="str">
        <f>IF(AND(MediCare_Data[[#This Row],[Patient_Gender]]="Male", MediCare_Data[[#This Row],[Treatment_Type]]="Maternity"), "Gender-Treatment Mismatch", "Fine")</f>
        <v>Fine</v>
      </c>
      <c r="R918" s="10">
        <f>MediCare_Data[[#This Row],[Revenue_Generated]]-MediCare_Data[[#This Row],[Average_Treatment_Cost]]</f>
        <v>43794</v>
      </c>
      <c r="S918" s="3">
        <f>(MediCare_Data[[#This Row],[Profit]]/MediCare_Data[[#This Row],[Revenue_Generated]])</f>
        <v>0.92357332658484115</v>
      </c>
    </row>
    <row r="919" spans="1:19" x14ac:dyDescent="0.25">
      <c r="A919" t="s">
        <v>966</v>
      </c>
      <c r="B919" t="s">
        <v>49</v>
      </c>
      <c r="C919" t="s">
        <v>42</v>
      </c>
      <c r="D919" t="s">
        <v>21</v>
      </c>
      <c r="E919">
        <v>88</v>
      </c>
      <c r="F919" t="str">
        <f>IF(MediCare_Data[[#This Row],[Patient_Age]]&lt;=18,"0-18",IF(MediCare_Data[[#This Row],[Patient_Age]]&lt;=35,"19-35",IF(MediCare_Data[[#This Row],[Patient_Age]]&lt;=60,"36-60","60+")))</f>
        <v>60+</v>
      </c>
      <c r="G919" t="s">
        <v>43</v>
      </c>
      <c r="H919" t="s">
        <v>18</v>
      </c>
      <c r="I919" s="2">
        <v>94</v>
      </c>
      <c r="J919" s="11">
        <v>8625</v>
      </c>
      <c r="K919" s="3">
        <v>16.609352019999999</v>
      </c>
      <c r="L919" s="3">
        <f t="shared" si="14"/>
        <v>0.16609352019999998</v>
      </c>
      <c r="M919">
        <v>167</v>
      </c>
      <c r="N919" s="6">
        <f>MediCare_Data[[#This Row],[Average_Wait_Time (mins)]]/1440</f>
        <v>0.11597222222222223</v>
      </c>
      <c r="O919" s="2">
        <v>4</v>
      </c>
      <c r="P919" s="10">
        <v>36163</v>
      </c>
      <c r="Q919" s="17" t="str">
        <f>IF(AND(MediCare_Data[[#This Row],[Patient_Gender]]="Male", MediCare_Data[[#This Row],[Treatment_Type]]="Maternity"), "Gender-Treatment Mismatch", "Fine")</f>
        <v>Fine</v>
      </c>
      <c r="R919" s="10">
        <f>MediCare_Data[[#This Row],[Revenue_Generated]]-MediCare_Data[[#This Row],[Average_Treatment_Cost]]</f>
        <v>27538</v>
      </c>
      <c r="S919" s="3">
        <f>(MediCare_Data[[#This Row],[Profit]]/MediCare_Data[[#This Row],[Revenue_Generated]])</f>
        <v>0.7614965572546526</v>
      </c>
    </row>
    <row r="920" spans="1:19" x14ac:dyDescent="0.25">
      <c r="A920" t="s">
        <v>967</v>
      </c>
      <c r="B920" t="s">
        <v>45</v>
      </c>
      <c r="C920" t="s">
        <v>36</v>
      </c>
      <c r="D920" t="s">
        <v>21</v>
      </c>
      <c r="E920">
        <v>13</v>
      </c>
      <c r="F920" t="str">
        <f>IF(MediCare_Data[[#This Row],[Patient_Age]]&lt;=18,"0-18",IF(MediCare_Data[[#This Row],[Patient_Age]]&lt;=35,"19-35",IF(MediCare_Data[[#This Row],[Patient_Age]]&lt;=60,"36-60","60+")))</f>
        <v>0-18</v>
      </c>
      <c r="G920" t="s">
        <v>43</v>
      </c>
      <c r="H920" t="s">
        <v>18</v>
      </c>
      <c r="I920" s="2">
        <v>76</v>
      </c>
      <c r="J920" s="11">
        <v>3791</v>
      </c>
      <c r="K920" s="3">
        <v>7.7839340269999999</v>
      </c>
      <c r="L920" s="3">
        <f t="shared" si="14"/>
        <v>7.7839340270000001E-2</v>
      </c>
      <c r="M920">
        <v>66</v>
      </c>
      <c r="N920" s="6">
        <f>MediCare_Data[[#This Row],[Average_Wait_Time (mins)]]/1440</f>
        <v>4.583333333333333E-2</v>
      </c>
      <c r="O920" s="2">
        <v>3</v>
      </c>
      <c r="P920" s="10">
        <v>25604</v>
      </c>
      <c r="Q920" s="17" t="str">
        <f>IF(AND(MediCare_Data[[#This Row],[Patient_Gender]]="Male", MediCare_Data[[#This Row],[Treatment_Type]]="Maternity"), "Gender-Treatment Mismatch", "Fine")</f>
        <v>Fine</v>
      </c>
      <c r="R920" s="10">
        <f>MediCare_Data[[#This Row],[Revenue_Generated]]-MediCare_Data[[#This Row],[Average_Treatment_Cost]]</f>
        <v>21813</v>
      </c>
      <c r="S920" s="3">
        <f>(MediCare_Data[[#This Row],[Profit]]/MediCare_Data[[#This Row],[Revenue_Generated]])</f>
        <v>0.85193719731291984</v>
      </c>
    </row>
    <row r="921" spans="1:19" x14ac:dyDescent="0.25">
      <c r="A921" t="s">
        <v>968</v>
      </c>
      <c r="B921" t="s">
        <v>58</v>
      </c>
      <c r="C921" t="s">
        <v>29</v>
      </c>
      <c r="D921" t="s">
        <v>16</v>
      </c>
      <c r="E921">
        <v>24</v>
      </c>
      <c r="F921" t="str">
        <f>IF(MediCare_Data[[#This Row],[Patient_Age]]&lt;=18,"0-18",IF(MediCare_Data[[#This Row],[Patient_Age]]&lt;=35,"19-35",IF(MediCare_Data[[#This Row],[Patient_Age]]&lt;=60,"36-60","60+")))</f>
        <v>19-35</v>
      </c>
      <c r="G921" t="s">
        <v>17</v>
      </c>
      <c r="H921" t="s">
        <v>37</v>
      </c>
      <c r="I921" s="2">
        <v>58</v>
      </c>
      <c r="J921" s="11">
        <v>4533</v>
      </c>
      <c r="K921" s="3">
        <v>13.88087498</v>
      </c>
      <c r="L921" s="3">
        <f t="shared" si="14"/>
        <v>0.13880874979999999</v>
      </c>
      <c r="M921">
        <v>136</v>
      </c>
      <c r="N921" s="6">
        <f>MediCare_Data[[#This Row],[Average_Wait_Time (mins)]]/1440</f>
        <v>9.4444444444444442E-2</v>
      </c>
      <c r="O921" s="2">
        <v>4</v>
      </c>
      <c r="P921" s="10">
        <v>16310</v>
      </c>
      <c r="Q921" s="17" t="str">
        <f>IF(AND(MediCare_Data[[#This Row],[Patient_Gender]]="Male", MediCare_Data[[#This Row],[Treatment_Type]]="Maternity"), "Gender-Treatment Mismatch", "Fine")</f>
        <v>Gender-Treatment Mismatch</v>
      </c>
      <c r="R921" s="10">
        <f>MediCare_Data[[#This Row],[Revenue_Generated]]-MediCare_Data[[#This Row],[Average_Treatment_Cost]]</f>
        <v>11777</v>
      </c>
      <c r="S921" s="3">
        <f>(MediCare_Data[[#This Row],[Profit]]/MediCare_Data[[#This Row],[Revenue_Generated]])</f>
        <v>0.7220723482526058</v>
      </c>
    </row>
    <row r="922" spans="1:19" x14ac:dyDescent="0.25">
      <c r="A922" t="s">
        <v>969</v>
      </c>
      <c r="B922" t="s">
        <v>74</v>
      </c>
      <c r="C922" t="s">
        <v>31</v>
      </c>
      <c r="D922" t="s">
        <v>32</v>
      </c>
      <c r="E922">
        <v>13</v>
      </c>
      <c r="F922" t="str">
        <f>IF(MediCare_Data[[#This Row],[Patient_Age]]&lt;=18,"0-18",IF(MediCare_Data[[#This Row],[Patient_Age]]&lt;=35,"19-35",IF(MediCare_Data[[#This Row],[Patient_Age]]&lt;=60,"36-60","60+")))</f>
        <v>0-18</v>
      </c>
      <c r="G922" t="s">
        <v>43</v>
      </c>
      <c r="H922" t="s">
        <v>51</v>
      </c>
      <c r="I922" s="2">
        <v>75</v>
      </c>
      <c r="J922" s="11">
        <v>5605</v>
      </c>
      <c r="K922" s="3">
        <v>17.524686429999999</v>
      </c>
      <c r="L922" s="3">
        <f t="shared" si="14"/>
        <v>0.1752468643</v>
      </c>
      <c r="M922">
        <v>38</v>
      </c>
      <c r="N922" s="6">
        <f>MediCare_Data[[#This Row],[Average_Wait_Time (mins)]]/1440</f>
        <v>2.6388888888888889E-2</v>
      </c>
      <c r="O922" s="2">
        <v>3</v>
      </c>
      <c r="P922" s="10">
        <v>9226</v>
      </c>
      <c r="Q922" s="17" t="str">
        <f>IF(AND(MediCare_Data[[#This Row],[Patient_Gender]]="Male", MediCare_Data[[#This Row],[Treatment_Type]]="Maternity"), "Gender-Treatment Mismatch", "Fine")</f>
        <v>Fine</v>
      </c>
      <c r="R922" s="10">
        <f>MediCare_Data[[#This Row],[Revenue_Generated]]-MediCare_Data[[#This Row],[Average_Treatment_Cost]]</f>
        <v>3621</v>
      </c>
      <c r="S922" s="3">
        <f>(MediCare_Data[[#This Row],[Profit]]/MediCare_Data[[#This Row],[Revenue_Generated]])</f>
        <v>0.39247778018642965</v>
      </c>
    </row>
    <row r="923" spans="1:19" x14ac:dyDescent="0.25">
      <c r="A923" t="s">
        <v>970</v>
      </c>
      <c r="B923" t="s">
        <v>41</v>
      </c>
      <c r="C923" t="s">
        <v>31</v>
      </c>
      <c r="D923" t="s">
        <v>32</v>
      </c>
      <c r="E923">
        <v>88</v>
      </c>
      <c r="F923" t="str">
        <f>IF(MediCare_Data[[#This Row],[Patient_Age]]&lt;=18,"0-18",IF(MediCare_Data[[#This Row],[Patient_Age]]&lt;=35,"19-35",IF(MediCare_Data[[#This Row],[Patient_Age]]&lt;=60,"36-60","60+")))</f>
        <v>60+</v>
      </c>
      <c r="G923" t="s">
        <v>26</v>
      </c>
      <c r="H923" t="s">
        <v>47</v>
      </c>
      <c r="I923" s="2">
        <v>96</v>
      </c>
      <c r="J923" s="11">
        <v>1203</v>
      </c>
      <c r="K923" s="3">
        <v>14.777956639999999</v>
      </c>
      <c r="L923" s="3">
        <f t="shared" si="14"/>
        <v>0.14777956640000001</v>
      </c>
      <c r="M923">
        <v>174</v>
      </c>
      <c r="N923" s="6">
        <f>MediCare_Data[[#This Row],[Average_Wait_Time (mins)]]/1440</f>
        <v>0.12083333333333333</v>
      </c>
      <c r="O923" s="2">
        <v>2</v>
      </c>
      <c r="P923" s="10">
        <v>12781</v>
      </c>
      <c r="Q923" s="17" t="str">
        <f>IF(AND(MediCare_Data[[#This Row],[Patient_Gender]]="Male", MediCare_Data[[#This Row],[Treatment_Type]]="Maternity"), "Gender-Treatment Mismatch", "Fine")</f>
        <v>Fine</v>
      </c>
      <c r="R923" s="10">
        <f>MediCare_Data[[#This Row],[Revenue_Generated]]-MediCare_Data[[#This Row],[Average_Treatment_Cost]]</f>
        <v>11578</v>
      </c>
      <c r="S923" s="3">
        <f>(MediCare_Data[[#This Row],[Profit]]/MediCare_Data[[#This Row],[Revenue_Generated]])</f>
        <v>0.90587590955324304</v>
      </c>
    </row>
    <row r="924" spans="1:19" x14ac:dyDescent="0.25">
      <c r="A924" t="s">
        <v>971</v>
      </c>
      <c r="B924" t="s">
        <v>35</v>
      </c>
      <c r="C924" t="s">
        <v>29</v>
      </c>
      <c r="D924" t="s">
        <v>32</v>
      </c>
      <c r="E924">
        <v>50</v>
      </c>
      <c r="F924" t="str">
        <f>IF(MediCare_Data[[#This Row],[Patient_Age]]&lt;=18,"0-18",IF(MediCare_Data[[#This Row],[Patient_Age]]&lt;=35,"19-35",IF(MediCare_Data[[#This Row],[Patient_Age]]&lt;=60,"36-60","60+")))</f>
        <v>36-60</v>
      </c>
      <c r="G924" t="s">
        <v>17</v>
      </c>
      <c r="H924" t="s">
        <v>33</v>
      </c>
      <c r="I924" s="2">
        <v>71</v>
      </c>
      <c r="J924" s="11">
        <v>8633</v>
      </c>
      <c r="K924" s="3">
        <v>13.03557601</v>
      </c>
      <c r="L924" s="3">
        <f t="shared" si="14"/>
        <v>0.1303557601</v>
      </c>
      <c r="M924">
        <v>96</v>
      </c>
      <c r="N924" s="6">
        <f>MediCare_Data[[#This Row],[Average_Wait_Time (mins)]]/1440</f>
        <v>6.6666666666666666E-2</v>
      </c>
      <c r="O924" s="2">
        <v>1</v>
      </c>
      <c r="P924" s="10">
        <v>6515</v>
      </c>
      <c r="Q924" s="17" t="str">
        <f>IF(AND(MediCare_Data[[#This Row],[Patient_Gender]]="Male", MediCare_Data[[#This Row],[Treatment_Type]]="Maternity"), "Gender-Treatment Mismatch", "Fine")</f>
        <v>Fine</v>
      </c>
      <c r="R924" s="10">
        <f>MediCare_Data[[#This Row],[Revenue_Generated]]-MediCare_Data[[#This Row],[Average_Treatment_Cost]]</f>
        <v>-2118</v>
      </c>
      <c r="S924" s="3">
        <f>(MediCare_Data[[#This Row],[Profit]]/MediCare_Data[[#This Row],[Revenue_Generated]])</f>
        <v>-0.32509593246354568</v>
      </c>
    </row>
    <row r="925" spans="1:19" x14ac:dyDescent="0.25">
      <c r="A925" t="s">
        <v>972</v>
      </c>
      <c r="B925" t="s">
        <v>28</v>
      </c>
      <c r="C925" t="s">
        <v>20</v>
      </c>
      <c r="D925" t="s">
        <v>32</v>
      </c>
      <c r="E925">
        <v>25</v>
      </c>
      <c r="F925" t="str">
        <f>IF(MediCare_Data[[#This Row],[Patient_Age]]&lt;=18,"0-18",IF(MediCare_Data[[#This Row],[Patient_Age]]&lt;=35,"19-35",IF(MediCare_Data[[#This Row],[Patient_Age]]&lt;=60,"36-60","60+")))</f>
        <v>19-35</v>
      </c>
      <c r="G925" t="s">
        <v>26</v>
      </c>
      <c r="H925" t="s">
        <v>23</v>
      </c>
      <c r="I925" s="2">
        <v>96</v>
      </c>
      <c r="J925" s="11">
        <v>1074</v>
      </c>
      <c r="K925" s="3">
        <v>24.876967780000001</v>
      </c>
      <c r="L925" s="3">
        <f t="shared" si="14"/>
        <v>0.24876967780000001</v>
      </c>
      <c r="M925">
        <v>150</v>
      </c>
      <c r="N925" s="6">
        <f>MediCare_Data[[#This Row],[Average_Wait_Time (mins)]]/1440</f>
        <v>0.10416666666666667</v>
      </c>
      <c r="O925" s="2">
        <v>1</v>
      </c>
      <c r="P925" s="10">
        <v>37133</v>
      </c>
      <c r="Q925" s="17" t="str">
        <f>IF(AND(MediCare_Data[[#This Row],[Patient_Gender]]="Male", MediCare_Data[[#This Row],[Treatment_Type]]="Maternity"), "Gender-Treatment Mismatch", "Fine")</f>
        <v>Fine</v>
      </c>
      <c r="R925" s="10">
        <f>MediCare_Data[[#This Row],[Revenue_Generated]]-MediCare_Data[[#This Row],[Average_Treatment_Cost]]</f>
        <v>36059</v>
      </c>
      <c r="S925" s="3">
        <f>(MediCare_Data[[#This Row],[Profit]]/MediCare_Data[[#This Row],[Revenue_Generated]])</f>
        <v>0.97107693964936848</v>
      </c>
    </row>
    <row r="926" spans="1:19" x14ac:dyDescent="0.25">
      <c r="A926" t="s">
        <v>973</v>
      </c>
      <c r="B926" t="s">
        <v>45</v>
      </c>
      <c r="C926" t="s">
        <v>36</v>
      </c>
      <c r="D926" t="s">
        <v>21</v>
      </c>
      <c r="E926">
        <v>88</v>
      </c>
      <c r="F926" t="str">
        <f>IF(MediCare_Data[[#This Row],[Patient_Age]]&lt;=18,"0-18",IF(MediCare_Data[[#This Row],[Patient_Age]]&lt;=35,"19-35",IF(MediCare_Data[[#This Row],[Patient_Age]]&lt;=60,"36-60","60+")))</f>
        <v>60+</v>
      </c>
      <c r="G926" t="s">
        <v>17</v>
      </c>
      <c r="H926" t="s">
        <v>33</v>
      </c>
      <c r="I926" s="2">
        <v>79</v>
      </c>
      <c r="J926" s="11">
        <v>6204</v>
      </c>
      <c r="K926" s="3">
        <v>22.606295240000001</v>
      </c>
      <c r="L926" s="3">
        <f t="shared" si="14"/>
        <v>0.22606295240000002</v>
      </c>
      <c r="M926">
        <v>169</v>
      </c>
      <c r="N926" s="6">
        <f>MediCare_Data[[#This Row],[Average_Wait_Time (mins)]]/1440</f>
        <v>0.11736111111111111</v>
      </c>
      <c r="O926" s="2">
        <v>3</v>
      </c>
      <c r="P926" s="10">
        <v>17972</v>
      </c>
      <c r="Q926" s="17" t="str">
        <f>IF(AND(MediCare_Data[[#This Row],[Patient_Gender]]="Male", MediCare_Data[[#This Row],[Treatment_Type]]="Maternity"), "Gender-Treatment Mismatch", "Fine")</f>
        <v>Fine</v>
      </c>
      <c r="R926" s="10">
        <f>MediCare_Data[[#This Row],[Revenue_Generated]]-MediCare_Data[[#This Row],[Average_Treatment_Cost]]</f>
        <v>11768</v>
      </c>
      <c r="S926" s="3">
        <f>(MediCare_Data[[#This Row],[Profit]]/MediCare_Data[[#This Row],[Revenue_Generated]])</f>
        <v>0.65479634987758739</v>
      </c>
    </row>
    <row r="927" spans="1:19" x14ac:dyDescent="0.25">
      <c r="A927" t="s">
        <v>974</v>
      </c>
      <c r="B927" t="s">
        <v>14</v>
      </c>
      <c r="C927" t="s">
        <v>20</v>
      </c>
      <c r="D927" t="s">
        <v>21</v>
      </c>
      <c r="E927">
        <v>23</v>
      </c>
      <c r="F927" t="str">
        <f>IF(MediCare_Data[[#This Row],[Patient_Age]]&lt;=18,"0-18",IF(MediCare_Data[[#This Row],[Patient_Age]]&lt;=35,"19-35",IF(MediCare_Data[[#This Row],[Patient_Age]]&lt;=60,"36-60","60+")))</f>
        <v>19-35</v>
      </c>
      <c r="G927" t="s">
        <v>22</v>
      </c>
      <c r="H927" t="s">
        <v>33</v>
      </c>
      <c r="I927" s="2">
        <v>92</v>
      </c>
      <c r="J927" s="11">
        <v>8348</v>
      </c>
      <c r="K927" s="3">
        <v>17.468119160000001</v>
      </c>
      <c r="L927" s="3">
        <f t="shared" si="14"/>
        <v>0.17468119160000001</v>
      </c>
      <c r="M927">
        <v>55</v>
      </c>
      <c r="N927" s="6">
        <f>MediCare_Data[[#This Row],[Average_Wait_Time (mins)]]/1440</f>
        <v>3.8194444444444448E-2</v>
      </c>
      <c r="O927" s="2">
        <v>2</v>
      </c>
      <c r="P927" s="10">
        <v>33092</v>
      </c>
      <c r="Q927" s="17" t="str">
        <f>IF(AND(MediCare_Data[[#This Row],[Patient_Gender]]="Male", MediCare_Data[[#This Row],[Treatment_Type]]="Maternity"), "Gender-Treatment Mismatch", "Fine")</f>
        <v>Fine</v>
      </c>
      <c r="R927" s="10">
        <f>MediCare_Data[[#This Row],[Revenue_Generated]]-MediCare_Data[[#This Row],[Average_Treatment_Cost]]</f>
        <v>24744</v>
      </c>
      <c r="S927" s="3">
        <f>(MediCare_Data[[#This Row],[Profit]]/MediCare_Data[[#This Row],[Revenue_Generated]])</f>
        <v>0.74773359120029015</v>
      </c>
    </row>
    <row r="928" spans="1:19" x14ac:dyDescent="0.25">
      <c r="A928" t="s">
        <v>975</v>
      </c>
      <c r="B928" t="s">
        <v>41</v>
      </c>
      <c r="C928" t="s">
        <v>29</v>
      </c>
      <c r="D928" t="s">
        <v>21</v>
      </c>
      <c r="E928">
        <v>69</v>
      </c>
      <c r="F928" t="str">
        <f>IF(MediCare_Data[[#This Row],[Patient_Age]]&lt;=18,"0-18",IF(MediCare_Data[[#This Row],[Patient_Age]]&lt;=35,"19-35",IF(MediCare_Data[[#This Row],[Patient_Age]]&lt;=60,"36-60","60+")))</f>
        <v>60+</v>
      </c>
      <c r="G928" t="s">
        <v>26</v>
      </c>
      <c r="H928" t="s">
        <v>33</v>
      </c>
      <c r="I928" s="2">
        <v>97</v>
      </c>
      <c r="J928" s="11">
        <v>5708</v>
      </c>
      <c r="K928" s="3">
        <v>16.387547219999998</v>
      </c>
      <c r="L928" s="3">
        <f t="shared" si="14"/>
        <v>0.16387547219999998</v>
      </c>
      <c r="M928">
        <v>125</v>
      </c>
      <c r="N928" s="6">
        <f>MediCare_Data[[#This Row],[Average_Wait_Time (mins)]]/1440</f>
        <v>8.6805555555555552E-2</v>
      </c>
      <c r="O928" s="2">
        <v>3</v>
      </c>
      <c r="P928" s="10">
        <v>12410</v>
      </c>
      <c r="Q928" s="17" t="str">
        <f>IF(AND(MediCare_Data[[#This Row],[Patient_Gender]]="Male", MediCare_Data[[#This Row],[Treatment_Type]]="Maternity"), "Gender-Treatment Mismatch", "Fine")</f>
        <v>Fine</v>
      </c>
      <c r="R928" s="10">
        <f>MediCare_Data[[#This Row],[Revenue_Generated]]-MediCare_Data[[#This Row],[Average_Treatment_Cost]]</f>
        <v>6702</v>
      </c>
      <c r="S928" s="3">
        <f>(MediCare_Data[[#This Row],[Profit]]/MediCare_Data[[#This Row],[Revenue_Generated]])</f>
        <v>0.54004834810636582</v>
      </c>
    </row>
    <row r="929" spans="1:19" x14ac:dyDescent="0.25">
      <c r="A929" t="s">
        <v>976</v>
      </c>
      <c r="B929" t="s">
        <v>45</v>
      </c>
      <c r="C929" t="s">
        <v>29</v>
      </c>
      <c r="D929" t="s">
        <v>21</v>
      </c>
      <c r="E929">
        <v>45</v>
      </c>
      <c r="F929" t="str">
        <f>IF(MediCare_Data[[#This Row],[Patient_Age]]&lt;=18,"0-18",IF(MediCare_Data[[#This Row],[Patient_Age]]&lt;=35,"19-35",IF(MediCare_Data[[#This Row],[Patient_Age]]&lt;=60,"36-60","60+")))</f>
        <v>36-60</v>
      </c>
      <c r="G929" t="s">
        <v>22</v>
      </c>
      <c r="H929" t="s">
        <v>23</v>
      </c>
      <c r="I929" s="2">
        <v>66</v>
      </c>
      <c r="J929" s="11">
        <v>7424</v>
      </c>
      <c r="K929" s="3">
        <v>17.413209599999998</v>
      </c>
      <c r="L929" s="3">
        <f t="shared" si="14"/>
        <v>0.17413209599999999</v>
      </c>
      <c r="M929">
        <v>121</v>
      </c>
      <c r="N929" s="6">
        <f>MediCare_Data[[#This Row],[Average_Wait_Time (mins)]]/1440</f>
        <v>8.4027777777777785E-2</v>
      </c>
      <c r="O929" s="2">
        <v>2</v>
      </c>
      <c r="P929" s="10">
        <v>20522</v>
      </c>
      <c r="Q929" s="17" t="str">
        <f>IF(AND(MediCare_Data[[#This Row],[Patient_Gender]]="Male", MediCare_Data[[#This Row],[Treatment_Type]]="Maternity"), "Gender-Treatment Mismatch", "Fine")</f>
        <v>Fine</v>
      </c>
      <c r="R929" s="10">
        <f>MediCare_Data[[#This Row],[Revenue_Generated]]-MediCare_Data[[#This Row],[Average_Treatment_Cost]]</f>
        <v>13098</v>
      </c>
      <c r="S929" s="3">
        <f>(MediCare_Data[[#This Row],[Profit]]/MediCare_Data[[#This Row],[Revenue_Generated]])</f>
        <v>0.63824188675567683</v>
      </c>
    </row>
    <row r="930" spans="1:19" x14ac:dyDescent="0.25">
      <c r="A930" t="s">
        <v>977</v>
      </c>
      <c r="B930" t="s">
        <v>58</v>
      </c>
      <c r="C930" t="s">
        <v>54</v>
      </c>
      <c r="D930" t="s">
        <v>32</v>
      </c>
      <c r="E930">
        <v>78</v>
      </c>
      <c r="F930" t="str">
        <f>IF(MediCare_Data[[#This Row],[Patient_Age]]&lt;=18,"0-18",IF(MediCare_Data[[#This Row],[Patient_Age]]&lt;=35,"19-35",IF(MediCare_Data[[#This Row],[Patient_Age]]&lt;=60,"36-60","60+")))</f>
        <v>60+</v>
      </c>
      <c r="G930" t="s">
        <v>17</v>
      </c>
      <c r="H930" t="s">
        <v>47</v>
      </c>
      <c r="I930" s="2">
        <v>75</v>
      </c>
      <c r="J930" s="11">
        <v>4328</v>
      </c>
      <c r="K930" s="3">
        <v>9.0262421560000003</v>
      </c>
      <c r="L930" s="3">
        <f t="shared" si="14"/>
        <v>9.026242156E-2</v>
      </c>
      <c r="M930">
        <v>160</v>
      </c>
      <c r="N930" s="6">
        <f>MediCare_Data[[#This Row],[Average_Wait_Time (mins)]]/1440</f>
        <v>0.1111111111111111</v>
      </c>
      <c r="O930" s="2">
        <v>4</v>
      </c>
      <c r="P930" s="10">
        <v>10095</v>
      </c>
      <c r="Q930" s="17" t="str">
        <f>IF(AND(MediCare_Data[[#This Row],[Patient_Gender]]="Male", MediCare_Data[[#This Row],[Treatment_Type]]="Maternity"), "Gender-Treatment Mismatch", "Fine")</f>
        <v>Fine</v>
      </c>
      <c r="R930" s="10">
        <f>MediCare_Data[[#This Row],[Revenue_Generated]]-MediCare_Data[[#This Row],[Average_Treatment_Cost]]</f>
        <v>5767</v>
      </c>
      <c r="S930" s="3">
        <f>(MediCare_Data[[#This Row],[Profit]]/MediCare_Data[[#This Row],[Revenue_Generated]])</f>
        <v>0.571272907379891</v>
      </c>
    </row>
    <row r="931" spans="1:19" x14ac:dyDescent="0.25">
      <c r="A931" t="s">
        <v>978</v>
      </c>
      <c r="B931" t="s">
        <v>82</v>
      </c>
      <c r="C931" t="s">
        <v>42</v>
      </c>
      <c r="D931" t="s">
        <v>32</v>
      </c>
      <c r="E931">
        <v>58</v>
      </c>
      <c r="F931" t="str">
        <f>IF(MediCare_Data[[#This Row],[Patient_Age]]&lt;=18,"0-18",IF(MediCare_Data[[#This Row],[Patient_Age]]&lt;=35,"19-35",IF(MediCare_Data[[#This Row],[Patient_Age]]&lt;=60,"36-60","60+")))</f>
        <v>36-60</v>
      </c>
      <c r="G931" t="s">
        <v>43</v>
      </c>
      <c r="H931" t="s">
        <v>37</v>
      </c>
      <c r="I931" s="2">
        <v>85</v>
      </c>
      <c r="J931" s="11">
        <v>3730</v>
      </c>
      <c r="K931" s="3">
        <v>12.902754870000001</v>
      </c>
      <c r="L931" s="3">
        <f t="shared" si="14"/>
        <v>0.12902754869999999</v>
      </c>
      <c r="M931">
        <v>54</v>
      </c>
      <c r="N931" s="6">
        <f>MediCare_Data[[#This Row],[Average_Wait_Time (mins)]]/1440</f>
        <v>3.7499999999999999E-2</v>
      </c>
      <c r="O931" s="2">
        <v>2</v>
      </c>
      <c r="P931" s="10">
        <v>24047</v>
      </c>
      <c r="Q931" s="17" t="str">
        <f>IF(AND(MediCare_Data[[#This Row],[Patient_Gender]]="Male", MediCare_Data[[#This Row],[Treatment_Type]]="Maternity"), "Gender-Treatment Mismatch", "Fine")</f>
        <v>Fine</v>
      </c>
      <c r="R931" s="10">
        <f>MediCare_Data[[#This Row],[Revenue_Generated]]-MediCare_Data[[#This Row],[Average_Treatment_Cost]]</f>
        <v>20317</v>
      </c>
      <c r="S931" s="3">
        <f>(MediCare_Data[[#This Row],[Profit]]/MediCare_Data[[#This Row],[Revenue_Generated]])</f>
        <v>0.84488709610346402</v>
      </c>
    </row>
    <row r="932" spans="1:19" x14ac:dyDescent="0.25">
      <c r="A932" t="s">
        <v>979</v>
      </c>
      <c r="B932" t="s">
        <v>61</v>
      </c>
      <c r="C932" t="s">
        <v>15</v>
      </c>
      <c r="D932" t="s">
        <v>16</v>
      </c>
      <c r="E932">
        <v>19</v>
      </c>
      <c r="F932" t="str">
        <f>IF(MediCare_Data[[#This Row],[Patient_Age]]&lt;=18,"0-18",IF(MediCare_Data[[#This Row],[Patient_Age]]&lt;=35,"19-35",IF(MediCare_Data[[#This Row],[Patient_Age]]&lt;=60,"36-60","60+")))</f>
        <v>19-35</v>
      </c>
      <c r="G932" t="s">
        <v>22</v>
      </c>
      <c r="H932" t="s">
        <v>33</v>
      </c>
      <c r="I932" s="2">
        <v>50</v>
      </c>
      <c r="J932" s="11">
        <v>988</v>
      </c>
      <c r="K932" s="3">
        <v>5.7891906579999999</v>
      </c>
      <c r="L932" s="3">
        <f t="shared" si="14"/>
        <v>5.7891906579999999E-2</v>
      </c>
      <c r="M932">
        <v>154</v>
      </c>
      <c r="N932" s="6">
        <f>MediCare_Data[[#This Row],[Average_Wait_Time (mins)]]/1440</f>
        <v>0.10694444444444444</v>
      </c>
      <c r="O932" s="2">
        <v>2</v>
      </c>
      <c r="P932" s="10">
        <v>21470</v>
      </c>
      <c r="Q932" s="17" t="str">
        <f>IF(AND(MediCare_Data[[#This Row],[Patient_Gender]]="Male", MediCare_Data[[#This Row],[Treatment_Type]]="Maternity"), "Gender-Treatment Mismatch", "Fine")</f>
        <v>Fine</v>
      </c>
      <c r="R932" s="10">
        <f>MediCare_Data[[#This Row],[Revenue_Generated]]-MediCare_Data[[#This Row],[Average_Treatment_Cost]]</f>
        <v>20482</v>
      </c>
      <c r="S932" s="3">
        <f>(MediCare_Data[[#This Row],[Profit]]/MediCare_Data[[#This Row],[Revenue_Generated]])</f>
        <v>0.95398230088495573</v>
      </c>
    </row>
    <row r="933" spans="1:19" x14ac:dyDescent="0.25">
      <c r="A933" t="s">
        <v>980</v>
      </c>
      <c r="B933" t="s">
        <v>35</v>
      </c>
      <c r="C933" t="s">
        <v>42</v>
      </c>
      <c r="D933" t="s">
        <v>21</v>
      </c>
      <c r="E933">
        <v>8</v>
      </c>
      <c r="F933" t="str">
        <f>IF(MediCare_Data[[#This Row],[Patient_Age]]&lt;=18,"0-18",IF(MediCare_Data[[#This Row],[Patient_Age]]&lt;=35,"19-35",IF(MediCare_Data[[#This Row],[Patient_Age]]&lt;=60,"36-60","60+")))</f>
        <v>0-18</v>
      </c>
      <c r="G933" t="s">
        <v>17</v>
      </c>
      <c r="H933" t="s">
        <v>33</v>
      </c>
      <c r="I933" s="2">
        <v>57</v>
      </c>
      <c r="J933" s="11">
        <v>7614</v>
      </c>
      <c r="K933" s="3">
        <v>14.51092075</v>
      </c>
      <c r="L933" s="3">
        <f t="shared" si="14"/>
        <v>0.1451092075</v>
      </c>
      <c r="M933">
        <v>113</v>
      </c>
      <c r="N933" s="6">
        <f>MediCare_Data[[#This Row],[Average_Wait_Time (mins)]]/1440</f>
        <v>7.8472222222222221E-2</v>
      </c>
      <c r="O933" s="2">
        <v>2</v>
      </c>
      <c r="P933" s="10">
        <v>44129</v>
      </c>
      <c r="Q933" s="17" t="str">
        <f>IF(AND(MediCare_Data[[#This Row],[Patient_Gender]]="Male", MediCare_Data[[#This Row],[Treatment_Type]]="Maternity"), "Gender-Treatment Mismatch", "Fine")</f>
        <v>Fine</v>
      </c>
      <c r="R933" s="10">
        <f>MediCare_Data[[#This Row],[Revenue_Generated]]-MediCare_Data[[#This Row],[Average_Treatment_Cost]]</f>
        <v>36515</v>
      </c>
      <c r="S933" s="3">
        <f>(MediCare_Data[[#This Row],[Profit]]/MediCare_Data[[#This Row],[Revenue_Generated]])</f>
        <v>0.82746040019035105</v>
      </c>
    </row>
    <row r="934" spans="1:19" x14ac:dyDescent="0.25">
      <c r="A934" t="s">
        <v>981</v>
      </c>
      <c r="B934" t="s">
        <v>41</v>
      </c>
      <c r="C934" t="s">
        <v>29</v>
      </c>
      <c r="D934" t="s">
        <v>16</v>
      </c>
      <c r="E934">
        <v>85</v>
      </c>
      <c r="F934" t="str">
        <f>IF(MediCare_Data[[#This Row],[Patient_Age]]&lt;=18,"0-18",IF(MediCare_Data[[#This Row],[Patient_Age]]&lt;=35,"19-35",IF(MediCare_Data[[#This Row],[Patient_Age]]&lt;=60,"36-60","60+")))</f>
        <v>60+</v>
      </c>
      <c r="G934" t="s">
        <v>22</v>
      </c>
      <c r="H934" t="s">
        <v>37</v>
      </c>
      <c r="I934" s="2">
        <v>98</v>
      </c>
      <c r="J934" s="11">
        <v>3673</v>
      </c>
      <c r="K934" s="3">
        <v>15.860491680000001</v>
      </c>
      <c r="L934" s="3">
        <f t="shared" si="14"/>
        <v>0.1586049168</v>
      </c>
      <c r="M934">
        <v>94</v>
      </c>
      <c r="N934" s="6">
        <f>MediCare_Data[[#This Row],[Average_Wait_Time (mins)]]/1440</f>
        <v>6.5277777777777782E-2</v>
      </c>
      <c r="O934" s="2">
        <v>1</v>
      </c>
      <c r="P934" s="10">
        <v>9531</v>
      </c>
      <c r="Q934" s="17" t="str">
        <f>IF(AND(MediCare_Data[[#This Row],[Patient_Gender]]="Male", MediCare_Data[[#This Row],[Treatment_Type]]="Maternity"), "Gender-Treatment Mismatch", "Fine")</f>
        <v>Gender-Treatment Mismatch</v>
      </c>
      <c r="R934" s="10">
        <f>MediCare_Data[[#This Row],[Revenue_Generated]]-MediCare_Data[[#This Row],[Average_Treatment_Cost]]</f>
        <v>5858</v>
      </c>
      <c r="S934" s="3">
        <f>(MediCare_Data[[#This Row],[Profit]]/MediCare_Data[[#This Row],[Revenue_Generated]])</f>
        <v>0.61462595740216142</v>
      </c>
    </row>
    <row r="935" spans="1:19" x14ac:dyDescent="0.25">
      <c r="A935" t="s">
        <v>982</v>
      </c>
      <c r="B935" t="s">
        <v>49</v>
      </c>
      <c r="C935" t="s">
        <v>36</v>
      </c>
      <c r="D935" t="s">
        <v>32</v>
      </c>
      <c r="E935">
        <v>26</v>
      </c>
      <c r="F935" t="str">
        <f>IF(MediCare_Data[[#This Row],[Patient_Age]]&lt;=18,"0-18",IF(MediCare_Data[[#This Row],[Patient_Age]]&lt;=35,"19-35",IF(MediCare_Data[[#This Row],[Patient_Age]]&lt;=60,"36-60","60+")))</f>
        <v>19-35</v>
      </c>
      <c r="G935" t="s">
        <v>26</v>
      </c>
      <c r="H935" t="s">
        <v>18</v>
      </c>
      <c r="I935" s="2">
        <v>84</v>
      </c>
      <c r="J935" s="11">
        <v>2167</v>
      </c>
      <c r="K935" s="3">
        <v>9.554994722</v>
      </c>
      <c r="L935" s="3">
        <f t="shared" si="14"/>
        <v>9.5549947220000001E-2</v>
      </c>
      <c r="M935">
        <v>143</v>
      </c>
      <c r="N935" s="6">
        <f>MediCare_Data[[#This Row],[Average_Wait_Time (mins)]]/1440</f>
        <v>9.930555555555555E-2</v>
      </c>
      <c r="O935" s="2">
        <v>2</v>
      </c>
      <c r="P935" s="10">
        <v>38038</v>
      </c>
      <c r="Q935" s="17" t="str">
        <f>IF(AND(MediCare_Data[[#This Row],[Patient_Gender]]="Male", MediCare_Data[[#This Row],[Treatment_Type]]="Maternity"), "Gender-Treatment Mismatch", "Fine")</f>
        <v>Fine</v>
      </c>
      <c r="R935" s="10">
        <f>MediCare_Data[[#This Row],[Revenue_Generated]]-MediCare_Data[[#This Row],[Average_Treatment_Cost]]</f>
        <v>35871</v>
      </c>
      <c r="S935" s="3">
        <f>(MediCare_Data[[#This Row],[Profit]]/MediCare_Data[[#This Row],[Revenue_Generated]])</f>
        <v>0.94303065355696936</v>
      </c>
    </row>
    <row r="936" spans="1:19" x14ac:dyDescent="0.25">
      <c r="A936" t="s">
        <v>983</v>
      </c>
      <c r="B936" t="s">
        <v>56</v>
      </c>
      <c r="C936" t="s">
        <v>42</v>
      </c>
      <c r="D936" t="s">
        <v>16</v>
      </c>
      <c r="E936">
        <v>56</v>
      </c>
      <c r="F936" t="str">
        <f>IF(MediCare_Data[[#This Row],[Patient_Age]]&lt;=18,"0-18",IF(MediCare_Data[[#This Row],[Patient_Age]]&lt;=35,"19-35",IF(MediCare_Data[[#This Row],[Patient_Age]]&lt;=60,"36-60","60+")))</f>
        <v>36-60</v>
      </c>
      <c r="G936" t="s">
        <v>17</v>
      </c>
      <c r="H936" t="s">
        <v>51</v>
      </c>
      <c r="I936" s="2">
        <v>64</v>
      </c>
      <c r="J936" s="11">
        <v>4614</v>
      </c>
      <c r="K936" s="3">
        <v>24.28057694</v>
      </c>
      <c r="L936" s="3">
        <f t="shared" si="14"/>
        <v>0.24280576939999998</v>
      </c>
      <c r="M936">
        <v>117</v>
      </c>
      <c r="N936" s="6">
        <f>MediCare_Data[[#This Row],[Average_Wait_Time (mins)]]/1440</f>
        <v>8.1250000000000003E-2</v>
      </c>
      <c r="O936" s="2">
        <v>4</v>
      </c>
      <c r="P936" s="10">
        <v>23403</v>
      </c>
      <c r="Q936" s="17" t="str">
        <f>IF(AND(MediCare_Data[[#This Row],[Patient_Gender]]="Male", MediCare_Data[[#This Row],[Treatment_Type]]="Maternity"), "Gender-Treatment Mismatch", "Fine")</f>
        <v>Fine</v>
      </c>
      <c r="R936" s="10">
        <f>MediCare_Data[[#This Row],[Revenue_Generated]]-MediCare_Data[[#This Row],[Average_Treatment_Cost]]</f>
        <v>18789</v>
      </c>
      <c r="S936" s="3">
        <f>(MediCare_Data[[#This Row],[Profit]]/MediCare_Data[[#This Row],[Revenue_Generated]])</f>
        <v>0.80284578900141013</v>
      </c>
    </row>
    <row r="937" spans="1:19" x14ac:dyDescent="0.25">
      <c r="A937" t="s">
        <v>984</v>
      </c>
      <c r="B937" t="s">
        <v>25</v>
      </c>
      <c r="C937" t="s">
        <v>36</v>
      </c>
      <c r="D937" t="s">
        <v>16</v>
      </c>
      <c r="E937">
        <v>62</v>
      </c>
      <c r="F937" t="str">
        <f>IF(MediCare_Data[[#This Row],[Patient_Age]]&lt;=18,"0-18",IF(MediCare_Data[[#This Row],[Patient_Age]]&lt;=35,"19-35",IF(MediCare_Data[[#This Row],[Patient_Age]]&lt;=60,"36-60","60+")))</f>
        <v>60+</v>
      </c>
      <c r="G937" t="s">
        <v>17</v>
      </c>
      <c r="H937" t="s">
        <v>47</v>
      </c>
      <c r="I937" s="2">
        <v>96</v>
      </c>
      <c r="J937" s="11">
        <v>4053</v>
      </c>
      <c r="K937" s="3">
        <v>23.189092219999999</v>
      </c>
      <c r="L937" s="3">
        <f t="shared" si="14"/>
        <v>0.23189092219999999</v>
      </c>
      <c r="M937">
        <v>27</v>
      </c>
      <c r="N937" s="6">
        <f>MediCare_Data[[#This Row],[Average_Wait_Time (mins)]]/1440</f>
        <v>1.8749999999999999E-2</v>
      </c>
      <c r="O937" s="2">
        <v>4</v>
      </c>
      <c r="P937" s="10">
        <v>43674</v>
      </c>
      <c r="Q937" s="17" t="str">
        <f>IF(AND(MediCare_Data[[#This Row],[Patient_Gender]]="Male", MediCare_Data[[#This Row],[Treatment_Type]]="Maternity"), "Gender-Treatment Mismatch", "Fine")</f>
        <v>Fine</v>
      </c>
      <c r="R937" s="10">
        <f>MediCare_Data[[#This Row],[Revenue_Generated]]-MediCare_Data[[#This Row],[Average_Treatment_Cost]]</f>
        <v>39621</v>
      </c>
      <c r="S937" s="3">
        <f>(MediCare_Data[[#This Row],[Profit]]/MediCare_Data[[#This Row],[Revenue_Generated]])</f>
        <v>0.90719879104272561</v>
      </c>
    </row>
    <row r="938" spans="1:19" x14ac:dyDescent="0.25">
      <c r="A938" t="s">
        <v>985</v>
      </c>
      <c r="B938" t="s">
        <v>41</v>
      </c>
      <c r="C938" t="s">
        <v>42</v>
      </c>
      <c r="D938" t="s">
        <v>16</v>
      </c>
      <c r="E938">
        <v>25</v>
      </c>
      <c r="F938" t="str">
        <f>IF(MediCare_Data[[#This Row],[Patient_Age]]&lt;=18,"0-18",IF(MediCare_Data[[#This Row],[Patient_Age]]&lt;=35,"19-35",IF(MediCare_Data[[#This Row],[Patient_Age]]&lt;=60,"36-60","60+")))</f>
        <v>19-35</v>
      </c>
      <c r="G938" t="s">
        <v>43</v>
      </c>
      <c r="H938" t="s">
        <v>47</v>
      </c>
      <c r="I938" s="2">
        <v>71</v>
      </c>
      <c r="J938" s="11">
        <v>8261</v>
      </c>
      <c r="K938" s="3">
        <v>19.442864709999998</v>
      </c>
      <c r="L938" s="3">
        <f t="shared" si="14"/>
        <v>0.19442864709999999</v>
      </c>
      <c r="M938">
        <v>103</v>
      </c>
      <c r="N938" s="6">
        <f>MediCare_Data[[#This Row],[Average_Wait_Time (mins)]]/1440</f>
        <v>7.1527777777777773E-2</v>
      </c>
      <c r="O938" s="2">
        <v>4</v>
      </c>
      <c r="P938" s="10">
        <v>30122</v>
      </c>
      <c r="Q938" s="17" t="str">
        <f>IF(AND(MediCare_Data[[#This Row],[Patient_Gender]]="Male", MediCare_Data[[#This Row],[Treatment_Type]]="Maternity"), "Gender-Treatment Mismatch", "Fine")</f>
        <v>Fine</v>
      </c>
      <c r="R938" s="10">
        <f>MediCare_Data[[#This Row],[Revenue_Generated]]-MediCare_Data[[#This Row],[Average_Treatment_Cost]]</f>
        <v>21861</v>
      </c>
      <c r="S938" s="3">
        <f>(MediCare_Data[[#This Row],[Profit]]/MediCare_Data[[#This Row],[Revenue_Generated]])</f>
        <v>0.72574862226943759</v>
      </c>
    </row>
    <row r="939" spans="1:19" x14ac:dyDescent="0.25">
      <c r="A939" t="s">
        <v>986</v>
      </c>
      <c r="B939" t="s">
        <v>25</v>
      </c>
      <c r="C939" t="s">
        <v>15</v>
      </c>
      <c r="D939" t="s">
        <v>21</v>
      </c>
      <c r="E939">
        <v>7</v>
      </c>
      <c r="F939" t="str">
        <f>IF(MediCare_Data[[#This Row],[Patient_Age]]&lt;=18,"0-18",IF(MediCare_Data[[#This Row],[Patient_Age]]&lt;=35,"19-35",IF(MediCare_Data[[#This Row],[Patient_Age]]&lt;=60,"36-60","60+")))</f>
        <v>0-18</v>
      </c>
      <c r="G939" t="s">
        <v>17</v>
      </c>
      <c r="H939" t="s">
        <v>18</v>
      </c>
      <c r="I939" s="2">
        <v>63</v>
      </c>
      <c r="J939" s="11">
        <v>1500</v>
      </c>
      <c r="K939" s="3">
        <v>15.667732579999999</v>
      </c>
      <c r="L939" s="3">
        <f t="shared" si="14"/>
        <v>0.15667732579999999</v>
      </c>
      <c r="M939">
        <v>159</v>
      </c>
      <c r="N939" s="6">
        <f>MediCare_Data[[#This Row],[Average_Wait_Time (mins)]]/1440</f>
        <v>0.11041666666666666</v>
      </c>
      <c r="O939" s="2">
        <v>2</v>
      </c>
      <c r="P939" s="10">
        <v>17940</v>
      </c>
      <c r="Q939" s="17" t="str">
        <f>IF(AND(MediCare_Data[[#This Row],[Patient_Gender]]="Male", MediCare_Data[[#This Row],[Treatment_Type]]="Maternity"), "Gender-Treatment Mismatch", "Fine")</f>
        <v>Fine</v>
      </c>
      <c r="R939" s="10">
        <f>MediCare_Data[[#This Row],[Revenue_Generated]]-MediCare_Data[[#This Row],[Average_Treatment_Cost]]</f>
        <v>16440</v>
      </c>
      <c r="S939" s="3">
        <f>(MediCare_Data[[#This Row],[Profit]]/MediCare_Data[[#This Row],[Revenue_Generated]])</f>
        <v>0.91638795986622068</v>
      </c>
    </row>
    <row r="940" spans="1:19" x14ac:dyDescent="0.25">
      <c r="A940" t="s">
        <v>987</v>
      </c>
      <c r="B940" t="s">
        <v>61</v>
      </c>
      <c r="C940" t="s">
        <v>31</v>
      </c>
      <c r="D940" t="s">
        <v>21</v>
      </c>
      <c r="E940">
        <v>69</v>
      </c>
      <c r="F940" t="str">
        <f>IF(MediCare_Data[[#This Row],[Patient_Age]]&lt;=18,"0-18",IF(MediCare_Data[[#This Row],[Patient_Age]]&lt;=35,"19-35",IF(MediCare_Data[[#This Row],[Patient_Age]]&lt;=60,"36-60","60+")))</f>
        <v>60+</v>
      </c>
      <c r="G940" t="s">
        <v>26</v>
      </c>
      <c r="H940" t="s">
        <v>47</v>
      </c>
      <c r="I940" s="2">
        <v>75</v>
      </c>
      <c r="J940" s="11">
        <v>9542</v>
      </c>
      <c r="K940" s="3">
        <v>22.399383190000002</v>
      </c>
      <c r="L940" s="3">
        <f t="shared" si="14"/>
        <v>0.22399383190000002</v>
      </c>
      <c r="M940">
        <v>42</v>
      </c>
      <c r="N940" s="6">
        <f>MediCare_Data[[#This Row],[Average_Wait_Time (mins)]]/1440</f>
        <v>2.9166666666666667E-2</v>
      </c>
      <c r="O940" s="2">
        <v>3</v>
      </c>
      <c r="P940" s="10">
        <v>30831</v>
      </c>
      <c r="Q940" s="17" t="str">
        <f>IF(AND(MediCare_Data[[#This Row],[Patient_Gender]]="Male", MediCare_Data[[#This Row],[Treatment_Type]]="Maternity"), "Gender-Treatment Mismatch", "Fine")</f>
        <v>Fine</v>
      </c>
      <c r="R940" s="10">
        <f>MediCare_Data[[#This Row],[Revenue_Generated]]-MediCare_Data[[#This Row],[Average_Treatment_Cost]]</f>
        <v>21289</v>
      </c>
      <c r="S940" s="3">
        <f>(MediCare_Data[[#This Row],[Profit]]/MediCare_Data[[#This Row],[Revenue_Generated]])</f>
        <v>0.69050630858551454</v>
      </c>
    </row>
    <row r="941" spans="1:19" x14ac:dyDescent="0.25">
      <c r="A941" t="s">
        <v>988</v>
      </c>
      <c r="B941" t="s">
        <v>82</v>
      </c>
      <c r="C941" t="s">
        <v>46</v>
      </c>
      <c r="D941" t="s">
        <v>32</v>
      </c>
      <c r="E941">
        <v>88</v>
      </c>
      <c r="F941" t="str">
        <f>IF(MediCare_Data[[#This Row],[Patient_Age]]&lt;=18,"0-18",IF(MediCare_Data[[#This Row],[Patient_Age]]&lt;=35,"19-35",IF(MediCare_Data[[#This Row],[Patient_Age]]&lt;=60,"36-60","60+")))</f>
        <v>60+</v>
      </c>
      <c r="G941" t="s">
        <v>17</v>
      </c>
      <c r="H941" t="s">
        <v>51</v>
      </c>
      <c r="I941" s="2">
        <v>77</v>
      </c>
      <c r="J941" s="11">
        <v>1888</v>
      </c>
      <c r="K941" s="3">
        <v>7.6130468760000003</v>
      </c>
      <c r="L941" s="3">
        <f t="shared" si="14"/>
        <v>7.613046876E-2</v>
      </c>
      <c r="M941">
        <v>167</v>
      </c>
      <c r="N941" s="6">
        <f>MediCare_Data[[#This Row],[Average_Wait_Time (mins)]]/1440</f>
        <v>0.11597222222222223</v>
      </c>
      <c r="O941" s="2">
        <v>3</v>
      </c>
      <c r="P941" s="10">
        <v>12279</v>
      </c>
      <c r="Q941" s="17" t="str">
        <f>IF(AND(MediCare_Data[[#This Row],[Patient_Gender]]="Male", MediCare_Data[[#This Row],[Treatment_Type]]="Maternity"), "Gender-Treatment Mismatch", "Fine")</f>
        <v>Fine</v>
      </c>
      <c r="R941" s="10">
        <f>MediCare_Data[[#This Row],[Revenue_Generated]]-MediCare_Data[[#This Row],[Average_Treatment_Cost]]</f>
        <v>10391</v>
      </c>
      <c r="S941" s="3">
        <f>(MediCare_Data[[#This Row],[Profit]]/MediCare_Data[[#This Row],[Revenue_Generated]])</f>
        <v>0.84624155061487094</v>
      </c>
    </row>
    <row r="942" spans="1:19" x14ac:dyDescent="0.25">
      <c r="A942" t="s">
        <v>989</v>
      </c>
      <c r="B942" t="s">
        <v>64</v>
      </c>
      <c r="C942" t="s">
        <v>29</v>
      </c>
      <c r="D942" t="s">
        <v>16</v>
      </c>
      <c r="E942">
        <v>41</v>
      </c>
      <c r="F942" t="str">
        <f>IF(MediCare_Data[[#This Row],[Patient_Age]]&lt;=18,"0-18",IF(MediCare_Data[[#This Row],[Patient_Age]]&lt;=35,"19-35",IF(MediCare_Data[[#This Row],[Patient_Age]]&lt;=60,"36-60","60+")))</f>
        <v>36-60</v>
      </c>
      <c r="G942" t="s">
        <v>17</v>
      </c>
      <c r="H942" t="s">
        <v>23</v>
      </c>
      <c r="I942" s="2">
        <v>72</v>
      </c>
      <c r="J942" s="11">
        <v>5950</v>
      </c>
      <c r="K942" s="3">
        <v>20.810195889999999</v>
      </c>
      <c r="L942" s="3">
        <f t="shared" si="14"/>
        <v>0.20810195889999999</v>
      </c>
      <c r="M942">
        <v>135</v>
      </c>
      <c r="N942" s="6">
        <f>MediCare_Data[[#This Row],[Average_Wait_Time (mins)]]/1440</f>
        <v>9.375E-2</v>
      </c>
      <c r="O942" s="2">
        <v>4</v>
      </c>
      <c r="P942" s="10">
        <v>39220</v>
      </c>
      <c r="Q942" s="17" t="str">
        <f>IF(AND(MediCare_Data[[#This Row],[Patient_Gender]]="Male", MediCare_Data[[#This Row],[Treatment_Type]]="Maternity"), "Gender-Treatment Mismatch", "Fine")</f>
        <v>Fine</v>
      </c>
      <c r="R942" s="10">
        <f>MediCare_Data[[#This Row],[Revenue_Generated]]-MediCare_Data[[#This Row],[Average_Treatment_Cost]]</f>
        <v>33270</v>
      </c>
      <c r="S942" s="3">
        <f>(MediCare_Data[[#This Row],[Profit]]/MediCare_Data[[#This Row],[Revenue_Generated]])</f>
        <v>0.84829168791432941</v>
      </c>
    </row>
    <row r="943" spans="1:19" x14ac:dyDescent="0.25">
      <c r="A943" t="s">
        <v>990</v>
      </c>
      <c r="B943" t="s">
        <v>35</v>
      </c>
      <c r="C943" t="s">
        <v>29</v>
      </c>
      <c r="D943" t="s">
        <v>21</v>
      </c>
      <c r="E943">
        <v>27</v>
      </c>
      <c r="F943" t="str">
        <f>IF(MediCare_Data[[#This Row],[Patient_Age]]&lt;=18,"0-18",IF(MediCare_Data[[#This Row],[Patient_Age]]&lt;=35,"19-35",IF(MediCare_Data[[#This Row],[Patient_Age]]&lt;=60,"36-60","60+")))</f>
        <v>19-35</v>
      </c>
      <c r="G943" t="s">
        <v>26</v>
      </c>
      <c r="H943" t="s">
        <v>23</v>
      </c>
      <c r="I943" s="2">
        <v>63</v>
      </c>
      <c r="J943" s="11">
        <v>4212</v>
      </c>
      <c r="K943" s="3">
        <v>7.496416279</v>
      </c>
      <c r="L943" s="3">
        <f t="shared" si="14"/>
        <v>7.4964162789999997E-2</v>
      </c>
      <c r="M943">
        <v>169</v>
      </c>
      <c r="N943" s="6">
        <f>MediCare_Data[[#This Row],[Average_Wait_Time (mins)]]/1440</f>
        <v>0.11736111111111111</v>
      </c>
      <c r="O943" s="2">
        <v>1</v>
      </c>
      <c r="P943" s="10">
        <v>7477</v>
      </c>
      <c r="Q943" s="17" t="str">
        <f>IF(AND(MediCare_Data[[#This Row],[Patient_Gender]]="Male", MediCare_Data[[#This Row],[Treatment_Type]]="Maternity"), "Gender-Treatment Mismatch", "Fine")</f>
        <v>Fine</v>
      </c>
      <c r="R943" s="10">
        <f>MediCare_Data[[#This Row],[Revenue_Generated]]-MediCare_Data[[#This Row],[Average_Treatment_Cost]]</f>
        <v>3265</v>
      </c>
      <c r="S943" s="3">
        <f>(MediCare_Data[[#This Row],[Profit]]/MediCare_Data[[#This Row],[Revenue_Generated]])</f>
        <v>0.43667246221746692</v>
      </c>
    </row>
    <row r="944" spans="1:19" x14ac:dyDescent="0.25">
      <c r="A944" t="s">
        <v>991</v>
      </c>
      <c r="B944" t="s">
        <v>39</v>
      </c>
      <c r="C944" t="s">
        <v>15</v>
      </c>
      <c r="D944" t="s">
        <v>32</v>
      </c>
      <c r="E944">
        <v>43</v>
      </c>
      <c r="F944" t="str">
        <f>IF(MediCare_Data[[#This Row],[Patient_Age]]&lt;=18,"0-18",IF(MediCare_Data[[#This Row],[Patient_Age]]&lt;=35,"19-35",IF(MediCare_Data[[#This Row],[Patient_Age]]&lt;=60,"36-60","60+")))</f>
        <v>36-60</v>
      </c>
      <c r="G944" t="s">
        <v>22</v>
      </c>
      <c r="H944" t="s">
        <v>33</v>
      </c>
      <c r="I944" s="2">
        <v>73</v>
      </c>
      <c r="J944" s="11">
        <v>1867</v>
      </c>
      <c r="K944" s="3">
        <v>20.884213249999998</v>
      </c>
      <c r="L944" s="3">
        <f t="shared" si="14"/>
        <v>0.20884213249999997</v>
      </c>
      <c r="M944">
        <v>179</v>
      </c>
      <c r="N944" s="6">
        <f>MediCare_Data[[#This Row],[Average_Wait_Time (mins)]]/1440</f>
        <v>0.12430555555555556</v>
      </c>
      <c r="O944" s="2">
        <v>3</v>
      </c>
      <c r="P944" s="10">
        <v>18400</v>
      </c>
      <c r="Q944" s="17" t="str">
        <f>IF(AND(MediCare_Data[[#This Row],[Patient_Gender]]="Male", MediCare_Data[[#This Row],[Treatment_Type]]="Maternity"), "Gender-Treatment Mismatch", "Fine")</f>
        <v>Fine</v>
      </c>
      <c r="R944" s="10">
        <f>MediCare_Data[[#This Row],[Revenue_Generated]]-MediCare_Data[[#This Row],[Average_Treatment_Cost]]</f>
        <v>16533</v>
      </c>
      <c r="S944" s="3">
        <f>(MediCare_Data[[#This Row],[Profit]]/MediCare_Data[[#This Row],[Revenue_Generated]])</f>
        <v>0.89853260869565221</v>
      </c>
    </row>
    <row r="945" spans="1:19" x14ac:dyDescent="0.25">
      <c r="A945" t="s">
        <v>992</v>
      </c>
      <c r="B945" t="s">
        <v>58</v>
      </c>
      <c r="C945" t="s">
        <v>20</v>
      </c>
      <c r="D945" t="s">
        <v>21</v>
      </c>
      <c r="E945">
        <v>20</v>
      </c>
      <c r="F945" t="str">
        <f>IF(MediCare_Data[[#This Row],[Patient_Age]]&lt;=18,"0-18",IF(MediCare_Data[[#This Row],[Patient_Age]]&lt;=35,"19-35",IF(MediCare_Data[[#This Row],[Patient_Age]]&lt;=60,"36-60","60+")))</f>
        <v>19-35</v>
      </c>
      <c r="G945" t="s">
        <v>22</v>
      </c>
      <c r="H945" t="s">
        <v>51</v>
      </c>
      <c r="I945" s="2">
        <v>51</v>
      </c>
      <c r="J945" s="11">
        <v>8689</v>
      </c>
      <c r="K945" s="3">
        <v>10.515351369999999</v>
      </c>
      <c r="L945" s="3">
        <f t="shared" si="14"/>
        <v>0.10515351369999999</v>
      </c>
      <c r="M945">
        <v>131</v>
      </c>
      <c r="N945" s="6">
        <f>MediCare_Data[[#This Row],[Average_Wait_Time (mins)]]/1440</f>
        <v>9.0972222222222218E-2</v>
      </c>
      <c r="O945" s="2">
        <v>2</v>
      </c>
      <c r="P945" s="10">
        <v>7470</v>
      </c>
      <c r="Q945" s="17" t="str">
        <f>IF(AND(MediCare_Data[[#This Row],[Patient_Gender]]="Male", MediCare_Data[[#This Row],[Treatment_Type]]="Maternity"), "Gender-Treatment Mismatch", "Fine")</f>
        <v>Fine</v>
      </c>
      <c r="R945" s="10">
        <f>MediCare_Data[[#This Row],[Revenue_Generated]]-MediCare_Data[[#This Row],[Average_Treatment_Cost]]</f>
        <v>-1219</v>
      </c>
      <c r="S945" s="3">
        <f>(MediCare_Data[[#This Row],[Profit]]/MediCare_Data[[#This Row],[Revenue_Generated]])</f>
        <v>-0.16318607764390897</v>
      </c>
    </row>
    <row r="946" spans="1:19" x14ac:dyDescent="0.25">
      <c r="A946" t="s">
        <v>993</v>
      </c>
      <c r="B946" t="s">
        <v>49</v>
      </c>
      <c r="C946" t="s">
        <v>42</v>
      </c>
      <c r="D946" t="s">
        <v>21</v>
      </c>
      <c r="E946">
        <v>81</v>
      </c>
      <c r="F946" t="str">
        <f>IF(MediCare_Data[[#This Row],[Patient_Age]]&lt;=18,"0-18",IF(MediCare_Data[[#This Row],[Patient_Age]]&lt;=35,"19-35",IF(MediCare_Data[[#This Row],[Patient_Age]]&lt;=60,"36-60","60+")))</f>
        <v>60+</v>
      </c>
      <c r="G946" t="s">
        <v>26</v>
      </c>
      <c r="H946" t="s">
        <v>23</v>
      </c>
      <c r="I946" s="2">
        <v>94</v>
      </c>
      <c r="J946" s="11">
        <v>9513</v>
      </c>
      <c r="K946" s="3">
        <v>22.541811620000001</v>
      </c>
      <c r="L946" s="3">
        <f t="shared" si="14"/>
        <v>0.22541811620000002</v>
      </c>
      <c r="M946">
        <v>147</v>
      </c>
      <c r="N946" s="6">
        <f>MediCare_Data[[#This Row],[Average_Wait_Time (mins)]]/1440</f>
        <v>0.10208333333333333</v>
      </c>
      <c r="O946" s="2">
        <v>3</v>
      </c>
      <c r="P946" s="10">
        <v>3062</v>
      </c>
      <c r="Q946" s="17" t="str">
        <f>IF(AND(MediCare_Data[[#This Row],[Patient_Gender]]="Male", MediCare_Data[[#This Row],[Treatment_Type]]="Maternity"), "Gender-Treatment Mismatch", "Fine")</f>
        <v>Fine</v>
      </c>
      <c r="R946" s="10">
        <f>MediCare_Data[[#This Row],[Revenue_Generated]]-MediCare_Data[[#This Row],[Average_Treatment_Cost]]</f>
        <v>-6451</v>
      </c>
      <c r="S946" s="3">
        <f>(MediCare_Data[[#This Row],[Profit]]/MediCare_Data[[#This Row],[Revenue_Generated]])</f>
        <v>-2.1067929457870673</v>
      </c>
    </row>
    <row r="947" spans="1:19" x14ac:dyDescent="0.25">
      <c r="A947" t="s">
        <v>994</v>
      </c>
      <c r="B947" t="s">
        <v>35</v>
      </c>
      <c r="C947" t="s">
        <v>54</v>
      </c>
      <c r="D947" t="s">
        <v>21</v>
      </c>
      <c r="E947">
        <v>53</v>
      </c>
      <c r="F947" t="str">
        <f>IF(MediCare_Data[[#This Row],[Patient_Age]]&lt;=18,"0-18",IF(MediCare_Data[[#This Row],[Patient_Age]]&lt;=35,"19-35",IF(MediCare_Data[[#This Row],[Patient_Age]]&lt;=60,"36-60","60+")))</f>
        <v>36-60</v>
      </c>
      <c r="G947" t="s">
        <v>22</v>
      </c>
      <c r="H947" t="s">
        <v>37</v>
      </c>
      <c r="I947" s="2">
        <v>75</v>
      </c>
      <c r="J947" s="11">
        <v>954</v>
      </c>
      <c r="K947" s="3">
        <v>23.880841879999998</v>
      </c>
      <c r="L947" s="3">
        <f t="shared" si="14"/>
        <v>0.23880841879999998</v>
      </c>
      <c r="M947">
        <v>124</v>
      </c>
      <c r="N947" s="6">
        <f>MediCare_Data[[#This Row],[Average_Wait_Time (mins)]]/1440</f>
        <v>8.611111111111111E-2</v>
      </c>
      <c r="O947" s="2">
        <v>4</v>
      </c>
      <c r="P947" s="10">
        <v>42798</v>
      </c>
      <c r="Q947" s="17" t="str">
        <f>IF(AND(MediCare_Data[[#This Row],[Patient_Gender]]="Male", MediCare_Data[[#This Row],[Treatment_Type]]="Maternity"), "Gender-Treatment Mismatch", "Fine")</f>
        <v>Fine</v>
      </c>
      <c r="R947" s="10">
        <f>MediCare_Data[[#This Row],[Revenue_Generated]]-MediCare_Data[[#This Row],[Average_Treatment_Cost]]</f>
        <v>41844</v>
      </c>
      <c r="S947" s="3">
        <f>(MediCare_Data[[#This Row],[Profit]]/MediCare_Data[[#This Row],[Revenue_Generated]])</f>
        <v>0.97770923874947424</v>
      </c>
    </row>
    <row r="948" spans="1:19" x14ac:dyDescent="0.25">
      <c r="A948" t="s">
        <v>995</v>
      </c>
      <c r="B948" t="s">
        <v>25</v>
      </c>
      <c r="C948" t="s">
        <v>31</v>
      </c>
      <c r="D948" t="s">
        <v>21</v>
      </c>
      <c r="E948">
        <v>2</v>
      </c>
      <c r="F948" t="str">
        <f>IF(MediCare_Data[[#This Row],[Patient_Age]]&lt;=18,"0-18",IF(MediCare_Data[[#This Row],[Patient_Age]]&lt;=35,"19-35",IF(MediCare_Data[[#This Row],[Patient_Age]]&lt;=60,"36-60","60+")))</f>
        <v>0-18</v>
      </c>
      <c r="G948" t="s">
        <v>17</v>
      </c>
      <c r="H948" t="s">
        <v>47</v>
      </c>
      <c r="I948" s="2">
        <v>63</v>
      </c>
      <c r="J948" s="11">
        <v>3272</v>
      </c>
      <c r="K948" s="3">
        <v>7.9759193880000003</v>
      </c>
      <c r="L948" s="3">
        <f t="shared" si="14"/>
        <v>7.9759193880000009E-2</v>
      </c>
      <c r="M948">
        <v>173</v>
      </c>
      <c r="N948" s="6">
        <f>MediCare_Data[[#This Row],[Average_Wait_Time (mins)]]/1440</f>
        <v>0.12013888888888889</v>
      </c>
      <c r="O948" s="2">
        <v>1</v>
      </c>
      <c r="P948" s="10">
        <v>20880</v>
      </c>
      <c r="Q948" s="17" t="str">
        <f>IF(AND(MediCare_Data[[#This Row],[Patient_Gender]]="Male", MediCare_Data[[#This Row],[Treatment_Type]]="Maternity"), "Gender-Treatment Mismatch", "Fine")</f>
        <v>Fine</v>
      </c>
      <c r="R948" s="10">
        <f>MediCare_Data[[#This Row],[Revenue_Generated]]-MediCare_Data[[#This Row],[Average_Treatment_Cost]]</f>
        <v>17608</v>
      </c>
      <c r="S948" s="3">
        <f>(MediCare_Data[[#This Row],[Profit]]/MediCare_Data[[#This Row],[Revenue_Generated]])</f>
        <v>0.84329501915708815</v>
      </c>
    </row>
    <row r="949" spans="1:19" x14ac:dyDescent="0.25">
      <c r="A949" t="s">
        <v>996</v>
      </c>
      <c r="B949" t="s">
        <v>64</v>
      </c>
      <c r="C949" t="s">
        <v>46</v>
      </c>
      <c r="D949" t="s">
        <v>32</v>
      </c>
      <c r="E949">
        <v>82</v>
      </c>
      <c r="F949" t="str">
        <f>IF(MediCare_Data[[#This Row],[Patient_Age]]&lt;=18,"0-18",IF(MediCare_Data[[#This Row],[Patient_Age]]&lt;=35,"19-35",IF(MediCare_Data[[#This Row],[Patient_Age]]&lt;=60,"36-60","60+")))</f>
        <v>60+</v>
      </c>
      <c r="G949" t="s">
        <v>17</v>
      </c>
      <c r="H949" t="s">
        <v>51</v>
      </c>
      <c r="I949" s="2">
        <v>56</v>
      </c>
      <c r="J949" s="11">
        <v>4226</v>
      </c>
      <c r="K949" s="3">
        <v>14.2535121</v>
      </c>
      <c r="L949" s="3">
        <f t="shared" si="14"/>
        <v>0.14253512099999999</v>
      </c>
      <c r="M949">
        <v>171</v>
      </c>
      <c r="N949" s="6">
        <f>MediCare_Data[[#This Row],[Average_Wait_Time (mins)]]/1440</f>
        <v>0.11874999999999999</v>
      </c>
      <c r="O949" s="2">
        <v>3</v>
      </c>
      <c r="P949" s="10">
        <v>35581</v>
      </c>
      <c r="Q949" s="17" t="str">
        <f>IF(AND(MediCare_Data[[#This Row],[Patient_Gender]]="Male", MediCare_Data[[#This Row],[Treatment_Type]]="Maternity"), "Gender-Treatment Mismatch", "Fine")</f>
        <v>Fine</v>
      </c>
      <c r="R949" s="10">
        <f>MediCare_Data[[#This Row],[Revenue_Generated]]-MediCare_Data[[#This Row],[Average_Treatment_Cost]]</f>
        <v>31355</v>
      </c>
      <c r="S949" s="3">
        <f>(MediCare_Data[[#This Row],[Profit]]/MediCare_Data[[#This Row],[Revenue_Generated]])</f>
        <v>0.88122874567887355</v>
      </c>
    </row>
    <row r="950" spans="1:19" x14ac:dyDescent="0.25">
      <c r="A950" t="s">
        <v>997</v>
      </c>
      <c r="B950" t="s">
        <v>39</v>
      </c>
      <c r="C950" t="s">
        <v>42</v>
      </c>
      <c r="D950" t="s">
        <v>32</v>
      </c>
      <c r="E950">
        <v>42</v>
      </c>
      <c r="F950" t="str">
        <f>IF(MediCare_Data[[#This Row],[Patient_Age]]&lt;=18,"0-18",IF(MediCare_Data[[#This Row],[Patient_Age]]&lt;=35,"19-35",IF(MediCare_Data[[#This Row],[Patient_Age]]&lt;=60,"36-60","60+")))</f>
        <v>36-60</v>
      </c>
      <c r="G950" t="s">
        <v>17</v>
      </c>
      <c r="H950" t="s">
        <v>37</v>
      </c>
      <c r="I950" s="2">
        <v>52</v>
      </c>
      <c r="J950" s="11">
        <v>7732</v>
      </c>
      <c r="K950" s="3">
        <v>24.61974756</v>
      </c>
      <c r="L950" s="3">
        <f t="shared" si="14"/>
        <v>0.24619747559999999</v>
      </c>
      <c r="M950">
        <v>37</v>
      </c>
      <c r="N950" s="6">
        <f>MediCare_Data[[#This Row],[Average_Wait_Time (mins)]]/1440</f>
        <v>2.5694444444444443E-2</v>
      </c>
      <c r="O950" s="2">
        <v>3</v>
      </c>
      <c r="P950" s="10">
        <v>45439</v>
      </c>
      <c r="Q950" s="17" t="str">
        <f>IF(AND(MediCare_Data[[#This Row],[Patient_Gender]]="Male", MediCare_Data[[#This Row],[Treatment_Type]]="Maternity"), "Gender-Treatment Mismatch", "Fine")</f>
        <v>Fine</v>
      </c>
      <c r="R950" s="10">
        <f>MediCare_Data[[#This Row],[Revenue_Generated]]-MediCare_Data[[#This Row],[Average_Treatment_Cost]]</f>
        <v>37707</v>
      </c>
      <c r="S950" s="3">
        <f>(MediCare_Data[[#This Row],[Profit]]/MediCare_Data[[#This Row],[Revenue_Generated]])</f>
        <v>0.82983780452914901</v>
      </c>
    </row>
    <row r="951" spans="1:19" x14ac:dyDescent="0.25">
      <c r="A951" t="s">
        <v>998</v>
      </c>
      <c r="B951" t="s">
        <v>82</v>
      </c>
      <c r="C951" t="s">
        <v>29</v>
      </c>
      <c r="D951" t="s">
        <v>21</v>
      </c>
      <c r="E951">
        <v>37</v>
      </c>
      <c r="F951" t="str">
        <f>IF(MediCare_Data[[#This Row],[Patient_Age]]&lt;=18,"0-18",IF(MediCare_Data[[#This Row],[Patient_Age]]&lt;=35,"19-35",IF(MediCare_Data[[#This Row],[Patient_Age]]&lt;=60,"36-60","60+")))</f>
        <v>36-60</v>
      </c>
      <c r="G951" t="s">
        <v>17</v>
      </c>
      <c r="H951" t="s">
        <v>18</v>
      </c>
      <c r="I951" s="2">
        <v>96</v>
      </c>
      <c r="J951" s="11">
        <v>5306</v>
      </c>
      <c r="K951" s="3">
        <v>14.66814872</v>
      </c>
      <c r="L951" s="3">
        <f t="shared" si="14"/>
        <v>0.14668148719999999</v>
      </c>
      <c r="M951">
        <v>20</v>
      </c>
      <c r="N951" s="6">
        <f>MediCare_Data[[#This Row],[Average_Wait_Time (mins)]]/1440</f>
        <v>1.3888888888888888E-2</v>
      </c>
      <c r="O951" s="2">
        <v>4</v>
      </c>
      <c r="P951" s="10">
        <v>15308</v>
      </c>
      <c r="Q951" s="17" t="str">
        <f>IF(AND(MediCare_Data[[#This Row],[Patient_Gender]]="Male", MediCare_Data[[#This Row],[Treatment_Type]]="Maternity"), "Gender-Treatment Mismatch", "Fine")</f>
        <v>Fine</v>
      </c>
      <c r="R951" s="10">
        <f>MediCare_Data[[#This Row],[Revenue_Generated]]-MediCare_Data[[#This Row],[Average_Treatment_Cost]]</f>
        <v>10002</v>
      </c>
      <c r="S951" s="3">
        <f>(MediCare_Data[[#This Row],[Profit]]/MediCare_Data[[#This Row],[Revenue_Generated]])</f>
        <v>0.65338385158087275</v>
      </c>
    </row>
    <row r="952" spans="1:19" x14ac:dyDescent="0.25">
      <c r="A952" t="s">
        <v>999</v>
      </c>
      <c r="B952" t="s">
        <v>64</v>
      </c>
      <c r="C952" t="s">
        <v>15</v>
      </c>
      <c r="D952" t="s">
        <v>21</v>
      </c>
      <c r="E952">
        <v>72</v>
      </c>
      <c r="F952" t="str">
        <f>IF(MediCare_Data[[#This Row],[Patient_Age]]&lt;=18,"0-18",IF(MediCare_Data[[#This Row],[Patient_Age]]&lt;=35,"19-35",IF(MediCare_Data[[#This Row],[Patient_Age]]&lt;=60,"36-60","60+")))</f>
        <v>60+</v>
      </c>
      <c r="G952" t="s">
        <v>17</v>
      </c>
      <c r="H952" t="s">
        <v>37</v>
      </c>
      <c r="I952" s="2">
        <v>72</v>
      </c>
      <c r="J952" s="11">
        <v>2690</v>
      </c>
      <c r="K952" s="3">
        <v>22.270950450000001</v>
      </c>
      <c r="L952" s="3">
        <f t="shared" si="14"/>
        <v>0.22270950450000002</v>
      </c>
      <c r="M952">
        <v>176</v>
      </c>
      <c r="N952" s="6">
        <f>MediCare_Data[[#This Row],[Average_Wait_Time (mins)]]/1440</f>
        <v>0.12222222222222222</v>
      </c>
      <c r="O952" s="2">
        <v>1</v>
      </c>
      <c r="P952" s="10">
        <v>27027</v>
      </c>
      <c r="Q952" s="17" t="str">
        <f>IF(AND(MediCare_Data[[#This Row],[Patient_Gender]]="Male", MediCare_Data[[#This Row],[Treatment_Type]]="Maternity"), "Gender-Treatment Mismatch", "Fine")</f>
        <v>Fine</v>
      </c>
      <c r="R952" s="10">
        <f>MediCare_Data[[#This Row],[Revenue_Generated]]-MediCare_Data[[#This Row],[Average_Treatment_Cost]]</f>
        <v>24337</v>
      </c>
      <c r="S952" s="3">
        <f>(MediCare_Data[[#This Row],[Profit]]/MediCare_Data[[#This Row],[Revenue_Generated]])</f>
        <v>0.9004699004699005</v>
      </c>
    </row>
    <row r="953" spans="1:19" x14ac:dyDescent="0.25">
      <c r="A953" t="s">
        <v>1000</v>
      </c>
      <c r="B953" t="s">
        <v>56</v>
      </c>
      <c r="C953" t="s">
        <v>36</v>
      </c>
      <c r="D953" t="s">
        <v>16</v>
      </c>
      <c r="E953">
        <v>14</v>
      </c>
      <c r="F953" t="str">
        <f>IF(MediCare_Data[[#This Row],[Patient_Age]]&lt;=18,"0-18",IF(MediCare_Data[[#This Row],[Patient_Age]]&lt;=35,"19-35",IF(MediCare_Data[[#This Row],[Patient_Age]]&lt;=60,"36-60","60+")))</f>
        <v>0-18</v>
      </c>
      <c r="G953" t="s">
        <v>26</v>
      </c>
      <c r="H953" t="s">
        <v>18</v>
      </c>
      <c r="I953" s="2">
        <v>95</v>
      </c>
      <c r="J953" s="11">
        <v>9608</v>
      </c>
      <c r="K953" s="3">
        <v>16.774630439999999</v>
      </c>
      <c r="L953" s="3">
        <f t="shared" si="14"/>
        <v>0.16774630439999999</v>
      </c>
      <c r="M953">
        <v>56</v>
      </c>
      <c r="N953" s="6">
        <f>MediCare_Data[[#This Row],[Average_Wait_Time (mins)]]/1440</f>
        <v>3.888888888888889E-2</v>
      </c>
      <c r="O953" s="2">
        <v>1</v>
      </c>
      <c r="P953" s="10">
        <v>31720</v>
      </c>
      <c r="Q953" s="17" t="str">
        <f>IF(AND(MediCare_Data[[#This Row],[Patient_Gender]]="Male", MediCare_Data[[#This Row],[Treatment_Type]]="Maternity"), "Gender-Treatment Mismatch", "Fine")</f>
        <v>Fine</v>
      </c>
      <c r="R953" s="10">
        <f>MediCare_Data[[#This Row],[Revenue_Generated]]-MediCare_Data[[#This Row],[Average_Treatment_Cost]]</f>
        <v>22112</v>
      </c>
      <c r="S953" s="3">
        <f>(MediCare_Data[[#This Row],[Profit]]/MediCare_Data[[#This Row],[Revenue_Generated]])</f>
        <v>0.69709962168978568</v>
      </c>
    </row>
    <row r="954" spans="1:19" x14ac:dyDescent="0.25">
      <c r="A954" t="s">
        <v>1001</v>
      </c>
      <c r="B954" t="s">
        <v>53</v>
      </c>
      <c r="C954" t="s">
        <v>20</v>
      </c>
      <c r="D954" t="s">
        <v>21</v>
      </c>
      <c r="E954">
        <v>9</v>
      </c>
      <c r="F954" t="str">
        <f>IF(MediCare_Data[[#This Row],[Patient_Age]]&lt;=18,"0-18",IF(MediCare_Data[[#This Row],[Patient_Age]]&lt;=35,"19-35",IF(MediCare_Data[[#This Row],[Patient_Age]]&lt;=60,"36-60","60+")))</f>
        <v>0-18</v>
      </c>
      <c r="G954" t="s">
        <v>17</v>
      </c>
      <c r="H954" t="s">
        <v>18</v>
      </c>
      <c r="I954" s="2">
        <v>92</v>
      </c>
      <c r="J954" s="11">
        <v>3375</v>
      </c>
      <c r="K954" s="3">
        <v>12.506598159999999</v>
      </c>
      <c r="L954" s="3">
        <f t="shared" si="14"/>
        <v>0.12506598159999999</v>
      </c>
      <c r="M954">
        <v>136</v>
      </c>
      <c r="N954" s="6">
        <f>MediCare_Data[[#This Row],[Average_Wait_Time (mins)]]/1440</f>
        <v>9.4444444444444442E-2</v>
      </c>
      <c r="O954" s="2">
        <v>4</v>
      </c>
      <c r="P954" s="10">
        <v>36081</v>
      </c>
      <c r="Q954" s="17" t="str">
        <f>IF(AND(MediCare_Data[[#This Row],[Patient_Gender]]="Male", MediCare_Data[[#This Row],[Treatment_Type]]="Maternity"), "Gender-Treatment Mismatch", "Fine")</f>
        <v>Fine</v>
      </c>
      <c r="R954" s="10">
        <f>MediCare_Data[[#This Row],[Revenue_Generated]]-MediCare_Data[[#This Row],[Average_Treatment_Cost]]</f>
        <v>32706</v>
      </c>
      <c r="S954" s="3">
        <f>(MediCare_Data[[#This Row],[Profit]]/MediCare_Data[[#This Row],[Revenue_Generated]])</f>
        <v>0.90646046395609881</v>
      </c>
    </row>
    <row r="955" spans="1:19" x14ac:dyDescent="0.25">
      <c r="A955" t="s">
        <v>1002</v>
      </c>
      <c r="B955" t="s">
        <v>14</v>
      </c>
      <c r="C955" t="s">
        <v>46</v>
      </c>
      <c r="D955" t="s">
        <v>16</v>
      </c>
      <c r="E955">
        <v>6</v>
      </c>
      <c r="F955" t="str">
        <f>IF(MediCare_Data[[#This Row],[Patient_Age]]&lt;=18,"0-18",IF(MediCare_Data[[#This Row],[Patient_Age]]&lt;=35,"19-35",IF(MediCare_Data[[#This Row],[Patient_Age]]&lt;=60,"36-60","60+")))</f>
        <v>0-18</v>
      </c>
      <c r="G955" t="s">
        <v>22</v>
      </c>
      <c r="H955" t="s">
        <v>37</v>
      </c>
      <c r="I955" s="2">
        <v>96</v>
      </c>
      <c r="J955" s="11">
        <v>6092</v>
      </c>
      <c r="K955" s="3">
        <v>10.715671110000001</v>
      </c>
      <c r="L955" s="3">
        <f t="shared" si="14"/>
        <v>0.10715671110000001</v>
      </c>
      <c r="M955">
        <v>156</v>
      </c>
      <c r="N955" s="6">
        <f>MediCare_Data[[#This Row],[Average_Wait_Time (mins)]]/1440</f>
        <v>0.10833333333333334</v>
      </c>
      <c r="O955" s="2">
        <v>2</v>
      </c>
      <c r="P955" s="10">
        <v>10706</v>
      </c>
      <c r="Q955" s="17" t="str">
        <f>IF(AND(MediCare_Data[[#This Row],[Patient_Gender]]="Male", MediCare_Data[[#This Row],[Treatment_Type]]="Maternity"), "Gender-Treatment Mismatch", "Fine")</f>
        <v>Gender-Treatment Mismatch</v>
      </c>
      <c r="R955" s="10">
        <f>MediCare_Data[[#This Row],[Revenue_Generated]]-MediCare_Data[[#This Row],[Average_Treatment_Cost]]</f>
        <v>4614</v>
      </c>
      <c r="S955" s="3">
        <f>(MediCare_Data[[#This Row],[Profit]]/MediCare_Data[[#This Row],[Revenue_Generated]])</f>
        <v>0.43097328600784607</v>
      </c>
    </row>
    <row r="956" spans="1:19" x14ac:dyDescent="0.25">
      <c r="A956" t="s">
        <v>1003</v>
      </c>
      <c r="B956" t="s">
        <v>45</v>
      </c>
      <c r="C956" t="s">
        <v>46</v>
      </c>
      <c r="D956" t="s">
        <v>21</v>
      </c>
      <c r="E956">
        <v>73</v>
      </c>
      <c r="F956" t="str">
        <f>IF(MediCare_Data[[#This Row],[Patient_Age]]&lt;=18,"0-18",IF(MediCare_Data[[#This Row],[Patient_Age]]&lt;=35,"19-35",IF(MediCare_Data[[#This Row],[Patient_Age]]&lt;=60,"36-60","60+")))</f>
        <v>60+</v>
      </c>
      <c r="G956" t="s">
        <v>26</v>
      </c>
      <c r="H956" t="s">
        <v>18</v>
      </c>
      <c r="I956" s="2">
        <v>94</v>
      </c>
      <c r="J956" s="11">
        <v>1940</v>
      </c>
      <c r="K956" s="3">
        <v>9.0644618220000002</v>
      </c>
      <c r="L956" s="3">
        <f t="shared" si="14"/>
        <v>9.0644618220000001E-2</v>
      </c>
      <c r="M956">
        <v>127</v>
      </c>
      <c r="N956" s="6">
        <f>MediCare_Data[[#This Row],[Average_Wait_Time (mins)]]/1440</f>
        <v>8.819444444444445E-2</v>
      </c>
      <c r="O956" s="2">
        <v>3</v>
      </c>
      <c r="P956" s="10">
        <v>10837</v>
      </c>
      <c r="Q956" s="17" t="str">
        <f>IF(AND(MediCare_Data[[#This Row],[Patient_Gender]]="Male", MediCare_Data[[#This Row],[Treatment_Type]]="Maternity"), "Gender-Treatment Mismatch", "Fine")</f>
        <v>Fine</v>
      </c>
      <c r="R956" s="10">
        <f>MediCare_Data[[#This Row],[Revenue_Generated]]-MediCare_Data[[#This Row],[Average_Treatment_Cost]]</f>
        <v>8897</v>
      </c>
      <c r="S956" s="3">
        <f>(MediCare_Data[[#This Row],[Profit]]/MediCare_Data[[#This Row],[Revenue_Generated]])</f>
        <v>0.82098366706653136</v>
      </c>
    </row>
    <row r="957" spans="1:19" x14ac:dyDescent="0.25">
      <c r="A957" t="s">
        <v>1004</v>
      </c>
      <c r="B957" t="s">
        <v>74</v>
      </c>
      <c r="C957" t="s">
        <v>54</v>
      </c>
      <c r="D957" t="s">
        <v>32</v>
      </c>
      <c r="E957">
        <v>26</v>
      </c>
      <c r="F957" t="str">
        <f>IF(MediCare_Data[[#This Row],[Patient_Age]]&lt;=18,"0-18",IF(MediCare_Data[[#This Row],[Patient_Age]]&lt;=35,"19-35",IF(MediCare_Data[[#This Row],[Patient_Age]]&lt;=60,"36-60","60+")))</f>
        <v>19-35</v>
      </c>
      <c r="G957" t="s">
        <v>22</v>
      </c>
      <c r="H957" t="s">
        <v>37</v>
      </c>
      <c r="I957" s="2">
        <v>67</v>
      </c>
      <c r="J957" s="11">
        <v>9427</v>
      </c>
      <c r="K957" s="3">
        <v>20.235963829999999</v>
      </c>
      <c r="L957" s="3">
        <f t="shared" si="14"/>
        <v>0.20235963830000001</v>
      </c>
      <c r="M957">
        <v>152</v>
      </c>
      <c r="N957" s="6">
        <f>MediCare_Data[[#This Row],[Average_Wait_Time (mins)]]/1440</f>
        <v>0.10555555555555556</v>
      </c>
      <c r="O957" s="2">
        <v>2</v>
      </c>
      <c r="P957" s="10">
        <v>39599</v>
      </c>
      <c r="Q957" s="17" t="str">
        <f>IF(AND(MediCare_Data[[#This Row],[Patient_Gender]]="Male", MediCare_Data[[#This Row],[Treatment_Type]]="Maternity"), "Gender-Treatment Mismatch", "Fine")</f>
        <v>Fine</v>
      </c>
      <c r="R957" s="10">
        <f>MediCare_Data[[#This Row],[Revenue_Generated]]-MediCare_Data[[#This Row],[Average_Treatment_Cost]]</f>
        <v>30172</v>
      </c>
      <c r="S957" s="3">
        <f>(MediCare_Data[[#This Row],[Profit]]/MediCare_Data[[#This Row],[Revenue_Generated]])</f>
        <v>0.76193843278870677</v>
      </c>
    </row>
    <row r="958" spans="1:19" x14ac:dyDescent="0.25">
      <c r="A958" t="s">
        <v>1005</v>
      </c>
      <c r="B958" t="s">
        <v>25</v>
      </c>
      <c r="C958" t="s">
        <v>15</v>
      </c>
      <c r="D958" t="s">
        <v>32</v>
      </c>
      <c r="E958">
        <v>9</v>
      </c>
      <c r="F958" t="str">
        <f>IF(MediCare_Data[[#This Row],[Patient_Age]]&lt;=18,"0-18",IF(MediCare_Data[[#This Row],[Patient_Age]]&lt;=35,"19-35",IF(MediCare_Data[[#This Row],[Patient_Age]]&lt;=60,"36-60","60+")))</f>
        <v>0-18</v>
      </c>
      <c r="G958" t="s">
        <v>17</v>
      </c>
      <c r="H958" t="s">
        <v>47</v>
      </c>
      <c r="I958" s="2">
        <v>87</v>
      </c>
      <c r="J958" s="11">
        <v>6559</v>
      </c>
      <c r="K958" s="3">
        <v>12.730810140000001</v>
      </c>
      <c r="L958" s="3">
        <f t="shared" si="14"/>
        <v>0.12730810140000001</v>
      </c>
      <c r="M958">
        <v>135</v>
      </c>
      <c r="N958" s="6">
        <f>MediCare_Data[[#This Row],[Average_Wait_Time (mins)]]/1440</f>
        <v>9.375E-2</v>
      </c>
      <c r="O958" s="2">
        <v>3</v>
      </c>
      <c r="P958" s="10">
        <v>37824</v>
      </c>
      <c r="Q958" s="17" t="str">
        <f>IF(AND(MediCare_Data[[#This Row],[Patient_Gender]]="Male", MediCare_Data[[#This Row],[Treatment_Type]]="Maternity"), "Gender-Treatment Mismatch", "Fine")</f>
        <v>Fine</v>
      </c>
      <c r="R958" s="10">
        <f>MediCare_Data[[#This Row],[Revenue_Generated]]-MediCare_Data[[#This Row],[Average_Treatment_Cost]]</f>
        <v>31265</v>
      </c>
      <c r="S958" s="3">
        <f>(MediCare_Data[[#This Row],[Profit]]/MediCare_Data[[#This Row],[Revenue_Generated]])</f>
        <v>0.82659158206429784</v>
      </c>
    </row>
    <row r="959" spans="1:19" x14ac:dyDescent="0.25">
      <c r="A959" t="s">
        <v>1006</v>
      </c>
      <c r="B959" t="s">
        <v>35</v>
      </c>
      <c r="C959" t="s">
        <v>46</v>
      </c>
      <c r="D959" t="s">
        <v>16</v>
      </c>
      <c r="E959">
        <v>9</v>
      </c>
      <c r="F959" t="str">
        <f>IF(MediCare_Data[[#This Row],[Patient_Age]]&lt;=18,"0-18",IF(MediCare_Data[[#This Row],[Patient_Age]]&lt;=35,"19-35",IF(MediCare_Data[[#This Row],[Patient_Age]]&lt;=60,"36-60","60+")))</f>
        <v>0-18</v>
      </c>
      <c r="G959" t="s">
        <v>17</v>
      </c>
      <c r="H959" t="s">
        <v>47</v>
      </c>
      <c r="I959" s="2">
        <v>84</v>
      </c>
      <c r="J959" s="11">
        <v>7510</v>
      </c>
      <c r="K959" s="3">
        <v>15.225509239999999</v>
      </c>
      <c r="L959" s="3">
        <f t="shared" si="14"/>
        <v>0.15225509239999999</v>
      </c>
      <c r="M959">
        <v>165</v>
      </c>
      <c r="N959" s="6">
        <f>MediCare_Data[[#This Row],[Average_Wait_Time (mins)]]/1440</f>
        <v>0.11458333333333333</v>
      </c>
      <c r="O959" s="2">
        <v>3</v>
      </c>
      <c r="P959" s="10">
        <v>34073</v>
      </c>
      <c r="Q959" s="17" t="str">
        <f>IF(AND(MediCare_Data[[#This Row],[Patient_Gender]]="Male", MediCare_Data[[#This Row],[Treatment_Type]]="Maternity"), "Gender-Treatment Mismatch", "Fine")</f>
        <v>Fine</v>
      </c>
      <c r="R959" s="10">
        <f>MediCare_Data[[#This Row],[Revenue_Generated]]-MediCare_Data[[#This Row],[Average_Treatment_Cost]]</f>
        <v>26563</v>
      </c>
      <c r="S959" s="3">
        <f>(MediCare_Data[[#This Row],[Profit]]/MediCare_Data[[#This Row],[Revenue_Generated]])</f>
        <v>0.77959087840812369</v>
      </c>
    </row>
    <row r="960" spans="1:19" x14ac:dyDescent="0.25">
      <c r="A960" t="s">
        <v>1007</v>
      </c>
      <c r="B960" t="s">
        <v>39</v>
      </c>
      <c r="C960" t="s">
        <v>42</v>
      </c>
      <c r="D960" t="s">
        <v>32</v>
      </c>
      <c r="E960">
        <v>41</v>
      </c>
      <c r="F960" t="str">
        <f>IF(MediCare_Data[[#This Row],[Patient_Age]]&lt;=18,"0-18",IF(MediCare_Data[[#This Row],[Patient_Age]]&lt;=35,"19-35",IF(MediCare_Data[[#This Row],[Patient_Age]]&lt;=60,"36-60","60+")))</f>
        <v>36-60</v>
      </c>
      <c r="G960" t="s">
        <v>43</v>
      </c>
      <c r="H960" t="s">
        <v>18</v>
      </c>
      <c r="I960" s="2">
        <v>64</v>
      </c>
      <c r="J960" s="11">
        <v>7617</v>
      </c>
      <c r="K960" s="3">
        <v>14.846509599999999</v>
      </c>
      <c r="L960" s="3">
        <f t="shared" si="14"/>
        <v>0.14846509599999999</v>
      </c>
      <c r="M960">
        <v>161</v>
      </c>
      <c r="N960" s="6">
        <f>MediCare_Data[[#This Row],[Average_Wait_Time (mins)]]/1440</f>
        <v>0.11180555555555556</v>
      </c>
      <c r="O960" s="2">
        <v>2</v>
      </c>
      <c r="P960" s="10">
        <v>48115</v>
      </c>
      <c r="Q960" s="17" t="str">
        <f>IF(AND(MediCare_Data[[#This Row],[Patient_Gender]]="Male", MediCare_Data[[#This Row],[Treatment_Type]]="Maternity"), "Gender-Treatment Mismatch", "Fine")</f>
        <v>Fine</v>
      </c>
      <c r="R960" s="10">
        <f>MediCare_Data[[#This Row],[Revenue_Generated]]-MediCare_Data[[#This Row],[Average_Treatment_Cost]]</f>
        <v>40498</v>
      </c>
      <c r="S960" s="3">
        <f>(MediCare_Data[[#This Row],[Profit]]/MediCare_Data[[#This Row],[Revenue_Generated]])</f>
        <v>0.84169178011015278</v>
      </c>
    </row>
    <row r="961" spans="1:19" x14ac:dyDescent="0.25">
      <c r="A961" t="s">
        <v>1008</v>
      </c>
      <c r="B961" t="s">
        <v>49</v>
      </c>
      <c r="C961" t="s">
        <v>15</v>
      </c>
      <c r="D961" t="s">
        <v>32</v>
      </c>
      <c r="E961">
        <v>22</v>
      </c>
      <c r="F961" t="str">
        <f>IF(MediCare_Data[[#This Row],[Patient_Age]]&lt;=18,"0-18",IF(MediCare_Data[[#This Row],[Patient_Age]]&lt;=35,"19-35",IF(MediCare_Data[[#This Row],[Patient_Age]]&lt;=60,"36-60","60+")))</f>
        <v>19-35</v>
      </c>
      <c r="G961" t="s">
        <v>43</v>
      </c>
      <c r="H961" t="s">
        <v>47</v>
      </c>
      <c r="I961" s="2">
        <v>74</v>
      </c>
      <c r="J961" s="11">
        <v>9653</v>
      </c>
      <c r="K961" s="3">
        <v>16.545580579999999</v>
      </c>
      <c r="L961" s="3">
        <f t="shared" si="14"/>
        <v>0.16545580579999999</v>
      </c>
      <c r="M961">
        <v>81</v>
      </c>
      <c r="N961" s="6">
        <f>MediCare_Data[[#This Row],[Average_Wait_Time (mins)]]/1440</f>
        <v>5.6250000000000001E-2</v>
      </c>
      <c r="O961" s="2">
        <v>4</v>
      </c>
      <c r="P961" s="10">
        <v>33088</v>
      </c>
      <c r="Q961" s="17" t="str">
        <f>IF(AND(MediCare_Data[[#This Row],[Patient_Gender]]="Male", MediCare_Data[[#This Row],[Treatment_Type]]="Maternity"), "Gender-Treatment Mismatch", "Fine")</f>
        <v>Fine</v>
      </c>
      <c r="R961" s="10">
        <f>MediCare_Data[[#This Row],[Revenue_Generated]]-MediCare_Data[[#This Row],[Average_Treatment_Cost]]</f>
        <v>23435</v>
      </c>
      <c r="S961" s="3">
        <f>(MediCare_Data[[#This Row],[Profit]]/MediCare_Data[[#This Row],[Revenue_Generated]])</f>
        <v>0.70826281431334626</v>
      </c>
    </row>
    <row r="962" spans="1:19" x14ac:dyDescent="0.25">
      <c r="A962" t="s">
        <v>1009</v>
      </c>
      <c r="B962" t="s">
        <v>53</v>
      </c>
      <c r="C962" t="s">
        <v>54</v>
      </c>
      <c r="D962" t="s">
        <v>32</v>
      </c>
      <c r="E962">
        <v>30</v>
      </c>
      <c r="F962" t="str">
        <f>IF(MediCare_Data[[#This Row],[Patient_Age]]&lt;=18,"0-18",IF(MediCare_Data[[#This Row],[Patient_Age]]&lt;=35,"19-35",IF(MediCare_Data[[#This Row],[Patient_Age]]&lt;=60,"36-60","60+")))</f>
        <v>19-35</v>
      </c>
      <c r="G962" t="s">
        <v>17</v>
      </c>
      <c r="H962" t="s">
        <v>33</v>
      </c>
      <c r="I962" s="2">
        <v>86</v>
      </c>
      <c r="J962" s="11">
        <v>3489</v>
      </c>
      <c r="K962" s="3">
        <v>22.31154291</v>
      </c>
      <c r="L962" s="3">
        <f t="shared" ref="L962:L1001" si="15">K962/100</f>
        <v>0.22311542910000001</v>
      </c>
      <c r="M962">
        <v>116</v>
      </c>
      <c r="N962" s="6">
        <f>MediCare_Data[[#This Row],[Average_Wait_Time (mins)]]/1440</f>
        <v>8.0555555555555561E-2</v>
      </c>
      <c r="O962" s="2">
        <v>4</v>
      </c>
      <c r="P962" s="10">
        <v>29112</v>
      </c>
      <c r="Q962" s="17" t="str">
        <f>IF(AND(MediCare_Data[[#This Row],[Patient_Gender]]="Male", MediCare_Data[[#This Row],[Treatment_Type]]="Maternity"), "Gender-Treatment Mismatch", "Fine")</f>
        <v>Fine</v>
      </c>
      <c r="R962" s="10">
        <f>MediCare_Data[[#This Row],[Revenue_Generated]]-MediCare_Data[[#This Row],[Average_Treatment_Cost]]</f>
        <v>25623</v>
      </c>
      <c r="S962" s="3">
        <f>(MediCare_Data[[#This Row],[Profit]]/MediCare_Data[[#This Row],[Revenue_Generated]])</f>
        <v>0.88015251442704034</v>
      </c>
    </row>
    <row r="963" spans="1:19" x14ac:dyDescent="0.25">
      <c r="A963" t="s">
        <v>1010</v>
      </c>
      <c r="B963" t="s">
        <v>41</v>
      </c>
      <c r="C963" t="s">
        <v>29</v>
      </c>
      <c r="D963" t="s">
        <v>32</v>
      </c>
      <c r="E963">
        <v>29</v>
      </c>
      <c r="F963" t="str">
        <f>IF(MediCare_Data[[#This Row],[Patient_Age]]&lt;=18,"0-18",IF(MediCare_Data[[#This Row],[Patient_Age]]&lt;=35,"19-35",IF(MediCare_Data[[#This Row],[Patient_Age]]&lt;=60,"36-60","60+")))</f>
        <v>19-35</v>
      </c>
      <c r="G963" t="s">
        <v>22</v>
      </c>
      <c r="H963" t="s">
        <v>33</v>
      </c>
      <c r="I963" s="2">
        <v>77</v>
      </c>
      <c r="J963" s="11">
        <v>9718</v>
      </c>
      <c r="K963" s="3">
        <v>24.61478687</v>
      </c>
      <c r="L963" s="3">
        <f t="shared" si="15"/>
        <v>0.24614786869999999</v>
      </c>
      <c r="M963">
        <v>146</v>
      </c>
      <c r="N963" s="6">
        <f>MediCare_Data[[#This Row],[Average_Wait_Time (mins)]]/1440</f>
        <v>0.10138888888888889</v>
      </c>
      <c r="O963" s="2">
        <v>3</v>
      </c>
      <c r="P963" s="10">
        <v>27299</v>
      </c>
      <c r="Q963" s="17" t="str">
        <f>IF(AND(MediCare_Data[[#This Row],[Patient_Gender]]="Male", MediCare_Data[[#This Row],[Treatment_Type]]="Maternity"), "Gender-Treatment Mismatch", "Fine")</f>
        <v>Fine</v>
      </c>
      <c r="R963" s="10">
        <f>MediCare_Data[[#This Row],[Revenue_Generated]]-MediCare_Data[[#This Row],[Average_Treatment_Cost]]</f>
        <v>17581</v>
      </c>
      <c r="S963" s="3">
        <f>(MediCare_Data[[#This Row],[Profit]]/MediCare_Data[[#This Row],[Revenue_Generated]])</f>
        <v>0.64401626433202686</v>
      </c>
    </row>
    <row r="964" spans="1:19" x14ac:dyDescent="0.25">
      <c r="A964" t="s">
        <v>1011</v>
      </c>
      <c r="B964" t="s">
        <v>53</v>
      </c>
      <c r="C964" t="s">
        <v>31</v>
      </c>
      <c r="D964" t="s">
        <v>32</v>
      </c>
      <c r="E964">
        <v>61</v>
      </c>
      <c r="F964" t="str">
        <f>IF(MediCare_Data[[#This Row],[Patient_Age]]&lt;=18,"0-18",IF(MediCare_Data[[#This Row],[Patient_Age]]&lt;=35,"19-35",IF(MediCare_Data[[#This Row],[Patient_Age]]&lt;=60,"36-60","60+")))</f>
        <v>60+</v>
      </c>
      <c r="G964" t="s">
        <v>26</v>
      </c>
      <c r="H964" t="s">
        <v>37</v>
      </c>
      <c r="I964" s="2">
        <v>59</v>
      </c>
      <c r="J964" s="11">
        <v>6728</v>
      </c>
      <c r="K964" s="3">
        <v>13.151684169999999</v>
      </c>
      <c r="L964" s="3">
        <f t="shared" si="15"/>
        <v>0.1315168417</v>
      </c>
      <c r="M964">
        <v>42</v>
      </c>
      <c r="N964" s="6">
        <f>MediCare_Data[[#This Row],[Average_Wait_Time (mins)]]/1440</f>
        <v>2.9166666666666667E-2</v>
      </c>
      <c r="O964" s="2">
        <v>4</v>
      </c>
      <c r="P964" s="10">
        <v>35457</v>
      </c>
      <c r="Q964" s="17" t="str">
        <f>IF(AND(MediCare_Data[[#This Row],[Patient_Gender]]="Male", MediCare_Data[[#This Row],[Treatment_Type]]="Maternity"), "Gender-Treatment Mismatch", "Fine")</f>
        <v>Fine</v>
      </c>
      <c r="R964" s="10">
        <f>MediCare_Data[[#This Row],[Revenue_Generated]]-MediCare_Data[[#This Row],[Average_Treatment_Cost]]</f>
        <v>28729</v>
      </c>
      <c r="S964" s="3">
        <f>(MediCare_Data[[#This Row],[Profit]]/MediCare_Data[[#This Row],[Revenue_Generated]])</f>
        <v>0.81024903404123305</v>
      </c>
    </row>
    <row r="965" spans="1:19" x14ac:dyDescent="0.25">
      <c r="A965" t="s">
        <v>1012</v>
      </c>
      <c r="B965" t="s">
        <v>14</v>
      </c>
      <c r="C965" t="s">
        <v>31</v>
      </c>
      <c r="D965" t="s">
        <v>16</v>
      </c>
      <c r="E965">
        <v>31</v>
      </c>
      <c r="F965" t="str">
        <f>IF(MediCare_Data[[#This Row],[Patient_Age]]&lt;=18,"0-18",IF(MediCare_Data[[#This Row],[Patient_Age]]&lt;=35,"19-35",IF(MediCare_Data[[#This Row],[Patient_Age]]&lt;=60,"36-60","60+")))</f>
        <v>19-35</v>
      </c>
      <c r="G965" t="s">
        <v>22</v>
      </c>
      <c r="H965" t="s">
        <v>51</v>
      </c>
      <c r="I965" s="2">
        <v>88</v>
      </c>
      <c r="J965" s="11">
        <v>6971</v>
      </c>
      <c r="K965" s="3">
        <v>21.550378439999999</v>
      </c>
      <c r="L965" s="3">
        <f t="shared" si="15"/>
        <v>0.21550378439999998</v>
      </c>
      <c r="M965">
        <v>28</v>
      </c>
      <c r="N965" s="6">
        <f>MediCare_Data[[#This Row],[Average_Wait_Time (mins)]]/1440</f>
        <v>1.9444444444444445E-2</v>
      </c>
      <c r="O965" s="2">
        <v>3</v>
      </c>
      <c r="P965" s="10">
        <v>31063</v>
      </c>
      <c r="Q965" s="17" t="str">
        <f>IF(AND(MediCare_Data[[#This Row],[Patient_Gender]]="Male", MediCare_Data[[#This Row],[Treatment_Type]]="Maternity"), "Gender-Treatment Mismatch", "Fine")</f>
        <v>Fine</v>
      </c>
      <c r="R965" s="10">
        <f>MediCare_Data[[#This Row],[Revenue_Generated]]-MediCare_Data[[#This Row],[Average_Treatment_Cost]]</f>
        <v>24092</v>
      </c>
      <c r="S965" s="3">
        <f>(MediCare_Data[[#This Row],[Profit]]/MediCare_Data[[#This Row],[Revenue_Generated]])</f>
        <v>0.77558510124585522</v>
      </c>
    </row>
    <row r="966" spans="1:19" x14ac:dyDescent="0.25">
      <c r="A966" t="s">
        <v>1013</v>
      </c>
      <c r="B966" t="s">
        <v>58</v>
      </c>
      <c r="C966" t="s">
        <v>36</v>
      </c>
      <c r="D966" t="s">
        <v>21</v>
      </c>
      <c r="E966">
        <v>59</v>
      </c>
      <c r="F966" t="str">
        <f>IF(MediCare_Data[[#This Row],[Patient_Age]]&lt;=18,"0-18",IF(MediCare_Data[[#This Row],[Patient_Age]]&lt;=35,"19-35",IF(MediCare_Data[[#This Row],[Patient_Age]]&lt;=60,"36-60","60+")))</f>
        <v>36-60</v>
      </c>
      <c r="G966" t="s">
        <v>22</v>
      </c>
      <c r="H966" t="s">
        <v>51</v>
      </c>
      <c r="I966" s="2">
        <v>66</v>
      </c>
      <c r="J966" s="11">
        <v>3363</v>
      </c>
      <c r="K966" s="3">
        <v>20.29055589</v>
      </c>
      <c r="L966" s="3">
        <f t="shared" si="15"/>
        <v>0.2029055589</v>
      </c>
      <c r="M966">
        <v>83</v>
      </c>
      <c r="N966" s="6">
        <f>MediCare_Data[[#This Row],[Average_Wait_Time (mins)]]/1440</f>
        <v>5.7638888888888892E-2</v>
      </c>
      <c r="O966" s="2">
        <v>4</v>
      </c>
      <c r="P966" s="10">
        <v>4917</v>
      </c>
      <c r="Q966" s="17" t="str">
        <f>IF(AND(MediCare_Data[[#This Row],[Patient_Gender]]="Male", MediCare_Data[[#This Row],[Treatment_Type]]="Maternity"), "Gender-Treatment Mismatch", "Fine")</f>
        <v>Fine</v>
      </c>
      <c r="R966" s="10">
        <f>MediCare_Data[[#This Row],[Revenue_Generated]]-MediCare_Data[[#This Row],[Average_Treatment_Cost]]</f>
        <v>1554</v>
      </c>
      <c r="S966" s="3">
        <f>(MediCare_Data[[#This Row],[Profit]]/MediCare_Data[[#This Row],[Revenue_Generated]])</f>
        <v>0.31604636973764488</v>
      </c>
    </row>
    <row r="967" spans="1:19" x14ac:dyDescent="0.25">
      <c r="A967" t="s">
        <v>1014</v>
      </c>
      <c r="B967" t="s">
        <v>61</v>
      </c>
      <c r="C967" t="s">
        <v>15</v>
      </c>
      <c r="D967" t="s">
        <v>21</v>
      </c>
      <c r="E967">
        <v>33</v>
      </c>
      <c r="F967" t="str">
        <f>IF(MediCare_Data[[#This Row],[Patient_Age]]&lt;=18,"0-18",IF(MediCare_Data[[#This Row],[Patient_Age]]&lt;=35,"19-35",IF(MediCare_Data[[#This Row],[Patient_Age]]&lt;=60,"36-60","60+")))</f>
        <v>19-35</v>
      </c>
      <c r="G967" t="s">
        <v>22</v>
      </c>
      <c r="H967" t="s">
        <v>51</v>
      </c>
      <c r="I967" s="2">
        <v>88</v>
      </c>
      <c r="J967" s="11">
        <v>1677</v>
      </c>
      <c r="K967" s="3">
        <v>16.47057903</v>
      </c>
      <c r="L967" s="3">
        <f t="shared" si="15"/>
        <v>0.16470579029999999</v>
      </c>
      <c r="M967">
        <v>177</v>
      </c>
      <c r="N967" s="6">
        <f>MediCare_Data[[#This Row],[Average_Wait_Time (mins)]]/1440</f>
        <v>0.12291666666666666</v>
      </c>
      <c r="O967" s="2">
        <v>3</v>
      </c>
      <c r="P967" s="10">
        <v>3936</v>
      </c>
      <c r="Q967" s="17" t="str">
        <f>IF(AND(MediCare_Data[[#This Row],[Patient_Gender]]="Male", MediCare_Data[[#This Row],[Treatment_Type]]="Maternity"), "Gender-Treatment Mismatch", "Fine")</f>
        <v>Fine</v>
      </c>
      <c r="R967" s="10">
        <f>MediCare_Data[[#This Row],[Revenue_Generated]]-MediCare_Data[[#This Row],[Average_Treatment_Cost]]</f>
        <v>2259</v>
      </c>
      <c r="S967" s="3">
        <f>(MediCare_Data[[#This Row],[Profit]]/MediCare_Data[[#This Row],[Revenue_Generated]])</f>
        <v>0.57393292682926833</v>
      </c>
    </row>
    <row r="968" spans="1:19" x14ac:dyDescent="0.25">
      <c r="A968" t="s">
        <v>1015</v>
      </c>
      <c r="B968" t="s">
        <v>45</v>
      </c>
      <c r="C968" t="s">
        <v>36</v>
      </c>
      <c r="D968" t="s">
        <v>21</v>
      </c>
      <c r="E968">
        <v>6</v>
      </c>
      <c r="F968" t="str">
        <f>IF(MediCare_Data[[#This Row],[Patient_Age]]&lt;=18,"0-18",IF(MediCare_Data[[#This Row],[Patient_Age]]&lt;=35,"19-35",IF(MediCare_Data[[#This Row],[Patient_Age]]&lt;=60,"36-60","60+")))</f>
        <v>0-18</v>
      </c>
      <c r="G968" t="s">
        <v>22</v>
      </c>
      <c r="H968" t="s">
        <v>37</v>
      </c>
      <c r="I968" s="2">
        <v>71</v>
      </c>
      <c r="J968" s="11">
        <v>5260</v>
      </c>
      <c r="K968" s="3">
        <v>24.12094287</v>
      </c>
      <c r="L968" s="3">
        <f t="shared" si="15"/>
        <v>0.24120942870000001</v>
      </c>
      <c r="M968">
        <v>166</v>
      </c>
      <c r="N968" s="6">
        <f>MediCare_Data[[#This Row],[Average_Wait_Time (mins)]]/1440</f>
        <v>0.11527777777777778</v>
      </c>
      <c r="O968" s="2">
        <v>4</v>
      </c>
      <c r="P968" s="10">
        <v>37630</v>
      </c>
      <c r="Q968" s="17" t="str">
        <f>IF(AND(MediCare_Data[[#This Row],[Patient_Gender]]="Male", MediCare_Data[[#This Row],[Treatment_Type]]="Maternity"), "Gender-Treatment Mismatch", "Fine")</f>
        <v>Fine</v>
      </c>
      <c r="R968" s="10">
        <f>MediCare_Data[[#This Row],[Revenue_Generated]]-MediCare_Data[[#This Row],[Average_Treatment_Cost]]</f>
        <v>32370</v>
      </c>
      <c r="S968" s="3">
        <f>(MediCare_Data[[#This Row],[Profit]]/MediCare_Data[[#This Row],[Revenue_Generated]])</f>
        <v>0.86021791124103109</v>
      </c>
    </row>
    <row r="969" spans="1:19" x14ac:dyDescent="0.25">
      <c r="A969" t="s">
        <v>1016</v>
      </c>
      <c r="B969" t="s">
        <v>58</v>
      </c>
      <c r="C969" t="s">
        <v>36</v>
      </c>
      <c r="D969" t="s">
        <v>32</v>
      </c>
      <c r="E969">
        <v>81</v>
      </c>
      <c r="F969" t="str">
        <f>IF(MediCare_Data[[#This Row],[Patient_Age]]&lt;=18,"0-18",IF(MediCare_Data[[#This Row],[Patient_Age]]&lt;=35,"19-35",IF(MediCare_Data[[#This Row],[Patient_Age]]&lt;=60,"36-60","60+")))</f>
        <v>60+</v>
      </c>
      <c r="G969" t="s">
        <v>26</v>
      </c>
      <c r="H969" t="s">
        <v>18</v>
      </c>
      <c r="I969" s="2">
        <v>75</v>
      </c>
      <c r="J969" s="11">
        <v>511</v>
      </c>
      <c r="K969" s="3">
        <v>9.0094903110000004</v>
      </c>
      <c r="L969" s="3">
        <f t="shared" si="15"/>
        <v>9.0094903109999999E-2</v>
      </c>
      <c r="M969">
        <v>107</v>
      </c>
      <c r="N969" s="6">
        <f>MediCare_Data[[#This Row],[Average_Wait_Time (mins)]]/1440</f>
        <v>7.4305555555555555E-2</v>
      </c>
      <c r="O969" s="2">
        <v>1</v>
      </c>
      <c r="P969" s="10">
        <v>15506</v>
      </c>
      <c r="Q969" s="17" t="str">
        <f>IF(AND(MediCare_Data[[#This Row],[Patient_Gender]]="Male", MediCare_Data[[#This Row],[Treatment_Type]]="Maternity"), "Gender-Treatment Mismatch", "Fine")</f>
        <v>Fine</v>
      </c>
      <c r="R969" s="10">
        <f>MediCare_Data[[#This Row],[Revenue_Generated]]-MediCare_Data[[#This Row],[Average_Treatment_Cost]]</f>
        <v>14995</v>
      </c>
      <c r="S969" s="3">
        <f>(MediCare_Data[[#This Row],[Profit]]/MediCare_Data[[#This Row],[Revenue_Generated]])</f>
        <v>0.9670450148329679</v>
      </c>
    </row>
    <row r="970" spans="1:19" x14ac:dyDescent="0.25">
      <c r="A970" t="s">
        <v>1017</v>
      </c>
      <c r="B970" t="s">
        <v>14</v>
      </c>
      <c r="C970" t="s">
        <v>20</v>
      </c>
      <c r="D970" t="s">
        <v>32</v>
      </c>
      <c r="E970">
        <v>58</v>
      </c>
      <c r="F970" t="str">
        <f>IF(MediCare_Data[[#This Row],[Patient_Age]]&lt;=18,"0-18",IF(MediCare_Data[[#This Row],[Patient_Age]]&lt;=35,"19-35",IF(MediCare_Data[[#This Row],[Patient_Age]]&lt;=60,"36-60","60+")))</f>
        <v>36-60</v>
      </c>
      <c r="G970" t="s">
        <v>43</v>
      </c>
      <c r="H970" t="s">
        <v>37</v>
      </c>
      <c r="I970" s="2">
        <v>93</v>
      </c>
      <c r="J970" s="11">
        <v>5752</v>
      </c>
      <c r="K970" s="3">
        <v>7.1852842060000004</v>
      </c>
      <c r="L970" s="3">
        <f t="shared" si="15"/>
        <v>7.1852842060000005E-2</v>
      </c>
      <c r="M970">
        <v>150</v>
      </c>
      <c r="N970" s="6">
        <f>MediCare_Data[[#This Row],[Average_Wait_Time (mins)]]/1440</f>
        <v>0.10416666666666667</v>
      </c>
      <c r="O970" s="2">
        <v>2</v>
      </c>
      <c r="P970" s="10">
        <v>29805</v>
      </c>
      <c r="Q970" s="17" t="str">
        <f>IF(AND(MediCare_Data[[#This Row],[Patient_Gender]]="Male", MediCare_Data[[#This Row],[Treatment_Type]]="Maternity"), "Gender-Treatment Mismatch", "Fine")</f>
        <v>Fine</v>
      </c>
      <c r="R970" s="10">
        <f>MediCare_Data[[#This Row],[Revenue_Generated]]-MediCare_Data[[#This Row],[Average_Treatment_Cost]]</f>
        <v>24053</v>
      </c>
      <c r="S970" s="3">
        <f>(MediCare_Data[[#This Row],[Profit]]/MediCare_Data[[#This Row],[Revenue_Generated]])</f>
        <v>0.80701224626740475</v>
      </c>
    </row>
    <row r="971" spans="1:19" x14ac:dyDescent="0.25">
      <c r="A971" t="s">
        <v>1018</v>
      </c>
      <c r="B971" t="s">
        <v>25</v>
      </c>
      <c r="C971" t="s">
        <v>31</v>
      </c>
      <c r="D971" t="s">
        <v>21</v>
      </c>
      <c r="E971">
        <v>52</v>
      </c>
      <c r="F971" t="str">
        <f>IF(MediCare_Data[[#This Row],[Patient_Age]]&lt;=18,"0-18",IF(MediCare_Data[[#This Row],[Patient_Age]]&lt;=35,"19-35",IF(MediCare_Data[[#This Row],[Patient_Age]]&lt;=60,"36-60","60+")))</f>
        <v>36-60</v>
      </c>
      <c r="G971" t="s">
        <v>43</v>
      </c>
      <c r="H971" t="s">
        <v>18</v>
      </c>
      <c r="I971" s="2">
        <v>74</v>
      </c>
      <c r="J971" s="11">
        <v>4899</v>
      </c>
      <c r="K971" s="3">
        <v>22.079239340000001</v>
      </c>
      <c r="L971" s="3">
        <f t="shared" si="15"/>
        <v>0.22079239340000001</v>
      </c>
      <c r="M971">
        <v>138</v>
      </c>
      <c r="N971" s="6">
        <f>MediCare_Data[[#This Row],[Average_Wait_Time (mins)]]/1440</f>
        <v>9.583333333333334E-2</v>
      </c>
      <c r="O971" s="2">
        <v>1</v>
      </c>
      <c r="P971" s="10">
        <v>15318</v>
      </c>
      <c r="Q971" s="17" t="str">
        <f>IF(AND(MediCare_Data[[#This Row],[Patient_Gender]]="Male", MediCare_Data[[#This Row],[Treatment_Type]]="Maternity"), "Gender-Treatment Mismatch", "Fine")</f>
        <v>Fine</v>
      </c>
      <c r="R971" s="10">
        <f>MediCare_Data[[#This Row],[Revenue_Generated]]-MediCare_Data[[#This Row],[Average_Treatment_Cost]]</f>
        <v>10419</v>
      </c>
      <c r="S971" s="3">
        <f>(MediCare_Data[[#This Row],[Profit]]/MediCare_Data[[#This Row],[Revenue_Generated]])</f>
        <v>0.68018018018018023</v>
      </c>
    </row>
    <row r="972" spans="1:19" x14ac:dyDescent="0.25">
      <c r="A972" t="s">
        <v>1019</v>
      </c>
      <c r="B972" t="s">
        <v>39</v>
      </c>
      <c r="C972" t="s">
        <v>29</v>
      </c>
      <c r="D972" t="s">
        <v>32</v>
      </c>
      <c r="E972">
        <v>25</v>
      </c>
      <c r="F972" t="str">
        <f>IF(MediCare_Data[[#This Row],[Patient_Age]]&lt;=18,"0-18",IF(MediCare_Data[[#This Row],[Patient_Age]]&lt;=35,"19-35",IF(MediCare_Data[[#This Row],[Patient_Age]]&lt;=60,"36-60","60+")))</f>
        <v>19-35</v>
      </c>
      <c r="G972" t="s">
        <v>26</v>
      </c>
      <c r="H972" t="s">
        <v>18</v>
      </c>
      <c r="I972" s="2">
        <v>66</v>
      </c>
      <c r="J972" s="11">
        <v>8734</v>
      </c>
      <c r="K972" s="3">
        <v>13.78299633</v>
      </c>
      <c r="L972" s="3">
        <f t="shared" si="15"/>
        <v>0.1378299633</v>
      </c>
      <c r="M972">
        <v>171</v>
      </c>
      <c r="N972" s="6">
        <f>MediCare_Data[[#This Row],[Average_Wait_Time (mins)]]/1440</f>
        <v>0.11874999999999999</v>
      </c>
      <c r="O972" s="2">
        <v>2</v>
      </c>
      <c r="P972" s="10">
        <v>49068</v>
      </c>
      <c r="Q972" s="17" t="str">
        <f>IF(AND(MediCare_Data[[#This Row],[Patient_Gender]]="Male", MediCare_Data[[#This Row],[Treatment_Type]]="Maternity"), "Gender-Treatment Mismatch", "Fine")</f>
        <v>Fine</v>
      </c>
      <c r="R972" s="10">
        <f>MediCare_Data[[#This Row],[Revenue_Generated]]-MediCare_Data[[#This Row],[Average_Treatment_Cost]]</f>
        <v>40334</v>
      </c>
      <c r="S972" s="3">
        <f>(MediCare_Data[[#This Row],[Profit]]/MediCare_Data[[#This Row],[Revenue_Generated]])</f>
        <v>0.82200211950762203</v>
      </c>
    </row>
    <row r="973" spans="1:19" x14ac:dyDescent="0.25">
      <c r="A973" t="s">
        <v>1020</v>
      </c>
      <c r="B973" t="s">
        <v>14</v>
      </c>
      <c r="C973" t="s">
        <v>46</v>
      </c>
      <c r="D973" t="s">
        <v>21</v>
      </c>
      <c r="E973">
        <v>53</v>
      </c>
      <c r="F973" t="str">
        <f>IF(MediCare_Data[[#This Row],[Patient_Age]]&lt;=18,"0-18",IF(MediCare_Data[[#This Row],[Patient_Age]]&lt;=35,"19-35",IF(MediCare_Data[[#This Row],[Patient_Age]]&lt;=60,"36-60","60+")))</f>
        <v>36-60</v>
      </c>
      <c r="G973" t="s">
        <v>26</v>
      </c>
      <c r="H973" t="s">
        <v>33</v>
      </c>
      <c r="I973" s="2">
        <v>62</v>
      </c>
      <c r="J973" s="11">
        <v>9635</v>
      </c>
      <c r="K973" s="3">
        <v>21.93937708</v>
      </c>
      <c r="L973" s="3">
        <f t="shared" si="15"/>
        <v>0.2193937708</v>
      </c>
      <c r="M973">
        <v>102</v>
      </c>
      <c r="N973" s="6">
        <f>MediCare_Data[[#This Row],[Average_Wait_Time (mins)]]/1440</f>
        <v>7.0833333333333331E-2</v>
      </c>
      <c r="O973" s="2">
        <v>2</v>
      </c>
      <c r="P973" s="10">
        <v>27026</v>
      </c>
      <c r="Q973" s="17" t="str">
        <f>IF(AND(MediCare_Data[[#This Row],[Patient_Gender]]="Male", MediCare_Data[[#This Row],[Treatment_Type]]="Maternity"), "Gender-Treatment Mismatch", "Fine")</f>
        <v>Fine</v>
      </c>
      <c r="R973" s="10">
        <f>MediCare_Data[[#This Row],[Revenue_Generated]]-MediCare_Data[[#This Row],[Average_Treatment_Cost]]</f>
        <v>17391</v>
      </c>
      <c r="S973" s="3">
        <f>(MediCare_Data[[#This Row],[Profit]]/MediCare_Data[[#This Row],[Revenue_Generated]])</f>
        <v>0.64349145267520169</v>
      </c>
    </row>
    <row r="974" spans="1:19" x14ac:dyDescent="0.25">
      <c r="A974" t="s">
        <v>1021</v>
      </c>
      <c r="B974" t="s">
        <v>58</v>
      </c>
      <c r="C974" t="s">
        <v>29</v>
      </c>
      <c r="D974" t="s">
        <v>16</v>
      </c>
      <c r="E974">
        <v>70</v>
      </c>
      <c r="F974" t="str">
        <f>IF(MediCare_Data[[#This Row],[Patient_Age]]&lt;=18,"0-18",IF(MediCare_Data[[#This Row],[Patient_Age]]&lt;=35,"19-35",IF(MediCare_Data[[#This Row],[Patient_Age]]&lt;=60,"36-60","60+")))</f>
        <v>60+</v>
      </c>
      <c r="G974" t="s">
        <v>22</v>
      </c>
      <c r="H974" t="s">
        <v>33</v>
      </c>
      <c r="I974" s="2">
        <v>69</v>
      </c>
      <c r="J974" s="11">
        <v>5945</v>
      </c>
      <c r="K974" s="3">
        <v>22.861804100000001</v>
      </c>
      <c r="L974" s="3">
        <f t="shared" si="15"/>
        <v>0.22861804099999999</v>
      </c>
      <c r="M974">
        <v>57</v>
      </c>
      <c r="N974" s="6">
        <f>MediCare_Data[[#This Row],[Average_Wait_Time (mins)]]/1440</f>
        <v>3.9583333333333331E-2</v>
      </c>
      <c r="O974" s="2">
        <v>3</v>
      </c>
      <c r="P974" s="10">
        <v>28672</v>
      </c>
      <c r="Q974" s="17" t="str">
        <f>IF(AND(MediCare_Data[[#This Row],[Patient_Gender]]="Male", MediCare_Data[[#This Row],[Treatment_Type]]="Maternity"), "Gender-Treatment Mismatch", "Fine")</f>
        <v>Fine</v>
      </c>
      <c r="R974" s="10">
        <f>MediCare_Data[[#This Row],[Revenue_Generated]]-MediCare_Data[[#This Row],[Average_Treatment_Cost]]</f>
        <v>22727</v>
      </c>
      <c r="S974" s="3">
        <f>(MediCare_Data[[#This Row],[Profit]]/MediCare_Data[[#This Row],[Revenue_Generated]])</f>
        <v>0.7926548549107143</v>
      </c>
    </row>
    <row r="975" spans="1:19" x14ac:dyDescent="0.25">
      <c r="A975" t="s">
        <v>1022</v>
      </c>
      <c r="B975" t="s">
        <v>28</v>
      </c>
      <c r="C975" t="s">
        <v>54</v>
      </c>
      <c r="D975" t="s">
        <v>21</v>
      </c>
      <c r="E975">
        <v>28</v>
      </c>
      <c r="F975" t="str">
        <f>IF(MediCare_Data[[#This Row],[Patient_Age]]&lt;=18,"0-18",IF(MediCare_Data[[#This Row],[Patient_Age]]&lt;=35,"19-35",IF(MediCare_Data[[#This Row],[Patient_Age]]&lt;=60,"36-60","60+")))</f>
        <v>19-35</v>
      </c>
      <c r="G975" t="s">
        <v>26</v>
      </c>
      <c r="H975" t="s">
        <v>47</v>
      </c>
      <c r="I975" s="2">
        <v>74</v>
      </c>
      <c r="J975" s="11">
        <v>7070</v>
      </c>
      <c r="K975" s="3">
        <v>6.2491518719999997</v>
      </c>
      <c r="L975" s="3">
        <f t="shared" si="15"/>
        <v>6.249151872E-2</v>
      </c>
      <c r="M975">
        <v>73</v>
      </c>
      <c r="N975" s="6">
        <f>MediCare_Data[[#This Row],[Average_Wait_Time (mins)]]/1440</f>
        <v>5.0694444444444445E-2</v>
      </c>
      <c r="O975" s="2">
        <v>2</v>
      </c>
      <c r="P975" s="10">
        <v>39417</v>
      </c>
      <c r="Q975" s="17" t="str">
        <f>IF(AND(MediCare_Data[[#This Row],[Patient_Gender]]="Male", MediCare_Data[[#This Row],[Treatment_Type]]="Maternity"), "Gender-Treatment Mismatch", "Fine")</f>
        <v>Fine</v>
      </c>
      <c r="R975" s="10">
        <f>MediCare_Data[[#This Row],[Revenue_Generated]]-MediCare_Data[[#This Row],[Average_Treatment_Cost]]</f>
        <v>32347</v>
      </c>
      <c r="S975" s="3">
        <f>(MediCare_Data[[#This Row],[Profit]]/MediCare_Data[[#This Row],[Revenue_Generated]])</f>
        <v>0.82063576629373114</v>
      </c>
    </row>
    <row r="976" spans="1:19" x14ac:dyDescent="0.25">
      <c r="A976" t="s">
        <v>1023</v>
      </c>
      <c r="B976" t="s">
        <v>61</v>
      </c>
      <c r="C976" t="s">
        <v>46</v>
      </c>
      <c r="D976" t="s">
        <v>32</v>
      </c>
      <c r="E976">
        <v>4</v>
      </c>
      <c r="F976" t="str">
        <f>IF(MediCare_Data[[#This Row],[Patient_Age]]&lt;=18,"0-18",IF(MediCare_Data[[#This Row],[Patient_Age]]&lt;=35,"19-35",IF(MediCare_Data[[#This Row],[Patient_Age]]&lt;=60,"36-60","60+")))</f>
        <v>0-18</v>
      </c>
      <c r="G976" t="s">
        <v>43</v>
      </c>
      <c r="H976" t="s">
        <v>23</v>
      </c>
      <c r="I976" s="2">
        <v>53</v>
      </c>
      <c r="J976" s="11">
        <v>9696</v>
      </c>
      <c r="K976" s="3">
        <v>22.669295259999998</v>
      </c>
      <c r="L976" s="3">
        <f t="shared" si="15"/>
        <v>0.2266929526</v>
      </c>
      <c r="M976">
        <v>70</v>
      </c>
      <c r="N976" s="6">
        <f>MediCare_Data[[#This Row],[Average_Wait_Time (mins)]]/1440</f>
        <v>4.8611111111111112E-2</v>
      </c>
      <c r="O976" s="2">
        <v>1</v>
      </c>
      <c r="P976" s="10">
        <v>28281</v>
      </c>
      <c r="Q976" s="17" t="str">
        <f>IF(AND(MediCare_Data[[#This Row],[Patient_Gender]]="Male", MediCare_Data[[#This Row],[Treatment_Type]]="Maternity"), "Gender-Treatment Mismatch", "Fine")</f>
        <v>Fine</v>
      </c>
      <c r="R976" s="10">
        <f>MediCare_Data[[#This Row],[Revenue_Generated]]-MediCare_Data[[#This Row],[Average_Treatment_Cost]]</f>
        <v>18585</v>
      </c>
      <c r="S976" s="3">
        <f>(MediCare_Data[[#This Row],[Profit]]/MediCare_Data[[#This Row],[Revenue_Generated]])</f>
        <v>0.65715498037551712</v>
      </c>
    </row>
    <row r="977" spans="1:19" x14ac:dyDescent="0.25">
      <c r="A977" t="s">
        <v>1024</v>
      </c>
      <c r="B977" t="s">
        <v>41</v>
      </c>
      <c r="C977" t="s">
        <v>54</v>
      </c>
      <c r="D977" t="s">
        <v>21</v>
      </c>
      <c r="E977">
        <v>83</v>
      </c>
      <c r="F977" t="str">
        <f>IF(MediCare_Data[[#This Row],[Patient_Age]]&lt;=18,"0-18",IF(MediCare_Data[[#This Row],[Patient_Age]]&lt;=35,"19-35",IF(MediCare_Data[[#This Row],[Patient_Age]]&lt;=60,"36-60","60+")))</f>
        <v>60+</v>
      </c>
      <c r="G977" t="s">
        <v>17</v>
      </c>
      <c r="H977" t="s">
        <v>23</v>
      </c>
      <c r="I977" s="2">
        <v>59</v>
      </c>
      <c r="J977" s="11">
        <v>8712</v>
      </c>
      <c r="K977" s="3">
        <v>13.96638111</v>
      </c>
      <c r="L977" s="3">
        <f t="shared" si="15"/>
        <v>0.13966381110000001</v>
      </c>
      <c r="M977">
        <v>166</v>
      </c>
      <c r="N977" s="6">
        <f>MediCare_Data[[#This Row],[Average_Wait_Time (mins)]]/1440</f>
        <v>0.11527777777777778</v>
      </c>
      <c r="O977" s="2">
        <v>1</v>
      </c>
      <c r="P977" s="10">
        <v>49442</v>
      </c>
      <c r="Q977" s="17" t="str">
        <f>IF(AND(MediCare_Data[[#This Row],[Patient_Gender]]="Male", MediCare_Data[[#This Row],[Treatment_Type]]="Maternity"), "Gender-Treatment Mismatch", "Fine")</f>
        <v>Fine</v>
      </c>
      <c r="R977" s="10">
        <f>MediCare_Data[[#This Row],[Revenue_Generated]]-MediCare_Data[[#This Row],[Average_Treatment_Cost]]</f>
        <v>40730</v>
      </c>
      <c r="S977" s="3">
        <f>(MediCare_Data[[#This Row],[Profit]]/MediCare_Data[[#This Row],[Revenue_Generated]])</f>
        <v>0.82379353586019988</v>
      </c>
    </row>
    <row r="978" spans="1:19" x14ac:dyDescent="0.25">
      <c r="A978" t="s">
        <v>1025</v>
      </c>
      <c r="B978" t="s">
        <v>56</v>
      </c>
      <c r="C978" t="s">
        <v>46</v>
      </c>
      <c r="D978" t="s">
        <v>21</v>
      </c>
      <c r="E978">
        <v>60</v>
      </c>
      <c r="F978" t="str">
        <f>IF(MediCare_Data[[#This Row],[Patient_Age]]&lt;=18,"0-18",IF(MediCare_Data[[#This Row],[Patient_Age]]&lt;=35,"19-35",IF(MediCare_Data[[#This Row],[Patient_Age]]&lt;=60,"36-60","60+")))</f>
        <v>36-60</v>
      </c>
      <c r="G978" t="s">
        <v>17</v>
      </c>
      <c r="H978" t="s">
        <v>47</v>
      </c>
      <c r="I978" s="2">
        <v>52</v>
      </c>
      <c r="J978" s="11">
        <v>906</v>
      </c>
      <c r="K978" s="3">
        <v>15.20864978</v>
      </c>
      <c r="L978" s="3">
        <f t="shared" si="15"/>
        <v>0.1520864978</v>
      </c>
      <c r="M978">
        <v>48</v>
      </c>
      <c r="N978" s="6">
        <f>MediCare_Data[[#This Row],[Average_Wait_Time (mins)]]/1440</f>
        <v>3.3333333333333333E-2</v>
      </c>
      <c r="O978" s="2">
        <v>4</v>
      </c>
      <c r="P978" s="10">
        <v>29091</v>
      </c>
      <c r="Q978" s="17" t="str">
        <f>IF(AND(MediCare_Data[[#This Row],[Patient_Gender]]="Male", MediCare_Data[[#This Row],[Treatment_Type]]="Maternity"), "Gender-Treatment Mismatch", "Fine")</f>
        <v>Fine</v>
      </c>
      <c r="R978" s="10">
        <f>MediCare_Data[[#This Row],[Revenue_Generated]]-MediCare_Data[[#This Row],[Average_Treatment_Cost]]</f>
        <v>28185</v>
      </c>
      <c r="S978" s="3">
        <f>(MediCare_Data[[#This Row],[Profit]]/MediCare_Data[[#This Row],[Revenue_Generated]])</f>
        <v>0.96885634732391457</v>
      </c>
    </row>
    <row r="979" spans="1:19" x14ac:dyDescent="0.25">
      <c r="A979" t="s">
        <v>1026</v>
      </c>
      <c r="B979" t="s">
        <v>49</v>
      </c>
      <c r="C979" t="s">
        <v>54</v>
      </c>
      <c r="D979" t="s">
        <v>32</v>
      </c>
      <c r="E979">
        <v>68</v>
      </c>
      <c r="F979" t="str">
        <f>IF(MediCare_Data[[#This Row],[Patient_Age]]&lt;=18,"0-18",IF(MediCare_Data[[#This Row],[Patient_Age]]&lt;=35,"19-35",IF(MediCare_Data[[#This Row],[Patient_Age]]&lt;=60,"36-60","60+")))</f>
        <v>60+</v>
      </c>
      <c r="G979" t="s">
        <v>17</v>
      </c>
      <c r="H979" t="s">
        <v>18</v>
      </c>
      <c r="I979" s="2">
        <v>90</v>
      </c>
      <c r="J979" s="11">
        <v>9706</v>
      </c>
      <c r="K979" s="3">
        <v>17.531850219999999</v>
      </c>
      <c r="L979" s="3">
        <f t="shared" si="15"/>
        <v>0.1753185022</v>
      </c>
      <c r="M979">
        <v>137</v>
      </c>
      <c r="N979" s="6">
        <f>MediCare_Data[[#This Row],[Average_Wait_Time (mins)]]/1440</f>
        <v>9.5138888888888884E-2</v>
      </c>
      <c r="O979" s="2">
        <v>1</v>
      </c>
      <c r="P979" s="10">
        <v>39328</v>
      </c>
      <c r="Q979" s="17" t="str">
        <f>IF(AND(MediCare_Data[[#This Row],[Patient_Gender]]="Male", MediCare_Data[[#This Row],[Treatment_Type]]="Maternity"), "Gender-Treatment Mismatch", "Fine")</f>
        <v>Fine</v>
      </c>
      <c r="R979" s="10">
        <f>MediCare_Data[[#This Row],[Revenue_Generated]]-MediCare_Data[[#This Row],[Average_Treatment_Cost]]</f>
        <v>29622</v>
      </c>
      <c r="S979" s="3">
        <f>(MediCare_Data[[#This Row],[Profit]]/MediCare_Data[[#This Row],[Revenue_Generated]])</f>
        <v>0.75320382424735555</v>
      </c>
    </row>
    <row r="980" spans="1:19" x14ac:dyDescent="0.25">
      <c r="A980" t="s">
        <v>1027</v>
      </c>
      <c r="B980" t="s">
        <v>28</v>
      </c>
      <c r="C980" t="s">
        <v>20</v>
      </c>
      <c r="D980" t="s">
        <v>16</v>
      </c>
      <c r="E980">
        <v>2</v>
      </c>
      <c r="F980" t="str">
        <f>IF(MediCare_Data[[#This Row],[Patient_Age]]&lt;=18,"0-18",IF(MediCare_Data[[#This Row],[Patient_Age]]&lt;=35,"19-35",IF(MediCare_Data[[#This Row],[Patient_Age]]&lt;=60,"36-60","60+")))</f>
        <v>0-18</v>
      </c>
      <c r="G980" t="s">
        <v>22</v>
      </c>
      <c r="H980" t="s">
        <v>18</v>
      </c>
      <c r="I980" s="2">
        <v>94</v>
      </c>
      <c r="J980" s="11">
        <v>4931</v>
      </c>
      <c r="K980" s="3">
        <v>23.52765213</v>
      </c>
      <c r="L980" s="3">
        <f t="shared" si="15"/>
        <v>0.23527652129999999</v>
      </c>
      <c r="M980">
        <v>97</v>
      </c>
      <c r="N980" s="6">
        <f>MediCare_Data[[#This Row],[Average_Wait_Time (mins)]]/1440</f>
        <v>6.7361111111111108E-2</v>
      </c>
      <c r="O980" s="2">
        <v>4</v>
      </c>
      <c r="P980" s="10">
        <v>49219</v>
      </c>
      <c r="Q980" s="17" t="str">
        <f>IF(AND(MediCare_Data[[#This Row],[Patient_Gender]]="Male", MediCare_Data[[#This Row],[Treatment_Type]]="Maternity"), "Gender-Treatment Mismatch", "Fine")</f>
        <v>Fine</v>
      </c>
      <c r="R980" s="10">
        <f>MediCare_Data[[#This Row],[Revenue_Generated]]-MediCare_Data[[#This Row],[Average_Treatment_Cost]]</f>
        <v>44288</v>
      </c>
      <c r="S980" s="3">
        <f>(MediCare_Data[[#This Row],[Profit]]/MediCare_Data[[#This Row],[Revenue_Generated]])</f>
        <v>0.89981511205022446</v>
      </c>
    </row>
    <row r="981" spans="1:19" x14ac:dyDescent="0.25">
      <c r="A981" t="s">
        <v>1028</v>
      </c>
      <c r="B981" t="s">
        <v>74</v>
      </c>
      <c r="C981" t="s">
        <v>20</v>
      </c>
      <c r="D981" t="s">
        <v>16</v>
      </c>
      <c r="E981">
        <v>26</v>
      </c>
      <c r="F981" t="str">
        <f>IF(MediCare_Data[[#This Row],[Patient_Age]]&lt;=18,"0-18",IF(MediCare_Data[[#This Row],[Patient_Age]]&lt;=35,"19-35",IF(MediCare_Data[[#This Row],[Patient_Age]]&lt;=60,"36-60","60+")))</f>
        <v>19-35</v>
      </c>
      <c r="G981" t="s">
        <v>43</v>
      </c>
      <c r="H981" t="s">
        <v>47</v>
      </c>
      <c r="I981" s="2">
        <v>67</v>
      </c>
      <c r="J981" s="11">
        <v>5743</v>
      </c>
      <c r="K981" s="3">
        <v>5.382321889</v>
      </c>
      <c r="L981" s="3">
        <f t="shared" si="15"/>
        <v>5.3823218889999996E-2</v>
      </c>
      <c r="M981">
        <v>35</v>
      </c>
      <c r="N981" s="6">
        <f>MediCare_Data[[#This Row],[Average_Wait_Time (mins)]]/1440</f>
        <v>2.4305555555555556E-2</v>
      </c>
      <c r="O981" s="2">
        <v>2</v>
      </c>
      <c r="P981" s="10">
        <v>19610</v>
      </c>
      <c r="Q981" s="17" t="str">
        <f>IF(AND(MediCare_Data[[#This Row],[Patient_Gender]]="Male", MediCare_Data[[#This Row],[Treatment_Type]]="Maternity"), "Gender-Treatment Mismatch", "Fine")</f>
        <v>Fine</v>
      </c>
      <c r="R981" s="10">
        <f>MediCare_Data[[#This Row],[Revenue_Generated]]-MediCare_Data[[#This Row],[Average_Treatment_Cost]]</f>
        <v>13867</v>
      </c>
      <c r="S981" s="3">
        <f>(MediCare_Data[[#This Row],[Profit]]/MediCare_Data[[#This Row],[Revenue_Generated]])</f>
        <v>0.70713921468638452</v>
      </c>
    </row>
    <row r="982" spans="1:19" x14ac:dyDescent="0.25">
      <c r="A982" t="s">
        <v>1029</v>
      </c>
      <c r="B982" t="s">
        <v>25</v>
      </c>
      <c r="C982" t="s">
        <v>36</v>
      </c>
      <c r="D982" t="s">
        <v>32</v>
      </c>
      <c r="E982">
        <v>41</v>
      </c>
      <c r="F982" t="str">
        <f>IF(MediCare_Data[[#This Row],[Patient_Age]]&lt;=18,"0-18",IF(MediCare_Data[[#This Row],[Patient_Age]]&lt;=35,"19-35",IF(MediCare_Data[[#This Row],[Patient_Age]]&lt;=60,"36-60","60+")))</f>
        <v>36-60</v>
      </c>
      <c r="G982" t="s">
        <v>17</v>
      </c>
      <c r="H982" t="s">
        <v>33</v>
      </c>
      <c r="I982" s="2">
        <v>96</v>
      </c>
      <c r="J982" s="11">
        <v>7042</v>
      </c>
      <c r="K982" s="3">
        <v>14.53686937</v>
      </c>
      <c r="L982" s="3">
        <f t="shared" si="15"/>
        <v>0.1453686937</v>
      </c>
      <c r="M982">
        <v>26</v>
      </c>
      <c r="N982" s="6">
        <f>MediCare_Data[[#This Row],[Average_Wait_Time (mins)]]/1440</f>
        <v>1.8055555555555554E-2</v>
      </c>
      <c r="O982" s="2">
        <v>1</v>
      </c>
      <c r="P982" s="10">
        <v>2079</v>
      </c>
      <c r="Q982" s="17" t="str">
        <f>IF(AND(MediCare_Data[[#This Row],[Patient_Gender]]="Male", MediCare_Data[[#This Row],[Treatment_Type]]="Maternity"), "Gender-Treatment Mismatch", "Fine")</f>
        <v>Fine</v>
      </c>
      <c r="R982" s="10">
        <f>MediCare_Data[[#This Row],[Revenue_Generated]]-MediCare_Data[[#This Row],[Average_Treatment_Cost]]</f>
        <v>-4963</v>
      </c>
      <c r="S982" s="3">
        <f>(MediCare_Data[[#This Row],[Profit]]/MediCare_Data[[#This Row],[Revenue_Generated]])</f>
        <v>-2.3872053872053871</v>
      </c>
    </row>
    <row r="983" spans="1:19" x14ac:dyDescent="0.25">
      <c r="A983" t="s">
        <v>1030</v>
      </c>
      <c r="B983" t="s">
        <v>61</v>
      </c>
      <c r="C983" t="s">
        <v>15</v>
      </c>
      <c r="D983" t="s">
        <v>21</v>
      </c>
      <c r="E983">
        <v>39</v>
      </c>
      <c r="F983" t="str">
        <f>IF(MediCare_Data[[#This Row],[Patient_Age]]&lt;=18,"0-18",IF(MediCare_Data[[#This Row],[Patient_Age]]&lt;=35,"19-35",IF(MediCare_Data[[#This Row],[Patient_Age]]&lt;=60,"36-60","60+")))</f>
        <v>36-60</v>
      </c>
      <c r="G983" t="s">
        <v>22</v>
      </c>
      <c r="H983" t="s">
        <v>51</v>
      </c>
      <c r="I983" s="2">
        <v>85</v>
      </c>
      <c r="J983" s="11">
        <v>7436</v>
      </c>
      <c r="K983" s="3">
        <v>18.754440850000002</v>
      </c>
      <c r="L983" s="3">
        <f t="shared" si="15"/>
        <v>0.18754440850000001</v>
      </c>
      <c r="M983">
        <v>80</v>
      </c>
      <c r="N983" s="6">
        <f>MediCare_Data[[#This Row],[Average_Wait_Time (mins)]]/1440</f>
        <v>5.5555555555555552E-2</v>
      </c>
      <c r="O983" s="2">
        <v>2</v>
      </c>
      <c r="P983" s="10">
        <v>30850</v>
      </c>
      <c r="Q983" s="17" t="str">
        <f>IF(AND(MediCare_Data[[#This Row],[Patient_Gender]]="Male", MediCare_Data[[#This Row],[Treatment_Type]]="Maternity"), "Gender-Treatment Mismatch", "Fine")</f>
        <v>Fine</v>
      </c>
      <c r="R983" s="10">
        <f>MediCare_Data[[#This Row],[Revenue_Generated]]-MediCare_Data[[#This Row],[Average_Treatment_Cost]]</f>
        <v>23414</v>
      </c>
      <c r="S983" s="3">
        <f>(MediCare_Data[[#This Row],[Profit]]/MediCare_Data[[#This Row],[Revenue_Generated]])</f>
        <v>0.75896272285251221</v>
      </c>
    </row>
    <row r="984" spans="1:19" x14ac:dyDescent="0.25">
      <c r="A984" t="s">
        <v>1031</v>
      </c>
      <c r="B984" t="s">
        <v>58</v>
      </c>
      <c r="C984" t="s">
        <v>46</v>
      </c>
      <c r="D984" t="s">
        <v>21</v>
      </c>
      <c r="E984">
        <v>69</v>
      </c>
      <c r="F984" t="str">
        <f>IF(MediCare_Data[[#This Row],[Patient_Age]]&lt;=18,"0-18",IF(MediCare_Data[[#This Row],[Patient_Age]]&lt;=35,"19-35",IF(MediCare_Data[[#This Row],[Patient_Age]]&lt;=60,"36-60","60+")))</f>
        <v>60+</v>
      </c>
      <c r="G984" t="s">
        <v>17</v>
      </c>
      <c r="H984" t="s">
        <v>51</v>
      </c>
      <c r="I984" s="2">
        <v>96</v>
      </c>
      <c r="J984" s="11">
        <v>9406</v>
      </c>
      <c r="K984" s="3">
        <v>19.45413915</v>
      </c>
      <c r="L984" s="3">
        <f t="shared" si="15"/>
        <v>0.19454139149999999</v>
      </c>
      <c r="M984">
        <v>22</v>
      </c>
      <c r="N984" s="6">
        <f>MediCare_Data[[#This Row],[Average_Wait_Time (mins)]]/1440</f>
        <v>1.5277777777777777E-2</v>
      </c>
      <c r="O984" s="2">
        <v>1</v>
      </c>
      <c r="P984" s="10">
        <v>47751</v>
      </c>
      <c r="Q984" s="17" t="str">
        <f>IF(AND(MediCare_Data[[#This Row],[Patient_Gender]]="Male", MediCare_Data[[#This Row],[Treatment_Type]]="Maternity"), "Gender-Treatment Mismatch", "Fine")</f>
        <v>Fine</v>
      </c>
      <c r="R984" s="10">
        <f>MediCare_Data[[#This Row],[Revenue_Generated]]-MediCare_Data[[#This Row],[Average_Treatment_Cost]]</f>
        <v>38345</v>
      </c>
      <c r="S984" s="3">
        <f>(MediCare_Data[[#This Row],[Profit]]/MediCare_Data[[#This Row],[Revenue_Generated]])</f>
        <v>0.80301983204540217</v>
      </c>
    </row>
    <row r="985" spans="1:19" x14ac:dyDescent="0.25">
      <c r="A985" t="s">
        <v>1032</v>
      </c>
      <c r="B985" t="s">
        <v>25</v>
      </c>
      <c r="C985" t="s">
        <v>36</v>
      </c>
      <c r="D985" t="s">
        <v>32</v>
      </c>
      <c r="E985">
        <v>32</v>
      </c>
      <c r="F985" t="str">
        <f>IF(MediCare_Data[[#This Row],[Patient_Age]]&lt;=18,"0-18",IF(MediCare_Data[[#This Row],[Patient_Age]]&lt;=35,"19-35",IF(MediCare_Data[[#This Row],[Patient_Age]]&lt;=60,"36-60","60+")))</f>
        <v>19-35</v>
      </c>
      <c r="G985" t="s">
        <v>26</v>
      </c>
      <c r="H985" t="s">
        <v>37</v>
      </c>
      <c r="I985" s="2">
        <v>71</v>
      </c>
      <c r="J985" s="11">
        <v>4646</v>
      </c>
      <c r="K985" s="3">
        <v>18.850648629999998</v>
      </c>
      <c r="L985" s="3">
        <f t="shared" si="15"/>
        <v>0.1885064863</v>
      </c>
      <c r="M985">
        <v>78</v>
      </c>
      <c r="N985" s="6">
        <f>MediCare_Data[[#This Row],[Average_Wait_Time (mins)]]/1440</f>
        <v>5.4166666666666669E-2</v>
      </c>
      <c r="O985" s="2">
        <v>1</v>
      </c>
      <c r="P985" s="10">
        <v>21590</v>
      </c>
      <c r="Q985" s="17" t="str">
        <f>IF(AND(MediCare_Data[[#This Row],[Patient_Gender]]="Male", MediCare_Data[[#This Row],[Treatment_Type]]="Maternity"), "Gender-Treatment Mismatch", "Fine")</f>
        <v>Fine</v>
      </c>
      <c r="R985" s="10">
        <f>MediCare_Data[[#This Row],[Revenue_Generated]]-MediCare_Data[[#This Row],[Average_Treatment_Cost]]</f>
        <v>16944</v>
      </c>
      <c r="S985" s="3">
        <f>(MediCare_Data[[#This Row],[Profit]]/MediCare_Data[[#This Row],[Revenue_Generated]])</f>
        <v>0.78480778138026863</v>
      </c>
    </row>
    <row r="986" spans="1:19" x14ac:dyDescent="0.25">
      <c r="A986" t="s">
        <v>1033</v>
      </c>
      <c r="B986" t="s">
        <v>28</v>
      </c>
      <c r="C986" t="s">
        <v>29</v>
      </c>
      <c r="D986" t="s">
        <v>32</v>
      </c>
      <c r="E986">
        <v>18</v>
      </c>
      <c r="F986" t="str">
        <f>IF(MediCare_Data[[#This Row],[Patient_Age]]&lt;=18,"0-18",IF(MediCare_Data[[#This Row],[Patient_Age]]&lt;=35,"19-35",IF(MediCare_Data[[#This Row],[Patient_Age]]&lt;=60,"36-60","60+")))</f>
        <v>0-18</v>
      </c>
      <c r="G986" t="s">
        <v>26</v>
      </c>
      <c r="H986" t="s">
        <v>33</v>
      </c>
      <c r="I986" s="2">
        <v>83</v>
      </c>
      <c r="J986" s="11">
        <v>640</v>
      </c>
      <c r="K986" s="3">
        <v>7.6887025879999999</v>
      </c>
      <c r="L986" s="3">
        <f t="shared" si="15"/>
        <v>7.6887025880000001E-2</v>
      </c>
      <c r="M986">
        <v>35</v>
      </c>
      <c r="N986" s="6">
        <f>MediCare_Data[[#This Row],[Average_Wait_Time (mins)]]/1440</f>
        <v>2.4305555555555556E-2</v>
      </c>
      <c r="O986" s="2">
        <v>4</v>
      </c>
      <c r="P986" s="10">
        <v>31951</v>
      </c>
      <c r="Q986" s="17" t="str">
        <f>IF(AND(MediCare_Data[[#This Row],[Patient_Gender]]="Male", MediCare_Data[[#This Row],[Treatment_Type]]="Maternity"), "Gender-Treatment Mismatch", "Fine")</f>
        <v>Fine</v>
      </c>
      <c r="R986" s="10">
        <f>MediCare_Data[[#This Row],[Revenue_Generated]]-MediCare_Data[[#This Row],[Average_Treatment_Cost]]</f>
        <v>31311</v>
      </c>
      <c r="S986" s="3">
        <f>(MediCare_Data[[#This Row],[Profit]]/MediCare_Data[[#This Row],[Revenue_Generated]])</f>
        <v>0.97996932803355141</v>
      </c>
    </row>
    <row r="987" spans="1:19" x14ac:dyDescent="0.25">
      <c r="A987" t="s">
        <v>1034</v>
      </c>
      <c r="B987" t="s">
        <v>53</v>
      </c>
      <c r="C987" t="s">
        <v>20</v>
      </c>
      <c r="D987" t="s">
        <v>32</v>
      </c>
      <c r="E987">
        <v>89</v>
      </c>
      <c r="F987" t="str">
        <f>IF(MediCare_Data[[#This Row],[Patient_Age]]&lt;=18,"0-18",IF(MediCare_Data[[#This Row],[Patient_Age]]&lt;=35,"19-35",IF(MediCare_Data[[#This Row],[Patient_Age]]&lt;=60,"36-60","60+")))</f>
        <v>60+</v>
      </c>
      <c r="G987" t="s">
        <v>22</v>
      </c>
      <c r="H987" t="s">
        <v>47</v>
      </c>
      <c r="I987" s="2">
        <v>96</v>
      </c>
      <c r="J987" s="11">
        <v>5382</v>
      </c>
      <c r="K987" s="3">
        <v>10.98791177</v>
      </c>
      <c r="L987" s="3">
        <f t="shared" si="15"/>
        <v>0.1098791177</v>
      </c>
      <c r="M987">
        <v>58</v>
      </c>
      <c r="N987" s="6">
        <f>MediCare_Data[[#This Row],[Average_Wait_Time (mins)]]/1440</f>
        <v>4.027777777777778E-2</v>
      </c>
      <c r="O987" s="2">
        <v>2</v>
      </c>
      <c r="P987" s="10">
        <v>16327</v>
      </c>
      <c r="Q987" s="17" t="str">
        <f>IF(AND(MediCare_Data[[#This Row],[Patient_Gender]]="Male", MediCare_Data[[#This Row],[Treatment_Type]]="Maternity"), "Gender-Treatment Mismatch", "Fine")</f>
        <v>Fine</v>
      </c>
      <c r="R987" s="10">
        <f>MediCare_Data[[#This Row],[Revenue_Generated]]-MediCare_Data[[#This Row],[Average_Treatment_Cost]]</f>
        <v>10945</v>
      </c>
      <c r="S987" s="3">
        <f>(MediCare_Data[[#This Row],[Profit]]/MediCare_Data[[#This Row],[Revenue_Generated]])</f>
        <v>0.67036197709315859</v>
      </c>
    </row>
    <row r="988" spans="1:19" x14ac:dyDescent="0.25">
      <c r="A988" t="s">
        <v>1035</v>
      </c>
      <c r="B988" t="s">
        <v>58</v>
      </c>
      <c r="C988" t="s">
        <v>31</v>
      </c>
      <c r="D988" t="s">
        <v>21</v>
      </c>
      <c r="E988">
        <v>63</v>
      </c>
      <c r="F988" t="str">
        <f>IF(MediCare_Data[[#This Row],[Patient_Age]]&lt;=18,"0-18",IF(MediCare_Data[[#This Row],[Patient_Age]]&lt;=35,"19-35",IF(MediCare_Data[[#This Row],[Patient_Age]]&lt;=60,"36-60","60+")))</f>
        <v>60+</v>
      </c>
      <c r="G988" t="s">
        <v>22</v>
      </c>
      <c r="H988" t="s">
        <v>33</v>
      </c>
      <c r="I988" s="2">
        <v>57</v>
      </c>
      <c r="J988" s="11">
        <v>6512</v>
      </c>
      <c r="K988" s="3">
        <v>12.17431051</v>
      </c>
      <c r="L988" s="3">
        <f t="shared" si="15"/>
        <v>0.1217431051</v>
      </c>
      <c r="M988">
        <v>16</v>
      </c>
      <c r="N988" s="6">
        <f>MediCare_Data[[#This Row],[Average_Wait_Time (mins)]]/1440</f>
        <v>1.1111111111111112E-2</v>
      </c>
      <c r="O988" s="2">
        <v>1</v>
      </c>
      <c r="P988" s="10">
        <v>13755</v>
      </c>
      <c r="Q988" s="17" t="str">
        <f>IF(AND(MediCare_Data[[#This Row],[Patient_Gender]]="Male", MediCare_Data[[#This Row],[Treatment_Type]]="Maternity"), "Gender-Treatment Mismatch", "Fine")</f>
        <v>Fine</v>
      </c>
      <c r="R988" s="10">
        <f>MediCare_Data[[#This Row],[Revenue_Generated]]-MediCare_Data[[#This Row],[Average_Treatment_Cost]]</f>
        <v>7243</v>
      </c>
      <c r="S988" s="3">
        <f>(MediCare_Data[[#This Row],[Profit]]/MediCare_Data[[#This Row],[Revenue_Generated]])</f>
        <v>0.5265721555797892</v>
      </c>
    </row>
    <row r="989" spans="1:19" x14ac:dyDescent="0.25">
      <c r="A989" t="s">
        <v>1036</v>
      </c>
      <c r="B989" t="s">
        <v>45</v>
      </c>
      <c r="C989" t="s">
        <v>20</v>
      </c>
      <c r="D989" t="s">
        <v>16</v>
      </c>
      <c r="E989">
        <v>23</v>
      </c>
      <c r="F989" t="str">
        <f>IF(MediCare_Data[[#This Row],[Patient_Age]]&lt;=18,"0-18",IF(MediCare_Data[[#This Row],[Patient_Age]]&lt;=35,"19-35",IF(MediCare_Data[[#This Row],[Patient_Age]]&lt;=60,"36-60","60+")))</f>
        <v>19-35</v>
      </c>
      <c r="G989" t="s">
        <v>22</v>
      </c>
      <c r="H989" t="s">
        <v>47</v>
      </c>
      <c r="I989" s="2">
        <v>89</v>
      </c>
      <c r="J989" s="11">
        <v>1463</v>
      </c>
      <c r="K989" s="3">
        <v>21.08874415</v>
      </c>
      <c r="L989" s="3">
        <f t="shared" si="15"/>
        <v>0.21088744149999999</v>
      </c>
      <c r="M989">
        <v>67</v>
      </c>
      <c r="N989" s="6">
        <f>MediCare_Data[[#This Row],[Average_Wait_Time (mins)]]/1440</f>
        <v>4.6527777777777779E-2</v>
      </c>
      <c r="O989" s="2">
        <v>3</v>
      </c>
      <c r="P989" s="10">
        <v>8235</v>
      </c>
      <c r="Q989" s="17" t="str">
        <f>IF(AND(MediCare_Data[[#This Row],[Patient_Gender]]="Male", MediCare_Data[[#This Row],[Treatment_Type]]="Maternity"), "Gender-Treatment Mismatch", "Fine")</f>
        <v>Fine</v>
      </c>
      <c r="R989" s="10">
        <f>MediCare_Data[[#This Row],[Revenue_Generated]]-MediCare_Data[[#This Row],[Average_Treatment_Cost]]</f>
        <v>6772</v>
      </c>
      <c r="S989" s="3">
        <f>(MediCare_Data[[#This Row],[Profit]]/MediCare_Data[[#This Row],[Revenue_Generated]])</f>
        <v>0.82234365513054042</v>
      </c>
    </row>
    <row r="990" spans="1:19" x14ac:dyDescent="0.25">
      <c r="A990" t="s">
        <v>1037</v>
      </c>
      <c r="B990" t="s">
        <v>53</v>
      </c>
      <c r="C990" t="s">
        <v>31</v>
      </c>
      <c r="D990" t="s">
        <v>16</v>
      </c>
      <c r="E990">
        <v>26</v>
      </c>
      <c r="F990" t="str">
        <f>IF(MediCare_Data[[#This Row],[Patient_Age]]&lt;=18,"0-18",IF(MediCare_Data[[#This Row],[Patient_Age]]&lt;=35,"19-35",IF(MediCare_Data[[#This Row],[Patient_Age]]&lt;=60,"36-60","60+")))</f>
        <v>19-35</v>
      </c>
      <c r="G990" t="s">
        <v>22</v>
      </c>
      <c r="H990" t="s">
        <v>37</v>
      </c>
      <c r="I990" s="2">
        <v>98</v>
      </c>
      <c r="J990" s="11">
        <v>7651</v>
      </c>
      <c r="K990" s="3">
        <v>10.575197449999999</v>
      </c>
      <c r="L990" s="3">
        <f t="shared" si="15"/>
        <v>0.1057519745</v>
      </c>
      <c r="M990">
        <v>58</v>
      </c>
      <c r="N990" s="6">
        <f>MediCare_Data[[#This Row],[Average_Wait_Time (mins)]]/1440</f>
        <v>4.027777777777778E-2</v>
      </c>
      <c r="O990" s="2">
        <v>2</v>
      </c>
      <c r="P990" s="10">
        <v>18197</v>
      </c>
      <c r="Q990" s="17" t="str">
        <f>IF(AND(MediCare_Data[[#This Row],[Patient_Gender]]="Male", MediCare_Data[[#This Row],[Treatment_Type]]="Maternity"), "Gender-Treatment Mismatch", "Fine")</f>
        <v>Gender-Treatment Mismatch</v>
      </c>
      <c r="R990" s="10">
        <f>MediCare_Data[[#This Row],[Revenue_Generated]]-MediCare_Data[[#This Row],[Average_Treatment_Cost]]</f>
        <v>10546</v>
      </c>
      <c r="S990" s="3">
        <f>(MediCare_Data[[#This Row],[Profit]]/MediCare_Data[[#This Row],[Revenue_Generated]])</f>
        <v>0.57954607902401489</v>
      </c>
    </row>
    <row r="991" spans="1:19" x14ac:dyDescent="0.25">
      <c r="A991" t="s">
        <v>1038</v>
      </c>
      <c r="B991" t="s">
        <v>82</v>
      </c>
      <c r="C991" t="s">
        <v>46</v>
      </c>
      <c r="D991" t="s">
        <v>16</v>
      </c>
      <c r="E991">
        <v>3</v>
      </c>
      <c r="F991" t="str">
        <f>IF(MediCare_Data[[#This Row],[Patient_Age]]&lt;=18,"0-18",IF(MediCare_Data[[#This Row],[Patient_Age]]&lt;=35,"19-35",IF(MediCare_Data[[#This Row],[Patient_Age]]&lt;=60,"36-60","60+")))</f>
        <v>0-18</v>
      </c>
      <c r="G991" t="s">
        <v>17</v>
      </c>
      <c r="H991" t="s">
        <v>51</v>
      </c>
      <c r="I991" s="2">
        <v>93</v>
      </c>
      <c r="J991" s="11">
        <v>9064</v>
      </c>
      <c r="K991" s="3">
        <v>9.2140992770000008</v>
      </c>
      <c r="L991" s="3">
        <f t="shared" si="15"/>
        <v>9.2140992770000013E-2</v>
      </c>
      <c r="M991">
        <v>112</v>
      </c>
      <c r="N991" s="6">
        <f>MediCare_Data[[#This Row],[Average_Wait_Time (mins)]]/1440</f>
        <v>7.7777777777777779E-2</v>
      </c>
      <c r="O991" s="2">
        <v>2</v>
      </c>
      <c r="P991" s="10">
        <v>22473</v>
      </c>
      <c r="Q991" s="17" t="str">
        <f>IF(AND(MediCare_Data[[#This Row],[Patient_Gender]]="Male", MediCare_Data[[#This Row],[Treatment_Type]]="Maternity"), "Gender-Treatment Mismatch", "Fine")</f>
        <v>Fine</v>
      </c>
      <c r="R991" s="10">
        <f>MediCare_Data[[#This Row],[Revenue_Generated]]-MediCare_Data[[#This Row],[Average_Treatment_Cost]]</f>
        <v>13409</v>
      </c>
      <c r="S991" s="3">
        <f>(MediCare_Data[[#This Row],[Profit]]/MediCare_Data[[#This Row],[Revenue_Generated]])</f>
        <v>0.59667156142927069</v>
      </c>
    </row>
    <row r="992" spans="1:19" x14ac:dyDescent="0.25">
      <c r="A992" t="s">
        <v>1039</v>
      </c>
      <c r="B992" t="s">
        <v>45</v>
      </c>
      <c r="C992" t="s">
        <v>46</v>
      </c>
      <c r="D992" t="s">
        <v>21</v>
      </c>
      <c r="E992">
        <v>66</v>
      </c>
      <c r="F992" t="str">
        <f>IF(MediCare_Data[[#This Row],[Patient_Age]]&lt;=18,"0-18",IF(MediCare_Data[[#This Row],[Patient_Age]]&lt;=35,"19-35",IF(MediCare_Data[[#This Row],[Patient_Age]]&lt;=60,"36-60","60+")))</f>
        <v>60+</v>
      </c>
      <c r="G992" t="s">
        <v>22</v>
      </c>
      <c r="H992" t="s">
        <v>51</v>
      </c>
      <c r="I992" s="2">
        <v>68</v>
      </c>
      <c r="J992" s="11">
        <v>4110</v>
      </c>
      <c r="K992" s="3">
        <v>24.148960379999998</v>
      </c>
      <c r="L992" s="3">
        <f t="shared" si="15"/>
        <v>0.24148960379999998</v>
      </c>
      <c r="M992">
        <v>62</v>
      </c>
      <c r="N992" s="6">
        <f>MediCare_Data[[#This Row],[Average_Wait_Time (mins)]]/1440</f>
        <v>4.3055555555555555E-2</v>
      </c>
      <c r="O992" s="2">
        <v>2</v>
      </c>
      <c r="P992" s="10">
        <v>3031</v>
      </c>
      <c r="Q992" s="17" t="str">
        <f>IF(AND(MediCare_Data[[#This Row],[Patient_Gender]]="Male", MediCare_Data[[#This Row],[Treatment_Type]]="Maternity"), "Gender-Treatment Mismatch", "Fine")</f>
        <v>Fine</v>
      </c>
      <c r="R992" s="10">
        <f>MediCare_Data[[#This Row],[Revenue_Generated]]-MediCare_Data[[#This Row],[Average_Treatment_Cost]]</f>
        <v>-1079</v>
      </c>
      <c r="S992" s="3">
        <f>(MediCare_Data[[#This Row],[Profit]]/MediCare_Data[[#This Row],[Revenue_Generated]])</f>
        <v>-0.35598812273177172</v>
      </c>
    </row>
    <row r="993" spans="1:19" x14ac:dyDescent="0.25">
      <c r="A993" t="s">
        <v>1040</v>
      </c>
      <c r="B993" t="s">
        <v>45</v>
      </c>
      <c r="C993" t="s">
        <v>54</v>
      </c>
      <c r="D993" t="s">
        <v>16</v>
      </c>
      <c r="E993">
        <v>7</v>
      </c>
      <c r="F993" t="str">
        <f>IF(MediCare_Data[[#This Row],[Patient_Age]]&lt;=18,"0-18",IF(MediCare_Data[[#This Row],[Patient_Age]]&lt;=35,"19-35",IF(MediCare_Data[[#This Row],[Patient_Age]]&lt;=60,"36-60","60+")))</f>
        <v>0-18</v>
      </c>
      <c r="G993" t="s">
        <v>22</v>
      </c>
      <c r="H993" t="s">
        <v>23</v>
      </c>
      <c r="I993" s="2">
        <v>91</v>
      </c>
      <c r="J993" s="11">
        <v>7394</v>
      </c>
      <c r="K993" s="3">
        <v>5.1772657019999997</v>
      </c>
      <c r="L993" s="3">
        <f t="shared" si="15"/>
        <v>5.1772657019999994E-2</v>
      </c>
      <c r="M993">
        <v>71</v>
      </c>
      <c r="N993" s="6">
        <f>MediCare_Data[[#This Row],[Average_Wait_Time (mins)]]/1440</f>
        <v>4.9305555555555554E-2</v>
      </c>
      <c r="O993" s="2">
        <v>4</v>
      </c>
      <c r="P993" s="10">
        <v>42282</v>
      </c>
      <c r="Q993" s="17" t="str">
        <f>IF(AND(MediCare_Data[[#This Row],[Patient_Gender]]="Male", MediCare_Data[[#This Row],[Treatment_Type]]="Maternity"), "Gender-Treatment Mismatch", "Fine")</f>
        <v>Fine</v>
      </c>
      <c r="R993" s="10">
        <f>MediCare_Data[[#This Row],[Revenue_Generated]]-MediCare_Data[[#This Row],[Average_Treatment_Cost]]</f>
        <v>34888</v>
      </c>
      <c r="S993" s="3">
        <f>(MediCare_Data[[#This Row],[Profit]]/MediCare_Data[[#This Row],[Revenue_Generated]])</f>
        <v>0.82512653138451353</v>
      </c>
    </row>
    <row r="994" spans="1:19" x14ac:dyDescent="0.25">
      <c r="A994" t="s">
        <v>1041</v>
      </c>
      <c r="B994" t="s">
        <v>56</v>
      </c>
      <c r="C994" t="s">
        <v>31</v>
      </c>
      <c r="D994" t="s">
        <v>21</v>
      </c>
      <c r="E994">
        <v>6</v>
      </c>
      <c r="F994" t="str">
        <f>IF(MediCare_Data[[#This Row],[Patient_Age]]&lt;=18,"0-18",IF(MediCare_Data[[#This Row],[Patient_Age]]&lt;=35,"19-35",IF(MediCare_Data[[#This Row],[Patient_Age]]&lt;=60,"36-60","60+")))</f>
        <v>0-18</v>
      </c>
      <c r="G994" t="s">
        <v>22</v>
      </c>
      <c r="H994" t="s">
        <v>23</v>
      </c>
      <c r="I994" s="2">
        <v>90</v>
      </c>
      <c r="J994" s="11">
        <v>7811</v>
      </c>
      <c r="K994" s="3">
        <v>24.95641711</v>
      </c>
      <c r="L994" s="3">
        <f t="shared" si="15"/>
        <v>0.24956417110000001</v>
      </c>
      <c r="M994">
        <v>26</v>
      </c>
      <c r="N994" s="6">
        <f>MediCare_Data[[#This Row],[Average_Wait_Time (mins)]]/1440</f>
        <v>1.8055555555555554E-2</v>
      </c>
      <c r="O994" s="2">
        <v>3</v>
      </c>
      <c r="P994" s="10">
        <v>42863</v>
      </c>
      <c r="Q994" s="17" t="str">
        <f>IF(AND(MediCare_Data[[#This Row],[Patient_Gender]]="Male", MediCare_Data[[#This Row],[Treatment_Type]]="Maternity"), "Gender-Treatment Mismatch", "Fine")</f>
        <v>Fine</v>
      </c>
      <c r="R994" s="10">
        <f>MediCare_Data[[#This Row],[Revenue_Generated]]-MediCare_Data[[#This Row],[Average_Treatment_Cost]]</f>
        <v>35052</v>
      </c>
      <c r="S994" s="3">
        <f>(MediCare_Data[[#This Row],[Profit]]/MediCare_Data[[#This Row],[Revenue_Generated]])</f>
        <v>0.81776823834076007</v>
      </c>
    </row>
    <row r="995" spans="1:19" x14ac:dyDescent="0.25">
      <c r="A995" t="s">
        <v>1042</v>
      </c>
      <c r="B995" t="s">
        <v>25</v>
      </c>
      <c r="C995" t="s">
        <v>42</v>
      </c>
      <c r="D995" t="s">
        <v>21</v>
      </c>
      <c r="E995">
        <v>5</v>
      </c>
      <c r="F995" t="str">
        <f>IF(MediCare_Data[[#This Row],[Patient_Age]]&lt;=18,"0-18",IF(MediCare_Data[[#This Row],[Patient_Age]]&lt;=35,"19-35",IF(MediCare_Data[[#This Row],[Patient_Age]]&lt;=60,"36-60","60+")))</f>
        <v>0-18</v>
      </c>
      <c r="G995" t="s">
        <v>26</v>
      </c>
      <c r="H995" t="s">
        <v>23</v>
      </c>
      <c r="I995" s="2">
        <v>86</v>
      </c>
      <c r="J995" s="11">
        <v>605</v>
      </c>
      <c r="K995" s="3">
        <v>18.536425980000001</v>
      </c>
      <c r="L995" s="3">
        <f t="shared" si="15"/>
        <v>0.18536425980000001</v>
      </c>
      <c r="M995">
        <v>34</v>
      </c>
      <c r="N995" s="6">
        <f>MediCare_Data[[#This Row],[Average_Wait_Time (mins)]]/1440</f>
        <v>2.361111111111111E-2</v>
      </c>
      <c r="O995" s="2">
        <v>2</v>
      </c>
      <c r="P995" s="10">
        <v>15287</v>
      </c>
      <c r="Q995" s="17" t="str">
        <f>IF(AND(MediCare_Data[[#This Row],[Patient_Gender]]="Male", MediCare_Data[[#This Row],[Treatment_Type]]="Maternity"), "Gender-Treatment Mismatch", "Fine")</f>
        <v>Fine</v>
      </c>
      <c r="R995" s="10">
        <f>MediCare_Data[[#This Row],[Revenue_Generated]]-MediCare_Data[[#This Row],[Average_Treatment_Cost]]</f>
        <v>14682</v>
      </c>
      <c r="S995" s="3">
        <f>(MediCare_Data[[#This Row],[Profit]]/MediCare_Data[[#This Row],[Revenue_Generated]])</f>
        <v>0.96042388957938118</v>
      </c>
    </row>
    <row r="996" spans="1:19" x14ac:dyDescent="0.25">
      <c r="A996" t="s">
        <v>1043</v>
      </c>
      <c r="B996" t="s">
        <v>41</v>
      </c>
      <c r="C996" t="s">
        <v>29</v>
      </c>
      <c r="D996" t="s">
        <v>32</v>
      </c>
      <c r="E996">
        <v>39</v>
      </c>
      <c r="F996" t="str">
        <f>IF(MediCare_Data[[#This Row],[Patient_Age]]&lt;=18,"0-18",IF(MediCare_Data[[#This Row],[Patient_Age]]&lt;=35,"19-35",IF(MediCare_Data[[#This Row],[Patient_Age]]&lt;=60,"36-60","60+")))</f>
        <v>36-60</v>
      </c>
      <c r="G996" t="s">
        <v>43</v>
      </c>
      <c r="H996" t="s">
        <v>18</v>
      </c>
      <c r="I996" s="2">
        <v>55</v>
      </c>
      <c r="J996" s="11">
        <v>6039</v>
      </c>
      <c r="K996" s="3">
        <v>21.569385990000001</v>
      </c>
      <c r="L996" s="3">
        <f t="shared" si="15"/>
        <v>0.21569385990000001</v>
      </c>
      <c r="M996">
        <v>140</v>
      </c>
      <c r="N996" s="6">
        <f>MediCare_Data[[#This Row],[Average_Wait_Time (mins)]]/1440</f>
        <v>9.7222222222222224E-2</v>
      </c>
      <c r="O996" s="2">
        <v>1</v>
      </c>
      <c r="P996" s="10">
        <v>39679</v>
      </c>
      <c r="Q996" s="17" t="str">
        <f>IF(AND(MediCare_Data[[#This Row],[Patient_Gender]]="Male", MediCare_Data[[#This Row],[Treatment_Type]]="Maternity"), "Gender-Treatment Mismatch", "Fine")</f>
        <v>Fine</v>
      </c>
      <c r="R996" s="10">
        <f>MediCare_Data[[#This Row],[Revenue_Generated]]-MediCare_Data[[#This Row],[Average_Treatment_Cost]]</f>
        <v>33640</v>
      </c>
      <c r="S996" s="3">
        <f>(MediCare_Data[[#This Row],[Profit]]/MediCare_Data[[#This Row],[Revenue_Generated]])</f>
        <v>0.84780362408326826</v>
      </c>
    </row>
    <row r="997" spans="1:19" x14ac:dyDescent="0.25">
      <c r="A997" t="s">
        <v>1044</v>
      </c>
      <c r="B997" t="s">
        <v>53</v>
      </c>
      <c r="C997" t="s">
        <v>36</v>
      </c>
      <c r="D997" t="s">
        <v>21</v>
      </c>
      <c r="E997">
        <v>87</v>
      </c>
      <c r="F997" t="str">
        <f>IF(MediCare_Data[[#This Row],[Patient_Age]]&lt;=18,"0-18",IF(MediCare_Data[[#This Row],[Patient_Age]]&lt;=35,"19-35",IF(MediCare_Data[[#This Row],[Patient_Age]]&lt;=60,"36-60","60+")))</f>
        <v>60+</v>
      </c>
      <c r="G997" t="s">
        <v>26</v>
      </c>
      <c r="H997" t="s">
        <v>33</v>
      </c>
      <c r="I997" s="2">
        <v>75</v>
      </c>
      <c r="J997" s="11">
        <v>7287</v>
      </c>
      <c r="K997" s="3">
        <v>10.89238793</v>
      </c>
      <c r="L997" s="3">
        <f t="shared" si="15"/>
        <v>0.1089238793</v>
      </c>
      <c r="M997">
        <v>38</v>
      </c>
      <c r="N997" s="6">
        <f>MediCare_Data[[#This Row],[Average_Wait_Time (mins)]]/1440</f>
        <v>2.6388888888888889E-2</v>
      </c>
      <c r="O997" s="2">
        <v>1</v>
      </c>
      <c r="P997" s="10">
        <v>45463</v>
      </c>
      <c r="Q997" s="17" t="str">
        <f>IF(AND(MediCare_Data[[#This Row],[Patient_Gender]]="Male", MediCare_Data[[#This Row],[Treatment_Type]]="Maternity"), "Gender-Treatment Mismatch", "Fine")</f>
        <v>Fine</v>
      </c>
      <c r="R997" s="10">
        <f>MediCare_Data[[#This Row],[Revenue_Generated]]-MediCare_Data[[#This Row],[Average_Treatment_Cost]]</f>
        <v>38176</v>
      </c>
      <c r="S997" s="3">
        <f>(MediCare_Data[[#This Row],[Profit]]/MediCare_Data[[#This Row],[Revenue_Generated]])</f>
        <v>0.83971581285880825</v>
      </c>
    </row>
    <row r="998" spans="1:19" x14ac:dyDescent="0.25">
      <c r="A998" t="s">
        <v>1045</v>
      </c>
      <c r="B998" t="s">
        <v>14</v>
      </c>
      <c r="C998" t="s">
        <v>54</v>
      </c>
      <c r="D998" t="s">
        <v>32</v>
      </c>
      <c r="E998">
        <v>44</v>
      </c>
      <c r="F998" t="str">
        <f>IF(MediCare_Data[[#This Row],[Patient_Age]]&lt;=18,"0-18",IF(MediCare_Data[[#This Row],[Patient_Age]]&lt;=35,"19-35",IF(MediCare_Data[[#This Row],[Patient_Age]]&lt;=60,"36-60","60+")))</f>
        <v>36-60</v>
      </c>
      <c r="G998" t="s">
        <v>26</v>
      </c>
      <c r="H998" t="s">
        <v>37</v>
      </c>
      <c r="I998" s="2">
        <v>83</v>
      </c>
      <c r="J998" s="11">
        <v>2637</v>
      </c>
      <c r="K998" s="3">
        <v>5.286305553</v>
      </c>
      <c r="L998" s="3">
        <f t="shared" si="15"/>
        <v>5.2863055530000001E-2</v>
      </c>
      <c r="M998">
        <v>126</v>
      </c>
      <c r="N998" s="6">
        <f>MediCare_Data[[#This Row],[Average_Wait_Time (mins)]]/1440</f>
        <v>8.7499999999999994E-2</v>
      </c>
      <c r="O998" s="2">
        <v>4</v>
      </c>
      <c r="P998" s="10">
        <v>33230</v>
      </c>
      <c r="Q998" s="17" t="str">
        <f>IF(AND(MediCare_Data[[#This Row],[Patient_Gender]]="Male", MediCare_Data[[#This Row],[Treatment_Type]]="Maternity"), "Gender-Treatment Mismatch", "Fine")</f>
        <v>Fine</v>
      </c>
      <c r="R998" s="10">
        <f>MediCare_Data[[#This Row],[Revenue_Generated]]-MediCare_Data[[#This Row],[Average_Treatment_Cost]]</f>
        <v>30593</v>
      </c>
      <c r="S998" s="3">
        <f>(MediCare_Data[[#This Row],[Profit]]/MediCare_Data[[#This Row],[Revenue_Generated]])</f>
        <v>0.92064399638880534</v>
      </c>
    </row>
    <row r="999" spans="1:19" x14ac:dyDescent="0.25">
      <c r="A999" t="s">
        <v>1046</v>
      </c>
      <c r="B999" t="s">
        <v>56</v>
      </c>
      <c r="C999" t="s">
        <v>46</v>
      </c>
      <c r="D999" t="s">
        <v>21</v>
      </c>
      <c r="E999">
        <v>35</v>
      </c>
      <c r="F999" t="str">
        <f>IF(MediCare_Data[[#This Row],[Patient_Age]]&lt;=18,"0-18",IF(MediCare_Data[[#This Row],[Patient_Age]]&lt;=35,"19-35",IF(MediCare_Data[[#This Row],[Patient_Age]]&lt;=60,"36-60","60+")))</f>
        <v>19-35</v>
      </c>
      <c r="G999" t="s">
        <v>26</v>
      </c>
      <c r="H999" t="s">
        <v>51</v>
      </c>
      <c r="I999" s="2">
        <v>94</v>
      </c>
      <c r="J999" s="11">
        <v>4945</v>
      </c>
      <c r="K999" s="3">
        <v>19.75739037</v>
      </c>
      <c r="L999" s="3">
        <f t="shared" si="15"/>
        <v>0.1975739037</v>
      </c>
      <c r="M999">
        <v>169</v>
      </c>
      <c r="N999" s="6">
        <f>MediCare_Data[[#This Row],[Average_Wait_Time (mins)]]/1440</f>
        <v>0.11736111111111111</v>
      </c>
      <c r="O999" s="2">
        <v>1</v>
      </c>
      <c r="P999" s="10">
        <v>20037</v>
      </c>
      <c r="Q999" s="17" t="str">
        <f>IF(AND(MediCare_Data[[#This Row],[Patient_Gender]]="Male", MediCare_Data[[#This Row],[Treatment_Type]]="Maternity"), "Gender-Treatment Mismatch", "Fine")</f>
        <v>Fine</v>
      </c>
      <c r="R999" s="10">
        <f>MediCare_Data[[#This Row],[Revenue_Generated]]-MediCare_Data[[#This Row],[Average_Treatment_Cost]]</f>
        <v>15092</v>
      </c>
      <c r="S999" s="3">
        <f>(MediCare_Data[[#This Row],[Profit]]/MediCare_Data[[#This Row],[Revenue_Generated]])</f>
        <v>0.75320656784947848</v>
      </c>
    </row>
    <row r="1000" spans="1:19" x14ac:dyDescent="0.25">
      <c r="A1000" t="s">
        <v>1047</v>
      </c>
      <c r="B1000" t="s">
        <v>41</v>
      </c>
      <c r="C1000" t="s">
        <v>29</v>
      </c>
      <c r="D1000" t="s">
        <v>32</v>
      </c>
      <c r="E1000">
        <v>3</v>
      </c>
      <c r="F1000" t="str">
        <f>IF(MediCare_Data[[#This Row],[Patient_Age]]&lt;=18,"0-18",IF(MediCare_Data[[#This Row],[Patient_Age]]&lt;=35,"19-35",IF(MediCare_Data[[#This Row],[Patient_Age]]&lt;=60,"36-60","60+")))</f>
        <v>0-18</v>
      </c>
      <c r="G1000" t="s">
        <v>43</v>
      </c>
      <c r="H1000" t="s">
        <v>33</v>
      </c>
      <c r="I1000" s="2">
        <v>55</v>
      </c>
      <c r="J1000" s="11">
        <v>4030</v>
      </c>
      <c r="K1000" s="3">
        <v>21.682891940000001</v>
      </c>
      <c r="L1000" s="3">
        <f t="shared" si="15"/>
        <v>0.21682891940000001</v>
      </c>
      <c r="M1000">
        <v>35</v>
      </c>
      <c r="N1000" s="6">
        <f>MediCare_Data[[#This Row],[Average_Wait_Time (mins)]]/1440</f>
        <v>2.4305555555555556E-2</v>
      </c>
      <c r="O1000" s="2">
        <v>2</v>
      </c>
      <c r="P1000" s="10">
        <v>28052</v>
      </c>
      <c r="Q1000" s="17" t="str">
        <f>IF(AND(MediCare_Data[[#This Row],[Patient_Gender]]="Male", MediCare_Data[[#This Row],[Treatment_Type]]="Maternity"), "Gender-Treatment Mismatch", "Fine")</f>
        <v>Fine</v>
      </c>
      <c r="R1000" s="10">
        <f>MediCare_Data[[#This Row],[Revenue_Generated]]-MediCare_Data[[#This Row],[Average_Treatment_Cost]]</f>
        <v>24022</v>
      </c>
      <c r="S1000" s="3">
        <f>(MediCare_Data[[#This Row],[Profit]]/MediCare_Data[[#This Row],[Revenue_Generated]])</f>
        <v>0.85633822900327961</v>
      </c>
    </row>
    <row r="1001" spans="1:19" x14ac:dyDescent="0.25">
      <c r="A1001" t="s">
        <v>1048</v>
      </c>
      <c r="B1001" t="s">
        <v>28</v>
      </c>
      <c r="C1001" t="s">
        <v>36</v>
      </c>
      <c r="D1001" t="s">
        <v>32</v>
      </c>
      <c r="E1001">
        <v>48</v>
      </c>
      <c r="F1001" t="str">
        <f>IF(MediCare_Data[[#This Row],[Patient_Age]]&lt;=18,"0-18",IF(MediCare_Data[[#This Row],[Patient_Age]]&lt;=35,"19-35",IF(MediCare_Data[[#This Row],[Patient_Age]]&lt;=60,"36-60","60+")))</f>
        <v>36-60</v>
      </c>
      <c r="G1001" t="s">
        <v>43</v>
      </c>
      <c r="H1001" t="s">
        <v>18</v>
      </c>
      <c r="I1001" s="2">
        <v>86</v>
      </c>
      <c r="J1001" s="11">
        <v>1786</v>
      </c>
      <c r="K1001" s="3">
        <v>19.809522640000001</v>
      </c>
      <c r="L1001" s="3">
        <f t="shared" si="15"/>
        <v>0.19809522640000002</v>
      </c>
      <c r="M1001">
        <v>133</v>
      </c>
      <c r="N1001" s="6">
        <f>MediCare_Data[[#This Row],[Average_Wait_Time (mins)]]/1440</f>
        <v>9.2361111111111116E-2</v>
      </c>
      <c r="O1001" s="2">
        <v>1</v>
      </c>
      <c r="P1001" s="10">
        <v>4340</v>
      </c>
      <c r="Q1001" s="17" t="str">
        <f>IF(AND(MediCare_Data[[#This Row],[Patient_Gender]]="Male", MediCare_Data[[#This Row],[Treatment_Type]]="Maternity"), "Gender-Treatment Mismatch", "Fine")</f>
        <v>Fine</v>
      </c>
      <c r="R1001" s="10">
        <f>MediCare_Data[[#This Row],[Revenue_Generated]]-MediCare_Data[[#This Row],[Average_Treatment_Cost]]</f>
        <v>2554</v>
      </c>
      <c r="S1001" s="3">
        <f>(MediCare_Data[[#This Row],[Profit]]/MediCare_Data[[#This Row],[Revenue_Generated]])</f>
        <v>0.58847926267281103</v>
      </c>
    </row>
  </sheetData>
  <phoneticPr fontId="2" type="noConversion"/>
  <conditionalFormatting sqref="A2:P1001">
    <cfRule type="containsBlanks" priority="1">
      <formula>LEN(TRIM(A2))=0</formula>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242F-89B1-45C9-A888-8A1077776D26}">
  <dimension ref="A1:S61"/>
  <sheetViews>
    <sheetView tabSelected="1" zoomScale="55" zoomScaleNormal="55" workbookViewId="0">
      <selection activeCell="I26" sqref="I26"/>
    </sheetView>
  </sheetViews>
  <sheetFormatPr defaultRowHeight="15" x14ac:dyDescent="0.25"/>
  <cols>
    <col min="1" max="1" width="12.140625" bestFit="1" customWidth="1"/>
    <col min="2" max="2" width="15.28515625" bestFit="1" customWidth="1"/>
    <col min="3" max="3" width="14.85546875" bestFit="1" customWidth="1"/>
    <col min="4" max="4" width="17.42578125" bestFit="1" customWidth="1"/>
    <col min="5" max="5" width="13.85546875" bestFit="1" customWidth="1"/>
    <col min="6" max="6" width="22.28515625" bestFit="1" customWidth="1"/>
    <col min="7" max="7" width="17.42578125" bestFit="1" customWidth="1"/>
    <col min="8" max="8" width="17.85546875" bestFit="1" customWidth="1"/>
    <col min="9" max="9" width="27.85546875" bestFit="1" customWidth="1"/>
    <col min="10" max="10" width="26.140625" bestFit="1" customWidth="1"/>
    <col min="11" max="11" width="23.85546875" bestFit="1" customWidth="1"/>
    <col min="12" max="12" width="24.85546875" bestFit="1" customWidth="1"/>
    <col min="13" max="13" width="27.42578125" bestFit="1" customWidth="1"/>
    <col min="14" max="14" width="16.42578125" bestFit="1" customWidth="1"/>
    <col min="15" max="15" width="14.140625" bestFit="1" customWidth="1"/>
    <col min="16" max="16" width="22" bestFit="1" customWidth="1"/>
    <col min="17" max="17" width="26.5703125" bestFit="1" customWidth="1"/>
    <col min="18" max="18" width="9.28515625" bestFit="1" customWidth="1"/>
    <col min="19" max="19" width="15.140625" bestFit="1" customWidth="1"/>
  </cols>
  <sheetData>
    <row r="1" spans="1:19" x14ac:dyDescent="0.25">
      <c r="A1" s="5" t="s">
        <v>1112</v>
      </c>
    </row>
    <row r="3" spans="1:19" x14ac:dyDescent="0.25">
      <c r="A3" t="s">
        <v>0</v>
      </c>
      <c r="B3" t="s">
        <v>1</v>
      </c>
      <c r="C3" t="s">
        <v>2</v>
      </c>
      <c r="D3" t="s">
        <v>3</v>
      </c>
      <c r="E3" t="s">
        <v>4</v>
      </c>
      <c r="F3" t="s">
        <v>1067</v>
      </c>
      <c r="G3" t="s">
        <v>5</v>
      </c>
      <c r="H3" t="s">
        <v>6</v>
      </c>
      <c r="I3" t="s">
        <v>7</v>
      </c>
      <c r="J3" t="s">
        <v>8</v>
      </c>
      <c r="K3" t="s">
        <v>9</v>
      </c>
      <c r="L3" t="s">
        <v>1066</v>
      </c>
      <c r="M3" t="s">
        <v>10</v>
      </c>
      <c r="N3" t="s">
        <v>1085</v>
      </c>
      <c r="O3" t="s">
        <v>11</v>
      </c>
      <c r="P3" t="s">
        <v>12</v>
      </c>
      <c r="Q3" t="s">
        <v>1049</v>
      </c>
      <c r="R3" t="s">
        <v>1050</v>
      </c>
      <c r="S3" t="s">
        <v>1051</v>
      </c>
    </row>
    <row r="4" spans="1:19" x14ac:dyDescent="0.25">
      <c r="A4" t="s">
        <v>1028</v>
      </c>
      <c r="B4" t="s">
        <v>74</v>
      </c>
      <c r="C4" t="s">
        <v>20</v>
      </c>
      <c r="D4" t="s">
        <v>16</v>
      </c>
      <c r="E4">
        <v>26</v>
      </c>
      <c r="F4" t="s">
        <v>1107</v>
      </c>
      <c r="G4" t="s">
        <v>43</v>
      </c>
      <c r="H4" t="s">
        <v>47</v>
      </c>
      <c r="I4">
        <v>67</v>
      </c>
      <c r="J4">
        <v>5743</v>
      </c>
      <c r="K4">
        <v>5.382321889</v>
      </c>
      <c r="L4">
        <v>5.3823218889999996E-2</v>
      </c>
      <c r="M4">
        <v>35</v>
      </c>
      <c r="N4" s="51">
        <v>2.4305555555555556E-2</v>
      </c>
      <c r="O4">
        <v>2</v>
      </c>
      <c r="P4">
        <v>19610</v>
      </c>
      <c r="Q4" t="s">
        <v>1108</v>
      </c>
      <c r="R4">
        <v>13867</v>
      </c>
      <c r="S4">
        <v>0.70713921468638452</v>
      </c>
    </row>
    <row r="5" spans="1:19" x14ac:dyDescent="0.25">
      <c r="A5" t="s">
        <v>1004</v>
      </c>
      <c r="B5" t="s">
        <v>74</v>
      </c>
      <c r="C5" t="s">
        <v>54</v>
      </c>
      <c r="D5" t="s">
        <v>32</v>
      </c>
      <c r="E5">
        <v>26</v>
      </c>
      <c r="F5" t="s">
        <v>1107</v>
      </c>
      <c r="G5" t="s">
        <v>22</v>
      </c>
      <c r="H5" t="s">
        <v>37</v>
      </c>
      <c r="I5">
        <v>67</v>
      </c>
      <c r="J5">
        <v>9427</v>
      </c>
      <c r="K5">
        <v>20.235963829999999</v>
      </c>
      <c r="L5">
        <v>0.20235963830000001</v>
      </c>
      <c r="M5">
        <v>152</v>
      </c>
      <c r="N5" s="51">
        <v>0.10555555555555556</v>
      </c>
      <c r="O5">
        <v>2</v>
      </c>
      <c r="P5">
        <v>39599</v>
      </c>
      <c r="Q5" t="s">
        <v>1108</v>
      </c>
      <c r="R5">
        <v>30172</v>
      </c>
      <c r="S5">
        <v>0.76193843278870677</v>
      </c>
    </row>
    <row r="6" spans="1:19" x14ac:dyDescent="0.25">
      <c r="A6" t="s">
        <v>969</v>
      </c>
      <c r="B6" t="s">
        <v>74</v>
      </c>
      <c r="C6" t="s">
        <v>31</v>
      </c>
      <c r="D6" t="s">
        <v>32</v>
      </c>
      <c r="E6">
        <v>13</v>
      </c>
      <c r="F6" t="s">
        <v>1109</v>
      </c>
      <c r="G6" t="s">
        <v>43</v>
      </c>
      <c r="H6" t="s">
        <v>51</v>
      </c>
      <c r="I6">
        <v>75</v>
      </c>
      <c r="J6">
        <v>5605</v>
      </c>
      <c r="K6">
        <v>17.524686429999999</v>
      </c>
      <c r="L6">
        <v>0.1752468643</v>
      </c>
      <c r="M6">
        <v>38</v>
      </c>
      <c r="N6" s="51">
        <v>2.6388888888888889E-2</v>
      </c>
      <c r="O6">
        <v>3</v>
      </c>
      <c r="P6">
        <v>9226</v>
      </c>
      <c r="Q6" t="s">
        <v>1108</v>
      </c>
      <c r="R6">
        <v>3621</v>
      </c>
      <c r="S6">
        <v>0.39247778018642965</v>
      </c>
    </row>
    <row r="7" spans="1:19" x14ac:dyDescent="0.25">
      <c r="A7" t="s">
        <v>953</v>
      </c>
      <c r="B7" t="s">
        <v>74</v>
      </c>
      <c r="C7" t="s">
        <v>46</v>
      </c>
      <c r="D7" t="s">
        <v>32</v>
      </c>
      <c r="E7">
        <v>31</v>
      </c>
      <c r="F7" t="s">
        <v>1107</v>
      </c>
      <c r="G7" t="s">
        <v>43</v>
      </c>
      <c r="H7" t="s">
        <v>47</v>
      </c>
      <c r="I7">
        <v>71</v>
      </c>
      <c r="J7">
        <v>5112</v>
      </c>
      <c r="K7">
        <v>15.83409625</v>
      </c>
      <c r="L7">
        <v>0.15834096249999999</v>
      </c>
      <c r="M7">
        <v>70</v>
      </c>
      <c r="N7" s="51">
        <v>4.8611111111111112E-2</v>
      </c>
      <c r="O7">
        <v>4</v>
      </c>
      <c r="P7">
        <v>41388</v>
      </c>
      <c r="Q7" t="s">
        <v>1108</v>
      </c>
      <c r="R7">
        <v>36276</v>
      </c>
      <c r="S7">
        <v>0.87648593795302987</v>
      </c>
    </row>
    <row r="8" spans="1:19" x14ac:dyDescent="0.25">
      <c r="A8" t="s">
        <v>937</v>
      </c>
      <c r="B8" t="s">
        <v>74</v>
      </c>
      <c r="C8" t="s">
        <v>42</v>
      </c>
      <c r="D8" t="s">
        <v>21</v>
      </c>
      <c r="E8">
        <v>88</v>
      </c>
      <c r="F8" t="s">
        <v>1110</v>
      </c>
      <c r="G8" t="s">
        <v>22</v>
      </c>
      <c r="H8" t="s">
        <v>47</v>
      </c>
      <c r="I8">
        <v>89</v>
      </c>
      <c r="J8">
        <v>7138</v>
      </c>
      <c r="K8">
        <v>23.001663659999998</v>
      </c>
      <c r="L8">
        <v>0.23001663659999999</v>
      </c>
      <c r="M8">
        <v>97</v>
      </c>
      <c r="N8" s="51">
        <v>6.7361111111111108E-2</v>
      </c>
      <c r="O8">
        <v>3</v>
      </c>
      <c r="P8">
        <v>27025</v>
      </c>
      <c r="Q8" t="s">
        <v>1108</v>
      </c>
      <c r="R8">
        <v>19887</v>
      </c>
      <c r="S8">
        <v>0.73587419056429237</v>
      </c>
    </row>
    <row r="9" spans="1:19" x14ac:dyDescent="0.25">
      <c r="A9" t="s">
        <v>929</v>
      </c>
      <c r="B9" t="s">
        <v>74</v>
      </c>
      <c r="C9" t="s">
        <v>31</v>
      </c>
      <c r="D9" t="s">
        <v>16</v>
      </c>
      <c r="E9">
        <v>11</v>
      </c>
      <c r="F9" t="s">
        <v>1109</v>
      </c>
      <c r="G9" t="s">
        <v>26</v>
      </c>
      <c r="H9" t="s">
        <v>47</v>
      </c>
      <c r="I9">
        <v>96</v>
      </c>
      <c r="J9">
        <v>2789</v>
      </c>
      <c r="K9">
        <v>5.7799202510000001</v>
      </c>
      <c r="L9">
        <v>5.7799202510000001E-2</v>
      </c>
      <c r="M9">
        <v>65</v>
      </c>
      <c r="N9" s="51">
        <v>4.5138888888888888E-2</v>
      </c>
      <c r="O9">
        <v>2</v>
      </c>
      <c r="P9">
        <v>14009</v>
      </c>
      <c r="Q9" t="s">
        <v>1108</v>
      </c>
      <c r="R9">
        <v>11220</v>
      </c>
      <c r="S9">
        <v>0.8009136983367835</v>
      </c>
    </row>
    <row r="10" spans="1:19" x14ac:dyDescent="0.25">
      <c r="A10" t="s">
        <v>924</v>
      </c>
      <c r="B10" t="s">
        <v>74</v>
      </c>
      <c r="C10" t="s">
        <v>42</v>
      </c>
      <c r="D10" t="s">
        <v>32</v>
      </c>
      <c r="E10">
        <v>6</v>
      </c>
      <c r="F10" t="s">
        <v>1109</v>
      </c>
      <c r="G10" t="s">
        <v>17</v>
      </c>
      <c r="H10" t="s">
        <v>47</v>
      </c>
      <c r="I10">
        <v>62</v>
      </c>
      <c r="J10">
        <v>1729</v>
      </c>
      <c r="K10">
        <v>14.71179399</v>
      </c>
      <c r="L10">
        <v>0.14711793989999999</v>
      </c>
      <c r="M10">
        <v>44</v>
      </c>
      <c r="N10" s="51">
        <v>3.0555555555555555E-2</v>
      </c>
      <c r="O10">
        <v>3</v>
      </c>
      <c r="P10">
        <v>16966</v>
      </c>
      <c r="Q10" t="s">
        <v>1108</v>
      </c>
      <c r="R10">
        <v>15237</v>
      </c>
      <c r="S10">
        <v>0.89809029824354591</v>
      </c>
    </row>
    <row r="11" spans="1:19" x14ac:dyDescent="0.25">
      <c r="A11" t="s">
        <v>915</v>
      </c>
      <c r="B11" t="s">
        <v>74</v>
      </c>
      <c r="C11" t="s">
        <v>36</v>
      </c>
      <c r="D11" t="s">
        <v>16</v>
      </c>
      <c r="E11">
        <v>67</v>
      </c>
      <c r="F11" t="s">
        <v>1110</v>
      </c>
      <c r="G11" t="s">
        <v>43</v>
      </c>
      <c r="H11" t="s">
        <v>18</v>
      </c>
      <c r="I11">
        <v>66</v>
      </c>
      <c r="J11">
        <v>1468</v>
      </c>
      <c r="K11">
        <v>11.2243499</v>
      </c>
      <c r="L11">
        <v>0.112243499</v>
      </c>
      <c r="M11">
        <v>94</v>
      </c>
      <c r="N11" s="51">
        <v>6.5277777777777782E-2</v>
      </c>
      <c r="O11">
        <v>2</v>
      </c>
      <c r="P11">
        <v>17555</v>
      </c>
      <c r="Q11" t="s">
        <v>1108</v>
      </c>
      <c r="R11">
        <v>16087</v>
      </c>
      <c r="S11">
        <v>0.9163771005411564</v>
      </c>
    </row>
    <row r="12" spans="1:19" x14ac:dyDescent="0.25">
      <c r="A12" t="s">
        <v>873</v>
      </c>
      <c r="B12" t="s">
        <v>74</v>
      </c>
      <c r="C12" t="s">
        <v>15</v>
      </c>
      <c r="D12" t="s">
        <v>16</v>
      </c>
      <c r="E12">
        <v>20</v>
      </c>
      <c r="F12" t="s">
        <v>1107</v>
      </c>
      <c r="G12" t="s">
        <v>26</v>
      </c>
      <c r="H12" t="s">
        <v>18</v>
      </c>
      <c r="I12">
        <v>75</v>
      </c>
      <c r="J12">
        <v>4314</v>
      </c>
      <c r="K12">
        <v>13.440685200000001</v>
      </c>
      <c r="L12">
        <v>0.13440685200000002</v>
      </c>
      <c r="M12">
        <v>116</v>
      </c>
      <c r="N12" s="51">
        <v>8.0555555555555561E-2</v>
      </c>
      <c r="O12">
        <v>1</v>
      </c>
      <c r="P12">
        <v>31225</v>
      </c>
      <c r="Q12" t="s">
        <v>1108</v>
      </c>
      <c r="R12">
        <v>26911</v>
      </c>
      <c r="S12">
        <v>0.86184147317854287</v>
      </c>
    </row>
    <row r="13" spans="1:19" x14ac:dyDescent="0.25">
      <c r="A13" t="s">
        <v>854</v>
      </c>
      <c r="B13" t="s">
        <v>74</v>
      </c>
      <c r="C13" t="s">
        <v>20</v>
      </c>
      <c r="D13" t="s">
        <v>16</v>
      </c>
      <c r="E13">
        <v>49</v>
      </c>
      <c r="F13" t="s">
        <v>1111</v>
      </c>
      <c r="G13" t="s">
        <v>17</v>
      </c>
      <c r="H13" t="s">
        <v>23</v>
      </c>
      <c r="I13">
        <v>68</v>
      </c>
      <c r="J13">
        <v>1029</v>
      </c>
      <c r="K13">
        <v>6.6036002820000004</v>
      </c>
      <c r="L13">
        <v>6.6036002820000009E-2</v>
      </c>
      <c r="M13">
        <v>91</v>
      </c>
      <c r="N13" s="51">
        <v>6.3194444444444442E-2</v>
      </c>
      <c r="O13">
        <v>2</v>
      </c>
      <c r="P13">
        <v>17122</v>
      </c>
      <c r="Q13" t="s">
        <v>1108</v>
      </c>
      <c r="R13">
        <v>16093</v>
      </c>
      <c r="S13">
        <v>0.93990188062142277</v>
      </c>
    </row>
    <row r="14" spans="1:19" x14ac:dyDescent="0.25">
      <c r="A14" t="s">
        <v>851</v>
      </c>
      <c r="B14" t="s">
        <v>74</v>
      </c>
      <c r="C14" t="s">
        <v>15</v>
      </c>
      <c r="D14" t="s">
        <v>16</v>
      </c>
      <c r="E14">
        <v>73</v>
      </c>
      <c r="F14" t="s">
        <v>1110</v>
      </c>
      <c r="G14" t="s">
        <v>17</v>
      </c>
      <c r="H14" t="s">
        <v>18</v>
      </c>
      <c r="I14">
        <v>86</v>
      </c>
      <c r="J14">
        <v>9961</v>
      </c>
      <c r="K14">
        <v>13.3789558</v>
      </c>
      <c r="L14">
        <v>0.133789558</v>
      </c>
      <c r="M14">
        <v>170</v>
      </c>
      <c r="N14" s="51">
        <v>0.11805555555555555</v>
      </c>
      <c r="O14">
        <v>4</v>
      </c>
      <c r="P14">
        <v>28151</v>
      </c>
      <c r="Q14" t="s">
        <v>1108</v>
      </c>
      <c r="R14">
        <v>18190</v>
      </c>
      <c r="S14">
        <v>0.64615821818052643</v>
      </c>
    </row>
    <row r="15" spans="1:19" x14ac:dyDescent="0.25">
      <c r="A15" t="s">
        <v>829</v>
      </c>
      <c r="B15" t="s">
        <v>74</v>
      </c>
      <c r="C15" t="s">
        <v>46</v>
      </c>
      <c r="D15" t="s">
        <v>16</v>
      </c>
      <c r="E15">
        <v>59</v>
      </c>
      <c r="F15" t="s">
        <v>1111</v>
      </c>
      <c r="G15" t="s">
        <v>43</v>
      </c>
      <c r="H15" t="s">
        <v>18</v>
      </c>
      <c r="I15">
        <v>74</v>
      </c>
      <c r="J15">
        <v>3420</v>
      </c>
      <c r="K15">
        <v>12.89152151</v>
      </c>
      <c r="L15">
        <v>0.12891521510000001</v>
      </c>
      <c r="M15">
        <v>156</v>
      </c>
      <c r="N15" s="51">
        <v>0.10833333333333334</v>
      </c>
      <c r="O15">
        <v>4</v>
      </c>
      <c r="P15">
        <v>10121</v>
      </c>
      <c r="Q15" t="s">
        <v>1108</v>
      </c>
      <c r="R15">
        <v>6701</v>
      </c>
      <c r="S15">
        <v>0.6620887264104337</v>
      </c>
    </row>
    <row r="16" spans="1:19" x14ac:dyDescent="0.25">
      <c r="A16" t="s">
        <v>793</v>
      </c>
      <c r="B16" t="s">
        <v>74</v>
      </c>
      <c r="C16" t="s">
        <v>20</v>
      </c>
      <c r="D16" t="s">
        <v>16</v>
      </c>
      <c r="E16">
        <v>41</v>
      </c>
      <c r="F16" t="s">
        <v>1111</v>
      </c>
      <c r="G16" t="s">
        <v>22</v>
      </c>
      <c r="H16" t="s">
        <v>33</v>
      </c>
      <c r="I16">
        <v>77</v>
      </c>
      <c r="J16">
        <v>1052</v>
      </c>
      <c r="K16">
        <v>12.237061860000001</v>
      </c>
      <c r="L16">
        <v>0.12237061860000001</v>
      </c>
      <c r="M16">
        <v>122</v>
      </c>
      <c r="N16" s="51">
        <v>8.4722222222222227E-2</v>
      </c>
      <c r="O16">
        <v>1</v>
      </c>
      <c r="P16">
        <v>19157</v>
      </c>
      <c r="Q16" t="s">
        <v>1108</v>
      </c>
      <c r="R16">
        <v>18105</v>
      </c>
      <c r="S16">
        <v>0.94508534739259797</v>
      </c>
    </row>
    <row r="17" spans="1:19" x14ac:dyDescent="0.25">
      <c r="A17" t="s">
        <v>790</v>
      </c>
      <c r="B17" t="s">
        <v>74</v>
      </c>
      <c r="C17" t="s">
        <v>46</v>
      </c>
      <c r="D17" t="s">
        <v>32</v>
      </c>
      <c r="E17">
        <v>77</v>
      </c>
      <c r="F17" t="s">
        <v>1110</v>
      </c>
      <c r="G17" t="s">
        <v>26</v>
      </c>
      <c r="H17" t="s">
        <v>23</v>
      </c>
      <c r="I17">
        <v>57</v>
      </c>
      <c r="J17">
        <v>2556</v>
      </c>
      <c r="K17">
        <v>17.682080630000002</v>
      </c>
      <c r="L17">
        <v>0.17682080630000002</v>
      </c>
      <c r="M17">
        <v>167</v>
      </c>
      <c r="N17" s="51">
        <v>0.11597222222222223</v>
      </c>
      <c r="O17">
        <v>3</v>
      </c>
      <c r="P17">
        <v>21827</v>
      </c>
      <c r="Q17" t="s">
        <v>1108</v>
      </c>
      <c r="R17">
        <v>19271</v>
      </c>
      <c r="S17">
        <v>0.88289732899619733</v>
      </c>
    </row>
    <row r="18" spans="1:19" x14ac:dyDescent="0.25">
      <c r="A18" t="s">
        <v>769</v>
      </c>
      <c r="B18" t="s">
        <v>74</v>
      </c>
      <c r="C18" t="s">
        <v>20</v>
      </c>
      <c r="D18" t="s">
        <v>32</v>
      </c>
      <c r="E18">
        <v>23</v>
      </c>
      <c r="F18" t="s">
        <v>1107</v>
      </c>
      <c r="G18" t="s">
        <v>17</v>
      </c>
      <c r="H18" t="s">
        <v>18</v>
      </c>
      <c r="I18">
        <v>63</v>
      </c>
      <c r="J18">
        <v>8532</v>
      </c>
      <c r="K18">
        <v>13.60854821</v>
      </c>
      <c r="L18">
        <v>0.13608548210000002</v>
      </c>
      <c r="M18">
        <v>105</v>
      </c>
      <c r="N18" s="51">
        <v>7.2916666666666671E-2</v>
      </c>
      <c r="O18">
        <v>1</v>
      </c>
      <c r="P18">
        <v>14945</v>
      </c>
      <c r="Q18" t="s">
        <v>1108</v>
      </c>
      <c r="R18">
        <v>6413</v>
      </c>
      <c r="S18">
        <v>0.42910672465707594</v>
      </c>
    </row>
    <row r="19" spans="1:19" x14ac:dyDescent="0.25">
      <c r="A19" t="s">
        <v>730</v>
      </c>
      <c r="B19" t="s">
        <v>74</v>
      </c>
      <c r="C19" t="s">
        <v>15</v>
      </c>
      <c r="D19" t="s">
        <v>32</v>
      </c>
      <c r="E19">
        <v>81</v>
      </c>
      <c r="F19" t="s">
        <v>1110</v>
      </c>
      <c r="G19" t="s">
        <v>43</v>
      </c>
      <c r="H19" t="s">
        <v>23</v>
      </c>
      <c r="I19">
        <v>68</v>
      </c>
      <c r="J19">
        <v>3446</v>
      </c>
      <c r="K19">
        <v>22.45507679</v>
      </c>
      <c r="L19">
        <v>0.2245507679</v>
      </c>
      <c r="M19">
        <v>67</v>
      </c>
      <c r="N19" s="51">
        <v>4.6527777777777779E-2</v>
      </c>
      <c r="O19">
        <v>1</v>
      </c>
      <c r="P19">
        <v>47448</v>
      </c>
      <c r="Q19" t="s">
        <v>1108</v>
      </c>
      <c r="R19">
        <v>44002</v>
      </c>
      <c r="S19">
        <v>0.92737312426235041</v>
      </c>
    </row>
    <row r="20" spans="1:19" x14ac:dyDescent="0.25">
      <c r="A20" t="s">
        <v>722</v>
      </c>
      <c r="B20" t="s">
        <v>74</v>
      </c>
      <c r="C20" t="s">
        <v>42</v>
      </c>
      <c r="D20" t="s">
        <v>16</v>
      </c>
      <c r="E20">
        <v>67</v>
      </c>
      <c r="F20" t="s">
        <v>1110</v>
      </c>
      <c r="G20" t="s">
        <v>43</v>
      </c>
      <c r="H20" t="s">
        <v>23</v>
      </c>
      <c r="I20">
        <v>55</v>
      </c>
      <c r="J20">
        <v>1550</v>
      </c>
      <c r="K20">
        <v>20.079238069999999</v>
      </c>
      <c r="L20">
        <v>0.20079238069999999</v>
      </c>
      <c r="M20">
        <v>114</v>
      </c>
      <c r="N20" s="51">
        <v>7.9166666666666663E-2</v>
      </c>
      <c r="O20">
        <v>2</v>
      </c>
      <c r="P20">
        <v>47121</v>
      </c>
      <c r="Q20" t="s">
        <v>1108</v>
      </c>
      <c r="R20">
        <v>45571</v>
      </c>
      <c r="S20">
        <v>0.96710596124870019</v>
      </c>
    </row>
    <row r="21" spans="1:19" x14ac:dyDescent="0.25">
      <c r="A21" t="s">
        <v>711</v>
      </c>
      <c r="B21" t="s">
        <v>74</v>
      </c>
      <c r="C21" t="s">
        <v>42</v>
      </c>
      <c r="D21" t="s">
        <v>21</v>
      </c>
      <c r="E21">
        <v>23</v>
      </c>
      <c r="F21" t="s">
        <v>1107</v>
      </c>
      <c r="G21" t="s">
        <v>43</v>
      </c>
      <c r="H21" t="s">
        <v>33</v>
      </c>
      <c r="I21">
        <v>57</v>
      </c>
      <c r="J21">
        <v>2755</v>
      </c>
      <c r="K21">
        <v>12.60801098</v>
      </c>
      <c r="L21">
        <v>0.12608010980000001</v>
      </c>
      <c r="M21">
        <v>144</v>
      </c>
      <c r="N21" s="51">
        <v>0.1</v>
      </c>
      <c r="O21">
        <v>4</v>
      </c>
      <c r="P21">
        <v>45950</v>
      </c>
      <c r="Q21" t="s">
        <v>1108</v>
      </c>
      <c r="R21">
        <v>43195</v>
      </c>
      <c r="S21">
        <v>0.94004352557127313</v>
      </c>
    </row>
    <row r="22" spans="1:19" x14ac:dyDescent="0.25">
      <c r="A22" t="s">
        <v>693</v>
      </c>
      <c r="B22" t="s">
        <v>74</v>
      </c>
      <c r="C22" t="s">
        <v>46</v>
      </c>
      <c r="D22" t="s">
        <v>16</v>
      </c>
      <c r="E22">
        <v>26</v>
      </c>
      <c r="F22" t="s">
        <v>1107</v>
      </c>
      <c r="G22" t="s">
        <v>43</v>
      </c>
      <c r="H22" t="s">
        <v>51</v>
      </c>
      <c r="I22">
        <v>59</v>
      </c>
      <c r="J22">
        <v>6158</v>
      </c>
      <c r="K22">
        <v>9.2528875270000004</v>
      </c>
      <c r="L22">
        <v>9.2528875270000005E-2</v>
      </c>
      <c r="M22">
        <v>66</v>
      </c>
      <c r="N22" s="51">
        <v>4.583333333333333E-2</v>
      </c>
      <c r="O22">
        <v>1</v>
      </c>
      <c r="P22">
        <v>8130</v>
      </c>
      <c r="Q22" t="s">
        <v>1108</v>
      </c>
      <c r="R22">
        <v>1972</v>
      </c>
      <c r="S22">
        <v>0.24255842558425583</v>
      </c>
    </row>
    <row r="23" spans="1:19" x14ac:dyDescent="0.25">
      <c r="A23" t="s">
        <v>684</v>
      </c>
      <c r="B23" t="s">
        <v>74</v>
      </c>
      <c r="C23" t="s">
        <v>20</v>
      </c>
      <c r="D23" t="s">
        <v>21</v>
      </c>
      <c r="E23">
        <v>71</v>
      </c>
      <c r="F23" t="s">
        <v>1110</v>
      </c>
      <c r="G23" t="s">
        <v>22</v>
      </c>
      <c r="H23" t="s">
        <v>23</v>
      </c>
      <c r="I23">
        <v>84</v>
      </c>
      <c r="J23">
        <v>538</v>
      </c>
      <c r="K23">
        <v>8.497628744</v>
      </c>
      <c r="L23">
        <v>8.4976287440000006E-2</v>
      </c>
      <c r="M23">
        <v>62</v>
      </c>
      <c r="N23" s="51">
        <v>4.3055555555555555E-2</v>
      </c>
      <c r="O23">
        <v>2</v>
      </c>
      <c r="P23">
        <v>48315</v>
      </c>
      <c r="Q23" t="s">
        <v>1108</v>
      </c>
      <c r="R23">
        <v>47777</v>
      </c>
      <c r="S23">
        <v>0.98886474179861328</v>
      </c>
    </row>
    <row r="24" spans="1:19" x14ac:dyDescent="0.25">
      <c r="A24" t="s">
        <v>665</v>
      </c>
      <c r="B24" t="s">
        <v>74</v>
      </c>
      <c r="C24" t="s">
        <v>29</v>
      </c>
      <c r="D24" t="s">
        <v>21</v>
      </c>
      <c r="E24">
        <v>81</v>
      </c>
      <c r="F24" t="s">
        <v>1110</v>
      </c>
      <c r="G24" t="s">
        <v>22</v>
      </c>
      <c r="H24" t="s">
        <v>47</v>
      </c>
      <c r="I24">
        <v>80</v>
      </c>
      <c r="J24">
        <v>6853</v>
      </c>
      <c r="K24">
        <v>21.519564249999998</v>
      </c>
      <c r="L24">
        <v>0.21519564249999998</v>
      </c>
      <c r="M24">
        <v>157</v>
      </c>
      <c r="N24" s="51">
        <v>0.10902777777777778</v>
      </c>
      <c r="O24">
        <v>1</v>
      </c>
      <c r="P24">
        <v>21350</v>
      </c>
      <c r="Q24" t="s">
        <v>1108</v>
      </c>
      <c r="R24">
        <v>14497</v>
      </c>
      <c r="S24">
        <v>0.67901639344262299</v>
      </c>
    </row>
    <row r="25" spans="1:19" x14ac:dyDescent="0.25">
      <c r="A25" t="s">
        <v>657</v>
      </c>
      <c r="B25" t="s">
        <v>74</v>
      </c>
      <c r="C25" t="s">
        <v>54</v>
      </c>
      <c r="D25" t="s">
        <v>21</v>
      </c>
      <c r="E25">
        <v>22</v>
      </c>
      <c r="F25" t="s">
        <v>1107</v>
      </c>
      <c r="G25" t="s">
        <v>17</v>
      </c>
      <c r="H25" t="s">
        <v>51</v>
      </c>
      <c r="I25">
        <v>61</v>
      </c>
      <c r="J25">
        <v>7991</v>
      </c>
      <c r="K25">
        <v>21.43273795</v>
      </c>
      <c r="L25">
        <v>0.2143273795</v>
      </c>
      <c r="M25">
        <v>143</v>
      </c>
      <c r="N25" s="51">
        <v>9.930555555555555E-2</v>
      </c>
      <c r="O25">
        <v>4</v>
      </c>
      <c r="P25">
        <v>5042</v>
      </c>
      <c r="Q25" t="s">
        <v>1108</v>
      </c>
      <c r="R25">
        <v>-2949</v>
      </c>
      <c r="S25">
        <v>-0.58488694962316545</v>
      </c>
    </row>
    <row r="26" spans="1:19" x14ac:dyDescent="0.25">
      <c r="A26" t="s">
        <v>655</v>
      </c>
      <c r="B26" t="s">
        <v>74</v>
      </c>
      <c r="C26" t="s">
        <v>31</v>
      </c>
      <c r="D26" t="s">
        <v>32</v>
      </c>
      <c r="E26">
        <v>50</v>
      </c>
      <c r="F26" t="s">
        <v>1111</v>
      </c>
      <c r="G26" t="s">
        <v>22</v>
      </c>
      <c r="H26" t="s">
        <v>33</v>
      </c>
      <c r="I26">
        <v>98</v>
      </c>
      <c r="J26">
        <v>2387</v>
      </c>
      <c r="K26">
        <v>11.28700226</v>
      </c>
      <c r="L26">
        <v>0.11287002259999999</v>
      </c>
      <c r="M26">
        <v>36</v>
      </c>
      <c r="N26" s="51">
        <v>2.5000000000000001E-2</v>
      </c>
      <c r="O26">
        <v>4</v>
      </c>
      <c r="P26">
        <v>5078</v>
      </c>
      <c r="Q26" t="s">
        <v>1108</v>
      </c>
      <c r="R26">
        <v>2691</v>
      </c>
      <c r="S26">
        <v>0.52993304450571088</v>
      </c>
    </row>
    <row r="27" spans="1:19" x14ac:dyDescent="0.25">
      <c r="A27" t="s">
        <v>654</v>
      </c>
      <c r="B27" t="s">
        <v>74</v>
      </c>
      <c r="C27" t="s">
        <v>20</v>
      </c>
      <c r="D27" t="s">
        <v>16</v>
      </c>
      <c r="E27">
        <v>44</v>
      </c>
      <c r="F27" t="s">
        <v>1111</v>
      </c>
      <c r="G27" t="s">
        <v>43</v>
      </c>
      <c r="H27" t="s">
        <v>47</v>
      </c>
      <c r="I27">
        <v>68</v>
      </c>
      <c r="J27">
        <v>7559</v>
      </c>
      <c r="K27">
        <v>19.204855970000001</v>
      </c>
      <c r="L27">
        <v>0.19204855970000001</v>
      </c>
      <c r="M27">
        <v>92</v>
      </c>
      <c r="N27" s="51">
        <v>6.3888888888888884E-2</v>
      </c>
      <c r="O27">
        <v>1</v>
      </c>
      <c r="P27">
        <v>48014</v>
      </c>
      <c r="Q27" t="s">
        <v>1108</v>
      </c>
      <c r="R27">
        <v>40455</v>
      </c>
      <c r="S27">
        <v>0.84256675136418546</v>
      </c>
    </row>
    <row r="28" spans="1:19" x14ac:dyDescent="0.25">
      <c r="A28" t="s">
        <v>653</v>
      </c>
      <c r="B28" t="s">
        <v>74</v>
      </c>
      <c r="C28" t="s">
        <v>54</v>
      </c>
      <c r="D28" t="s">
        <v>32</v>
      </c>
      <c r="E28">
        <v>23</v>
      </c>
      <c r="F28" t="s">
        <v>1107</v>
      </c>
      <c r="G28" t="s">
        <v>22</v>
      </c>
      <c r="H28" t="s">
        <v>47</v>
      </c>
      <c r="I28">
        <v>62</v>
      </c>
      <c r="J28">
        <v>777</v>
      </c>
      <c r="K28">
        <v>15.8158751</v>
      </c>
      <c r="L28">
        <v>0.15815875099999999</v>
      </c>
      <c r="M28">
        <v>177</v>
      </c>
      <c r="N28" s="51">
        <v>0.12291666666666666</v>
      </c>
      <c r="O28">
        <v>1</v>
      </c>
      <c r="P28">
        <v>8754</v>
      </c>
      <c r="Q28" t="s">
        <v>1108</v>
      </c>
      <c r="R28">
        <v>7977</v>
      </c>
      <c r="S28">
        <v>0.91124057573680606</v>
      </c>
    </row>
    <row r="29" spans="1:19" x14ac:dyDescent="0.25">
      <c r="A29" t="s">
        <v>633</v>
      </c>
      <c r="B29" t="s">
        <v>74</v>
      </c>
      <c r="C29" t="s">
        <v>54</v>
      </c>
      <c r="D29" t="s">
        <v>21</v>
      </c>
      <c r="E29">
        <v>38</v>
      </c>
      <c r="F29" t="s">
        <v>1111</v>
      </c>
      <c r="G29" t="s">
        <v>17</v>
      </c>
      <c r="H29" t="s">
        <v>23</v>
      </c>
      <c r="I29">
        <v>88</v>
      </c>
      <c r="J29">
        <v>7006</v>
      </c>
      <c r="K29">
        <v>15.104135469999999</v>
      </c>
      <c r="L29">
        <v>0.15104135469999999</v>
      </c>
      <c r="M29">
        <v>41</v>
      </c>
      <c r="N29" s="51">
        <v>2.8472222222222222E-2</v>
      </c>
      <c r="O29">
        <v>1</v>
      </c>
      <c r="P29">
        <v>45940</v>
      </c>
      <c r="Q29" t="s">
        <v>1108</v>
      </c>
      <c r="R29">
        <v>38934</v>
      </c>
      <c r="S29">
        <v>0.84749673487157162</v>
      </c>
    </row>
    <row r="30" spans="1:19" x14ac:dyDescent="0.25">
      <c r="A30" t="s">
        <v>73</v>
      </c>
      <c r="B30" t="s">
        <v>74</v>
      </c>
      <c r="C30" t="s">
        <v>20</v>
      </c>
      <c r="D30" t="s">
        <v>16</v>
      </c>
      <c r="E30">
        <v>18</v>
      </c>
      <c r="F30" t="s">
        <v>1109</v>
      </c>
      <c r="G30" t="s">
        <v>26</v>
      </c>
      <c r="H30" t="s">
        <v>18</v>
      </c>
      <c r="I30">
        <v>71</v>
      </c>
      <c r="J30">
        <v>6816</v>
      </c>
      <c r="K30">
        <v>10.49612071</v>
      </c>
      <c r="L30">
        <v>0.1049612071</v>
      </c>
      <c r="M30">
        <v>132</v>
      </c>
      <c r="N30" s="51">
        <v>9.166666666666666E-2</v>
      </c>
      <c r="O30">
        <v>3</v>
      </c>
      <c r="P30">
        <v>21316</v>
      </c>
      <c r="Q30" t="s">
        <v>1108</v>
      </c>
      <c r="R30">
        <v>14500</v>
      </c>
      <c r="S30">
        <v>0.68024019515856637</v>
      </c>
    </row>
    <row r="31" spans="1:19" x14ac:dyDescent="0.25">
      <c r="A31" t="s">
        <v>621</v>
      </c>
      <c r="B31" t="s">
        <v>74</v>
      </c>
      <c r="C31" t="s">
        <v>29</v>
      </c>
      <c r="D31" t="s">
        <v>21</v>
      </c>
      <c r="E31">
        <v>85</v>
      </c>
      <c r="F31" t="s">
        <v>1110</v>
      </c>
      <c r="G31" t="s">
        <v>43</v>
      </c>
      <c r="H31" t="s">
        <v>33</v>
      </c>
      <c r="I31">
        <v>85</v>
      </c>
      <c r="J31">
        <v>3104</v>
      </c>
      <c r="K31">
        <v>24.67042945</v>
      </c>
      <c r="L31">
        <v>0.2467042945</v>
      </c>
      <c r="M31">
        <v>61</v>
      </c>
      <c r="N31" s="51">
        <v>4.2361111111111113E-2</v>
      </c>
      <c r="O31">
        <v>4</v>
      </c>
      <c r="P31">
        <v>38710</v>
      </c>
      <c r="Q31" t="s">
        <v>1108</v>
      </c>
      <c r="R31">
        <v>35606</v>
      </c>
      <c r="S31">
        <v>0.91981400154998705</v>
      </c>
    </row>
    <row r="32" spans="1:19" x14ac:dyDescent="0.25">
      <c r="A32" t="s">
        <v>534</v>
      </c>
      <c r="B32" t="s">
        <v>74</v>
      </c>
      <c r="C32" t="s">
        <v>29</v>
      </c>
      <c r="D32" t="s">
        <v>16</v>
      </c>
      <c r="E32">
        <v>43</v>
      </c>
      <c r="F32" t="s">
        <v>1111</v>
      </c>
      <c r="G32" t="s">
        <v>26</v>
      </c>
      <c r="H32" t="s">
        <v>23</v>
      </c>
      <c r="I32">
        <v>86</v>
      </c>
      <c r="J32">
        <v>4888</v>
      </c>
      <c r="K32">
        <v>23.736449239999999</v>
      </c>
      <c r="L32">
        <v>0.23736449239999999</v>
      </c>
      <c r="M32">
        <v>32</v>
      </c>
      <c r="N32" s="51">
        <v>2.2222222222222223E-2</v>
      </c>
      <c r="O32">
        <v>1</v>
      </c>
      <c r="P32">
        <v>49449</v>
      </c>
      <c r="Q32" t="s">
        <v>1108</v>
      </c>
      <c r="R32">
        <v>44561</v>
      </c>
      <c r="S32">
        <v>0.90115068049910008</v>
      </c>
    </row>
    <row r="33" spans="1:19" x14ac:dyDescent="0.25">
      <c r="A33" t="s">
        <v>528</v>
      </c>
      <c r="B33" t="s">
        <v>74</v>
      </c>
      <c r="C33" t="s">
        <v>31</v>
      </c>
      <c r="D33" t="s">
        <v>16</v>
      </c>
      <c r="E33">
        <v>19</v>
      </c>
      <c r="F33" t="s">
        <v>1107</v>
      </c>
      <c r="G33" t="s">
        <v>22</v>
      </c>
      <c r="H33" t="s">
        <v>33</v>
      </c>
      <c r="I33">
        <v>71</v>
      </c>
      <c r="J33">
        <v>2550</v>
      </c>
      <c r="K33">
        <v>11.946866529999999</v>
      </c>
      <c r="L33">
        <v>0.1194686653</v>
      </c>
      <c r="M33">
        <v>33</v>
      </c>
      <c r="N33" s="51">
        <v>2.2916666666666665E-2</v>
      </c>
      <c r="O33">
        <v>4</v>
      </c>
      <c r="P33">
        <v>30978</v>
      </c>
      <c r="Q33" t="s">
        <v>1108</v>
      </c>
      <c r="R33">
        <v>28428</v>
      </c>
      <c r="S33">
        <v>0.91768351733488285</v>
      </c>
    </row>
    <row r="34" spans="1:19" x14ac:dyDescent="0.25">
      <c r="A34" t="s">
        <v>501</v>
      </c>
      <c r="B34" t="s">
        <v>74</v>
      </c>
      <c r="C34" t="s">
        <v>20</v>
      </c>
      <c r="D34" t="s">
        <v>21</v>
      </c>
      <c r="E34">
        <v>45</v>
      </c>
      <c r="F34" t="s">
        <v>1111</v>
      </c>
      <c r="G34" t="s">
        <v>26</v>
      </c>
      <c r="H34" t="s">
        <v>47</v>
      </c>
      <c r="I34">
        <v>62</v>
      </c>
      <c r="J34">
        <v>7140</v>
      </c>
      <c r="K34">
        <v>19.590164569999999</v>
      </c>
      <c r="L34">
        <v>0.19590164569999999</v>
      </c>
      <c r="M34">
        <v>142</v>
      </c>
      <c r="N34" s="51">
        <v>9.8611111111111108E-2</v>
      </c>
      <c r="O34">
        <v>3</v>
      </c>
      <c r="P34">
        <v>20226</v>
      </c>
      <c r="Q34" t="s">
        <v>1108</v>
      </c>
      <c r="R34">
        <v>13086</v>
      </c>
      <c r="S34">
        <v>0.64698902402847824</v>
      </c>
    </row>
    <row r="35" spans="1:19" x14ac:dyDescent="0.25">
      <c r="A35" t="s">
        <v>484</v>
      </c>
      <c r="B35" t="s">
        <v>74</v>
      </c>
      <c r="C35" t="s">
        <v>31</v>
      </c>
      <c r="D35" t="s">
        <v>32</v>
      </c>
      <c r="E35">
        <v>26</v>
      </c>
      <c r="F35" t="s">
        <v>1107</v>
      </c>
      <c r="G35" t="s">
        <v>17</v>
      </c>
      <c r="H35" t="s">
        <v>18</v>
      </c>
      <c r="I35">
        <v>92</v>
      </c>
      <c r="J35">
        <v>4997</v>
      </c>
      <c r="K35">
        <v>10.4614162</v>
      </c>
      <c r="L35">
        <v>0.10461416200000001</v>
      </c>
      <c r="M35">
        <v>31</v>
      </c>
      <c r="N35" s="51">
        <v>2.1527777777777778E-2</v>
      </c>
      <c r="O35">
        <v>4</v>
      </c>
      <c r="P35">
        <v>22684</v>
      </c>
      <c r="Q35" t="s">
        <v>1108</v>
      </c>
      <c r="R35">
        <v>17687</v>
      </c>
      <c r="S35">
        <v>0.77971257273849415</v>
      </c>
    </row>
    <row r="36" spans="1:19" x14ac:dyDescent="0.25">
      <c r="A36" t="s">
        <v>476</v>
      </c>
      <c r="B36" t="s">
        <v>74</v>
      </c>
      <c r="C36" t="s">
        <v>31</v>
      </c>
      <c r="D36" t="s">
        <v>32</v>
      </c>
      <c r="E36">
        <v>24</v>
      </c>
      <c r="F36" t="s">
        <v>1107</v>
      </c>
      <c r="G36" t="s">
        <v>17</v>
      </c>
      <c r="H36" t="s">
        <v>47</v>
      </c>
      <c r="I36">
        <v>71</v>
      </c>
      <c r="J36">
        <v>9518</v>
      </c>
      <c r="K36">
        <v>16.43744542</v>
      </c>
      <c r="L36">
        <v>0.16437445419999999</v>
      </c>
      <c r="M36">
        <v>96</v>
      </c>
      <c r="N36" s="51">
        <v>6.6666666666666666E-2</v>
      </c>
      <c r="O36">
        <v>2</v>
      </c>
      <c r="P36">
        <v>36422</v>
      </c>
      <c r="Q36" t="s">
        <v>1108</v>
      </c>
      <c r="R36">
        <v>26904</v>
      </c>
      <c r="S36">
        <v>0.7386744275437922</v>
      </c>
    </row>
    <row r="37" spans="1:19" x14ac:dyDescent="0.25">
      <c r="A37" t="s">
        <v>464</v>
      </c>
      <c r="B37" t="s">
        <v>74</v>
      </c>
      <c r="C37" t="s">
        <v>42</v>
      </c>
      <c r="D37" t="s">
        <v>21</v>
      </c>
      <c r="E37">
        <v>87</v>
      </c>
      <c r="F37" t="s">
        <v>1110</v>
      </c>
      <c r="G37" t="s">
        <v>43</v>
      </c>
      <c r="H37" t="s">
        <v>23</v>
      </c>
      <c r="I37">
        <v>57</v>
      </c>
      <c r="J37">
        <v>5306</v>
      </c>
      <c r="K37">
        <v>16.964505880000001</v>
      </c>
      <c r="L37">
        <v>0.1696450588</v>
      </c>
      <c r="M37">
        <v>125</v>
      </c>
      <c r="N37" s="51">
        <v>8.6805555555555552E-2</v>
      </c>
      <c r="O37">
        <v>4</v>
      </c>
      <c r="P37">
        <v>24853</v>
      </c>
      <c r="Q37" t="s">
        <v>1108</v>
      </c>
      <c r="R37">
        <v>19547</v>
      </c>
      <c r="S37">
        <v>0.78650464732627856</v>
      </c>
    </row>
    <row r="38" spans="1:19" x14ac:dyDescent="0.25">
      <c r="A38" t="s">
        <v>83</v>
      </c>
      <c r="B38" t="s">
        <v>74</v>
      </c>
      <c r="C38" t="s">
        <v>20</v>
      </c>
      <c r="D38" t="s">
        <v>32</v>
      </c>
      <c r="E38">
        <v>2</v>
      </c>
      <c r="F38" t="s">
        <v>1109</v>
      </c>
      <c r="G38" t="s">
        <v>17</v>
      </c>
      <c r="H38" t="s">
        <v>37</v>
      </c>
      <c r="I38">
        <v>64</v>
      </c>
      <c r="J38">
        <v>6733</v>
      </c>
      <c r="K38">
        <v>8.3602841550000004</v>
      </c>
      <c r="L38">
        <v>8.3602841550000001E-2</v>
      </c>
      <c r="M38">
        <v>133</v>
      </c>
      <c r="N38" s="51">
        <v>9.2361111111111116E-2</v>
      </c>
      <c r="O38">
        <v>2</v>
      </c>
      <c r="P38">
        <v>48133</v>
      </c>
      <c r="Q38" t="s">
        <v>1108</v>
      </c>
      <c r="R38">
        <v>41400</v>
      </c>
      <c r="S38">
        <v>0.86011675981135605</v>
      </c>
    </row>
    <row r="39" spans="1:19" x14ac:dyDescent="0.25">
      <c r="A39" t="s">
        <v>461</v>
      </c>
      <c r="B39" t="s">
        <v>74</v>
      </c>
      <c r="C39" t="s">
        <v>46</v>
      </c>
      <c r="D39" t="s">
        <v>21</v>
      </c>
      <c r="E39">
        <v>28</v>
      </c>
      <c r="F39" t="s">
        <v>1107</v>
      </c>
      <c r="G39" t="s">
        <v>17</v>
      </c>
      <c r="H39" t="s">
        <v>51</v>
      </c>
      <c r="I39">
        <v>94</v>
      </c>
      <c r="J39">
        <v>8544</v>
      </c>
      <c r="K39">
        <v>13.680387319999999</v>
      </c>
      <c r="L39">
        <v>0.13680387319999998</v>
      </c>
      <c r="M39">
        <v>99</v>
      </c>
      <c r="N39" s="51">
        <v>6.8750000000000006E-2</v>
      </c>
      <c r="O39">
        <v>2</v>
      </c>
      <c r="P39">
        <v>39751</v>
      </c>
      <c r="Q39" t="s">
        <v>1108</v>
      </c>
      <c r="R39">
        <v>31207</v>
      </c>
      <c r="S39">
        <v>0.78506201101859074</v>
      </c>
    </row>
    <row r="40" spans="1:19" x14ac:dyDescent="0.25">
      <c r="A40" t="s">
        <v>455</v>
      </c>
      <c r="B40" t="s">
        <v>74</v>
      </c>
      <c r="C40" t="s">
        <v>20</v>
      </c>
      <c r="D40" t="s">
        <v>21</v>
      </c>
      <c r="E40">
        <v>3</v>
      </c>
      <c r="F40" t="s">
        <v>1109</v>
      </c>
      <c r="G40" t="s">
        <v>22</v>
      </c>
      <c r="H40" t="s">
        <v>23</v>
      </c>
      <c r="I40">
        <v>99</v>
      </c>
      <c r="J40">
        <v>9401</v>
      </c>
      <c r="K40">
        <v>19.153618689999998</v>
      </c>
      <c r="L40">
        <v>0.19153618689999999</v>
      </c>
      <c r="M40">
        <v>103</v>
      </c>
      <c r="N40" s="51">
        <v>7.1527777777777773E-2</v>
      </c>
      <c r="O40">
        <v>3</v>
      </c>
      <c r="P40">
        <v>23337</v>
      </c>
      <c r="Q40" t="s">
        <v>1108</v>
      </c>
      <c r="R40">
        <v>13936</v>
      </c>
      <c r="S40">
        <v>0.59716330290954278</v>
      </c>
    </row>
    <row r="41" spans="1:19" x14ac:dyDescent="0.25">
      <c r="A41" t="s">
        <v>398</v>
      </c>
      <c r="B41" t="s">
        <v>74</v>
      </c>
      <c r="C41" t="s">
        <v>36</v>
      </c>
      <c r="D41" t="s">
        <v>16</v>
      </c>
      <c r="E41">
        <v>85</v>
      </c>
      <c r="F41" t="s">
        <v>1110</v>
      </c>
      <c r="G41" t="s">
        <v>17</v>
      </c>
      <c r="H41" t="s">
        <v>47</v>
      </c>
      <c r="I41">
        <v>54</v>
      </c>
      <c r="J41">
        <v>7319</v>
      </c>
      <c r="K41">
        <v>5.1866323970000003</v>
      </c>
      <c r="L41">
        <v>5.1866323970000003E-2</v>
      </c>
      <c r="M41">
        <v>117</v>
      </c>
      <c r="N41" s="51">
        <v>8.1250000000000003E-2</v>
      </c>
      <c r="O41">
        <v>4</v>
      </c>
      <c r="P41">
        <v>5926</v>
      </c>
      <c r="Q41" t="s">
        <v>1108</v>
      </c>
      <c r="R41">
        <v>-1393</v>
      </c>
      <c r="S41">
        <v>-0.23506581167735402</v>
      </c>
    </row>
    <row r="42" spans="1:19" x14ac:dyDescent="0.25">
      <c r="A42" t="s">
        <v>395</v>
      </c>
      <c r="B42" t="s">
        <v>74</v>
      </c>
      <c r="C42" t="s">
        <v>31</v>
      </c>
      <c r="D42" t="s">
        <v>32</v>
      </c>
      <c r="E42">
        <v>10</v>
      </c>
      <c r="F42" t="s">
        <v>1109</v>
      </c>
      <c r="G42" t="s">
        <v>17</v>
      </c>
      <c r="H42" t="s">
        <v>37</v>
      </c>
      <c r="I42">
        <v>77</v>
      </c>
      <c r="J42">
        <v>4350</v>
      </c>
      <c r="K42">
        <v>20.22243074</v>
      </c>
      <c r="L42">
        <v>0.2022243074</v>
      </c>
      <c r="M42">
        <v>163</v>
      </c>
      <c r="N42" s="51">
        <v>0.11319444444444444</v>
      </c>
      <c r="O42">
        <v>1</v>
      </c>
      <c r="P42">
        <v>14971</v>
      </c>
      <c r="Q42" t="s">
        <v>1108</v>
      </c>
      <c r="R42">
        <v>10621</v>
      </c>
      <c r="S42">
        <v>0.70943824727807092</v>
      </c>
    </row>
    <row r="43" spans="1:19" x14ac:dyDescent="0.25">
      <c r="A43" t="s">
        <v>362</v>
      </c>
      <c r="B43" t="s">
        <v>74</v>
      </c>
      <c r="C43" t="s">
        <v>31</v>
      </c>
      <c r="D43" t="s">
        <v>16</v>
      </c>
      <c r="E43">
        <v>47</v>
      </c>
      <c r="F43" t="s">
        <v>1111</v>
      </c>
      <c r="G43" t="s">
        <v>17</v>
      </c>
      <c r="H43" t="s">
        <v>51</v>
      </c>
      <c r="I43">
        <v>51</v>
      </c>
      <c r="J43">
        <v>9133</v>
      </c>
      <c r="K43">
        <v>10.718135780000001</v>
      </c>
      <c r="L43">
        <v>0.1071813578</v>
      </c>
      <c r="M43">
        <v>95</v>
      </c>
      <c r="N43" s="51">
        <v>6.5972222222222224E-2</v>
      </c>
      <c r="O43">
        <v>4</v>
      </c>
      <c r="P43">
        <v>29202</v>
      </c>
      <c r="Q43" t="s">
        <v>1108</v>
      </c>
      <c r="R43">
        <v>20069</v>
      </c>
      <c r="S43">
        <v>0.68724744880487643</v>
      </c>
    </row>
    <row r="44" spans="1:19" x14ac:dyDescent="0.25">
      <c r="A44" t="s">
        <v>361</v>
      </c>
      <c r="B44" t="s">
        <v>74</v>
      </c>
      <c r="C44" t="s">
        <v>29</v>
      </c>
      <c r="D44" t="s">
        <v>21</v>
      </c>
      <c r="E44">
        <v>15</v>
      </c>
      <c r="F44" t="s">
        <v>1109</v>
      </c>
      <c r="G44" t="s">
        <v>43</v>
      </c>
      <c r="H44" t="s">
        <v>23</v>
      </c>
      <c r="I44">
        <v>67</v>
      </c>
      <c r="J44">
        <v>7309</v>
      </c>
      <c r="K44">
        <v>17.916216250000002</v>
      </c>
      <c r="L44">
        <v>0.17916216250000003</v>
      </c>
      <c r="M44">
        <v>71</v>
      </c>
      <c r="N44" s="51">
        <v>4.9305555555555554E-2</v>
      </c>
      <c r="O44">
        <v>3</v>
      </c>
      <c r="P44">
        <v>17524</v>
      </c>
      <c r="Q44" t="s">
        <v>1108</v>
      </c>
      <c r="R44">
        <v>10215</v>
      </c>
      <c r="S44">
        <v>0.58291485962109113</v>
      </c>
    </row>
    <row r="45" spans="1:19" x14ac:dyDescent="0.25">
      <c r="A45" t="s">
        <v>358</v>
      </c>
      <c r="B45" t="s">
        <v>74</v>
      </c>
      <c r="C45" t="s">
        <v>46</v>
      </c>
      <c r="D45" t="s">
        <v>32</v>
      </c>
      <c r="E45">
        <v>45</v>
      </c>
      <c r="F45" t="s">
        <v>1111</v>
      </c>
      <c r="G45" t="s">
        <v>22</v>
      </c>
      <c r="H45" t="s">
        <v>18</v>
      </c>
      <c r="I45">
        <v>78</v>
      </c>
      <c r="J45">
        <v>1801</v>
      </c>
      <c r="K45">
        <v>7.4300275259999999</v>
      </c>
      <c r="L45">
        <v>7.4300275259999993E-2</v>
      </c>
      <c r="M45">
        <v>55</v>
      </c>
      <c r="N45" s="51">
        <v>3.8194444444444448E-2</v>
      </c>
      <c r="O45">
        <v>3</v>
      </c>
      <c r="P45">
        <v>24527</v>
      </c>
      <c r="Q45" t="s">
        <v>1108</v>
      </c>
      <c r="R45">
        <v>22726</v>
      </c>
      <c r="S45">
        <v>0.92657071798426227</v>
      </c>
    </row>
    <row r="46" spans="1:19" x14ac:dyDescent="0.25">
      <c r="A46" t="s">
        <v>343</v>
      </c>
      <c r="B46" t="s">
        <v>74</v>
      </c>
      <c r="C46" t="s">
        <v>36</v>
      </c>
      <c r="D46" t="s">
        <v>21</v>
      </c>
      <c r="E46">
        <v>24</v>
      </c>
      <c r="F46" t="s">
        <v>1107</v>
      </c>
      <c r="G46" t="s">
        <v>22</v>
      </c>
      <c r="H46" t="s">
        <v>47</v>
      </c>
      <c r="I46">
        <v>73</v>
      </c>
      <c r="J46">
        <v>1887</v>
      </c>
      <c r="K46">
        <v>17.037631789999999</v>
      </c>
      <c r="L46">
        <v>0.17037631789999999</v>
      </c>
      <c r="M46">
        <v>168</v>
      </c>
      <c r="N46" s="51">
        <v>0.11666666666666667</v>
      </c>
      <c r="O46">
        <v>1</v>
      </c>
      <c r="P46">
        <v>17459</v>
      </c>
      <c r="Q46" t="s">
        <v>1108</v>
      </c>
      <c r="R46">
        <v>15572</v>
      </c>
      <c r="S46">
        <v>0.89191820837390456</v>
      </c>
    </row>
    <row r="47" spans="1:19" x14ac:dyDescent="0.25">
      <c r="A47" t="s">
        <v>92</v>
      </c>
      <c r="B47" t="s">
        <v>74</v>
      </c>
      <c r="C47" t="s">
        <v>15</v>
      </c>
      <c r="D47" t="s">
        <v>16</v>
      </c>
      <c r="E47">
        <v>37</v>
      </c>
      <c r="F47" t="s">
        <v>1111</v>
      </c>
      <c r="G47" t="s">
        <v>26</v>
      </c>
      <c r="H47" t="s">
        <v>18</v>
      </c>
      <c r="I47">
        <v>67</v>
      </c>
      <c r="J47">
        <v>760</v>
      </c>
      <c r="K47">
        <v>9.6389419220000008</v>
      </c>
      <c r="L47">
        <v>9.6389419220000008E-2</v>
      </c>
      <c r="M47">
        <v>145</v>
      </c>
      <c r="N47" s="51">
        <v>0.10069444444444445</v>
      </c>
      <c r="O47">
        <v>4</v>
      </c>
      <c r="P47">
        <v>7078</v>
      </c>
      <c r="Q47" t="s">
        <v>1108</v>
      </c>
      <c r="R47">
        <v>6318</v>
      </c>
      <c r="S47">
        <v>0.89262503532071202</v>
      </c>
    </row>
    <row r="48" spans="1:19" x14ac:dyDescent="0.25">
      <c r="A48" t="s">
        <v>337</v>
      </c>
      <c r="B48" t="s">
        <v>74</v>
      </c>
      <c r="C48" t="s">
        <v>29</v>
      </c>
      <c r="D48" t="s">
        <v>21</v>
      </c>
      <c r="E48">
        <v>62</v>
      </c>
      <c r="F48" t="s">
        <v>1110</v>
      </c>
      <c r="G48" t="s">
        <v>26</v>
      </c>
      <c r="H48" t="s">
        <v>18</v>
      </c>
      <c r="I48">
        <v>84</v>
      </c>
      <c r="J48">
        <v>2055</v>
      </c>
      <c r="K48">
        <v>15.60604266</v>
      </c>
      <c r="L48">
        <v>0.1560604266</v>
      </c>
      <c r="M48">
        <v>74</v>
      </c>
      <c r="N48" s="51">
        <v>5.1388888888888887E-2</v>
      </c>
      <c r="O48">
        <v>2</v>
      </c>
      <c r="P48">
        <v>14675</v>
      </c>
      <c r="Q48" t="s">
        <v>1108</v>
      </c>
      <c r="R48">
        <v>12620</v>
      </c>
      <c r="S48">
        <v>0.85996592844974451</v>
      </c>
    </row>
    <row r="49" spans="1:19" x14ac:dyDescent="0.25">
      <c r="A49" t="s">
        <v>328</v>
      </c>
      <c r="B49" t="s">
        <v>74</v>
      </c>
      <c r="C49" t="s">
        <v>20</v>
      </c>
      <c r="D49" t="s">
        <v>32</v>
      </c>
      <c r="E49">
        <v>67</v>
      </c>
      <c r="F49" t="s">
        <v>1110</v>
      </c>
      <c r="G49" t="s">
        <v>43</v>
      </c>
      <c r="H49" t="s">
        <v>33</v>
      </c>
      <c r="I49">
        <v>51</v>
      </c>
      <c r="J49">
        <v>4677</v>
      </c>
      <c r="K49">
        <v>10.90889555</v>
      </c>
      <c r="L49">
        <v>0.1090889555</v>
      </c>
      <c r="M49">
        <v>34</v>
      </c>
      <c r="N49" s="51">
        <v>2.361111111111111E-2</v>
      </c>
      <c r="O49">
        <v>1</v>
      </c>
      <c r="P49">
        <v>26553</v>
      </c>
      <c r="Q49" t="s">
        <v>1108</v>
      </c>
      <c r="R49">
        <v>21876</v>
      </c>
      <c r="S49">
        <v>0.82386171054118174</v>
      </c>
    </row>
    <row r="50" spans="1:19" x14ac:dyDescent="0.25">
      <c r="A50" t="s">
        <v>324</v>
      </c>
      <c r="B50" t="s">
        <v>74</v>
      </c>
      <c r="C50" t="s">
        <v>54</v>
      </c>
      <c r="D50" t="s">
        <v>32</v>
      </c>
      <c r="E50">
        <v>24</v>
      </c>
      <c r="F50" t="s">
        <v>1107</v>
      </c>
      <c r="G50" t="s">
        <v>26</v>
      </c>
      <c r="H50" t="s">
        <v>33</v>
      </c>
      <c r="I50">
        <v>65</v>
      </c>
      <c r="J50">
        <v>4195</v>
      </c>
      <c r="K50">
        <v>10.30092857</v>
      </c>
      <c r="L50">
        <v>0.10300928569999999</v>
      </c>
      <c r="M50">
        <v>68</v>
      </c>
      <c r="N50" s="51">
        <v>4.7222222222222221E-2</v>
      </c>
      <c r="O50">
        <v>3</v>
      </c>
      <c r="P50">
        <v>40169</v>
      </c>
      <c r="Q50" t="s">
        <v>1108</v>
      </c>
      <c r="R50">
        <v>35974</v>
      </c>
      <c r="S50">
        <v>0.89556623266698199</v>
      </c>
    </row>
    <row r="51" spans="1:19" x14ac:dyDescent="0.25">
      <c r="A51" t="s">
        <v>320</v>
      </c>
      <c r="B51" t="s">
        <v>74</v>
      </c>
      <c r="C51" t="s">
        <v>31</v>
      </c>
      <c r="D51" t="s">
        <v>32</v>
      </c>
      <c r="E51">
        <v>35</v>
      </c>
      <c r="F51" t="s">
        <v>1107</v>
      </c>
      <c r="G51" t="s">
        <v>22</v>
      </c>
      <c r="H51" t="s">
        <v>33</v>
      </c>
      <c r="I51">
        <v>79</v>
      </c>
      <c r="J51">
        <v>4925</v>
      </c>
      <c r="K51">
        <v>8.4821867070000003</v>
      </c>
      <c r="L51">
        <v>8.4821867070000001E-2</v>
      </c>
      <c r="M51">
        <v>41</v>
      </c>
      <c r="N51" s="51">
        <v>2.8472222222222222E-2</v>
      </c>
      <c r="O51">
        <v>2</v>
      </c>
      <c r="P51">
        <v>32222</v>
      </c>
      <c r="Q51" t="s">
        <v>1108</v>
      </c>
      <c r="R51">
        <v>27297</v>
      </c>
      <c r="S51">
        <v>0.84715411830426413</v>
      </c>
    </row>
    <row r="52" spans="1:19" x14ac:dyDescent="0.25">
      <c r="A52" t="s">
        <v>318</v>
      </c>
      <c r="B52" t="s">
        <v>74</v>
      </c>
      <c r="C52" t="s">
        <v>20</v>
      </c>
      <c r="D52" t="s">
        <v>16</v>
      </c>
      <c r="E52">
        <v>49</v>
      </c>
      <c r="F52" t="s">
        <v>1111</v>
      </c>
      <c r="G52" t="s">
        <v>17</v>
      </c>
      <c r="H52" t="s">
        <v>51</v>
      </c>
      <c r="I52">
        <v>72</v>
      </c>
      <c r="J52">
        <v>1443</v>
      </c>
      <c r="K52">
        <v>18.227412220000001</v>
      </c>
      <c r="L52">
        <v>0.18227412220000003</v>
      </c>
      <c r="M52">
        <v>84</v>
      </c>
      <c r="N52" s="51">
        <v>5.8333333333333334E-2</v>
      </c>
      <c r="O52">
        <v>4</v>
      </c>
      <c r="P52">
        <v>22164</v>
      </c>
      <c r="Q52" t="s">
        <v>1108</v>
      </c>
      <c r="R52">
        <v>20721</v>
      </c>
      <c r="S52">
        <v>0.93489442338927986</v>
      </c>
    </row>
    <row r="53" spans="1:19" x14ac:dyDescent="0.25">
      <c r="A53" t="s">
        <v>291</v>
      </c>
      <c r="B53" t="s">
        <v>74</v>
      </c>
      <c r="C53" t="s">
        <v>20</v>
      </c>
      <c r="D53" t="s">
        <v>16</v>
      </c>
      <c r="E53">
        <v>87</v>
      </c>
      <c r="F53" t="s">
        <v>1110</v>
      </c>
      <c r="G53" t="s">
        <v>17</v>
      </c>
      <c r="H53" t="s">
        <v>51</v>
      </c>
      <c r="I53">
        <v>65</v>
      </c>
      <c r="J53">
        <v>1981</v>
      </c>
      <c r="K53">
        <v>21.817431590000002</v>
      </c>
      <c r="L53">
        <v>0.21817431590000003</v>
      </c>
      <c r="M53">
        <v>25</v>
      </c>
      <c r="N53" s="51">
        <v>1.7361111111111112E-2</v>
      </c>
      <c r="O53">
        <v>2</v>
      </c>
      <c r="P53">
        <v>35785</v>
      </c>
      <c r="Q53" t="s">
        <v>1108</v>
      </c>
      <c r="R53">
        <v>33804</v>
      </c>
      <c r="S53">
        <v>0.94464160961296628</v>
      </c>
    </row>
    <row r="54" spans="1:19" x14ac:dyDescent="0.25">
      <c r="A54" t="s">
        <v>278</v>
      </c>
      <c r="B54" t="s">
        <v>74</v>
      </c>
      <c r="C54" t="s">
        <v>31</v>
      </c>
      <c r="D54" t="s">
        <v>32</v>
      </c>
      <c r="E54">
        <v>36</v>
      </c>
      <c r="F54" t="s">
        <v>1111</v>
      </c>
      <c r="G54" t="s">
        <v>43</v>
      </c>
      <c r="H54" t="s">
        <v>47</v>
      </c>
      <c r="I54">
        <v>55</v>
      </c>
      <c r="J54">
        <v>2565</v>
      </c>
      <c r="K54">
        <v>19.747141549999998</v>
      </c>
      <c r="L54">
        <v>0.1974714155</v>
      </c>
      <c r="M54">
        <v>36</v>
      </c>
      <c r="N54" s="51">
        <v>2.5000000000000001E-2</v>
      </c>
      <c r="O54">
        <v>1</v>
      </c>
      <c r="P54">
        <v>32976</v>
      </c>
      <c r="Q54" t="s">
        <v>1108</v>
      </c>
      <c r="R54">
        <v>30411</v>
      </c>
      <c r="S54">
        <v>0.92221615720524019</v>
      </c>
    </row>
    <row r="55" spans="1:19" x14ac:dyDescent="0.25">
      <c r="A55" t="s">
        <v>233</v>
      </c>
      <c r="B55" t="s">
        <v>74</v>
      </c>
      <c r="C55" t="s">
        <v>31</v>
      </c>
      <c r="D55" t="s">
        <v>16</v>
      </c>
      <c r="E55">
        <v>38</v>
      </c>
      <c r="F55" t="s">
        <v>1111</v>
      </c>
      <c r="G55" t="s">
        <v>43</v>
      </c>
      <c r="H55" t="s">
        <v>18</v>
      </c>
      <c r="I55">
        <v>82</v>
      </c>
      <c r="J55">
        <v>9266</v>
      </c>
      <c r="K55">
        <v>7.4276987879999998</v>
      </c>
      <c r="L55">
        <v>7.4276987879999992E-2</v>
      </c>
      <c r="M55">
        <v>63</v>
      </c>
      <c r="N55" s="51">
        <v>4.3749999999999997E-2</v>
      </c>
      <c r="O55">
        <v>1</v>
      </c>
      <c r="P55">
        <v>2657</v>
      </c>
      <c r="Q55" t="s">
        <v>1108</v>
      </c>
      <c r="R55">
        <v>-6609</v>
      </c>
      <c r="S55">
        <v>-2.4873917952578095</v>
      </c>
    </row>
    <row r="56" spans="1:19" x14ac:dyDescent="0.25">
      <c r="A56" t="s">
        <v>220</v>
      </c>
      <c r="B56" t="s">
        <v>74</v>
      </c>
      <c r="C56" t="s">
        <v>29</v>
      </c>
      <c r="D56" t="s">
        <v>16</v>
      </c>
      <c r="E56">
        <v>7</v>
      </c>
      <c r="F56" t="s">
        <v>1109</v>
      </c>
      <c r="G56" t="s">
        <v>17</v>
      </c>
      <c r="H56" t="s">
        <v>18</v>
      </c>
      <c r="I56">
        <v>91</v>
      </c>
      <c r="J56">
        <v>3572</v>
      </c>
      <c r="K56">
        <v>17.391759100000002</v>
      </c>
      <c r="L56">
        <v>0.17391759100000001</v>
      </c>
      <c r="M56">
        <v>118</v>
      </c>
      <c r="N56" s="51">
        <v>8.1944444444444445E-2</v>
      </c>
      <c r="O56">
        <v>2</v>
      </c>
      <c r="P56">
        <v>10673</v>
      </c>
      <c r="Q56" t="s">
        <v>1108</v>
      </c>
      <c r="R56">
        <v>7101</v>
      </c>
      <c r="S56">
        <v>0.66532371404478596</v>
      </c>
    </row>
    <row r="57" spans="1:19" x14ac:dyDescent="0.25">
      <c r="A57" t="s">
        <v>189</v>
      </c>
      <c r="B57" t="s">
        <v>74</v>
      </c>
      <c r="C57" t="s">
        <v>54</v>
      </c>
      <c r="D57" t="s">
        <v>16</v>
      </c>
      <c r="E57">
        <v>52</v>
      </c>
      <c r="F57" t="s">
        <v>1111</v>
      </c>
      <c r="G57" t="s">
        <v>43</v>
      </c>
      <c r="H57" t="s">
        <v>33</v>
      </c>
      <c r="I57">
        <v>54</v>
      </c>
      <c r="J57">
        <v>6666</v>
      </c>
      <c r="K57">
        <v>13.059603579999999</v>
      </c>
      <c r="L57">
        <v>0.13059603579999998</v>
      </c>
      <c r="M57">
        <v>20</v>
      </c>
      <c r="N57" s="51">
        <v>1.3888888888888888E-2</v>
      </c>
      <c r="O57">
        <v>2</v>
      </c>
      <c r="P57">
        <v>35724</v>
      </c>
      <c r="Q57" t="s">
        <v>1108</v>
      </c>
      <c r="R57">
        <v>29058</v>
      </c>
      <c r="S57">
        <v>0.81340275445078936</v>
      </c>
    </row>
    <row r="58" spans="1:19" x14ac:dyDescent="0.25">
      <c r="A58" t="s">
        <v>184</v>
      </c>
      <c r="B58" t="s">
        <v>74</v>
      </c>
      <c r="C58" t="s">
        <v>54</v>
      </c>
      <c r="D58" t="s">
        <v>21</v>
      </c>
      <c r="E58">
        <v>41</v>
      </c>
      <c r="F58" t="s">
        <v>1111</v>
      </c>
      <c r="G58" t="s">
        <v>43</v>
      </c>
      <c r="H58" t="s">
        <v>37</v>
      </c>
      <c r="I58">
        <v>86</v>
      </c>
      <c r="J58">
        <v>3174</v>
      </c>
      <c r="K58">
        <v>22.361133800000001</v>
      </c>
      <c r="L58">
        <v>0.22361133800000002</v>
      </c>
      <c r="M58">
        <v>22</v>
      </c>
      <c r="N58" s="51">
        <v>1.5277777777777777E-2</v>
      </c>
      <c r="O58">
        <v>3</v>
      </c>
      <c r="P58">
        <v>38663</v>
      </c>
      <c r="Q58" t="s">
        <v>1108</v>
      </c>
      <c r="R58">
        <v>35489</v>
      </c>
      <c r="S58">
        <v>0.91790600832837599</v>
      </c>
    </row>
    <row r="59" spans="1:19" x14ac:dyDescent="0.25">
      <c r="A59" t="s">
        <v>146</v>
      </c>
      <c r="B59" t="s">
        <v>74</v>
      </c>
      <c r="C59" t="s">
        <v>46</v>
      </c>
      <c r="D59" t="s">
        <v>21</v>
      </c>
      <c r="E59">
        <v>9</v>
      </c>
      <c r="F59" t="s">
        <v>1109</v>
      </c>
      <c r="G59" t="s">
        <v>17</v>
      </c>
      <c r="H59" t="s">
        <v>33</v>
      </c>
      <c r="I59">
        <v>50</v>
      </c>
      <c r="J59">
        <v>2497</v>
      </c>
      <c r="K59">
        <v>23.543556389999999</v>
      </c>
      <c r="L59">
        <v>0.23543556389999998</v>
      </c>
      <c r="M59">
        <v>105</v>
      </c>
      <c r="N59" s="51">
        <v>7.2916666666666671E-2</v>
      </c>
      <c r="O59">
        <v>1</v>
      </c>
      <c r="P59">
        <v>23553</v>
      </c>
      <c r="Q59" t="s">
        <v>1108</v>
      </c>
      <c r="R59">
        <v>21056</v>
      </c>
      <c r="S59">
        <v>0.89398378125928757</v>
      </c>
    </row>
    <row r="60" spans="1:19" x14ac:dyDescent="0.25">
      <c r="A60" t="s">
        <v>133</v>
      </c>
      <c r="B60" t="s">
        <v>74</v>
      </c>
      <c r="C60" t="s">
        <v>29</v>
      </c>
      <c r="D60" t="s">
        <v>16</v>
      </c>
      <c r="E60">
        <v>77</v>
      </c>
      <c r="F60" t="s">
        <v>1110</v>
      </c>
      <c r="G60" t="s">
        <v>43</v>
      </c>
      <c r="H60" t="s">
        <v>37</v>
      </c>
      <c r="I60">
        <v>70</v>
      </c>
      <c r="J60">
        <v>2636</v>
      </c>
      <c r="K60">
        <v>6.2028468520000004</v>
      </c>
      <c r="L60">
        <v>6.2028468520000005E-2</v>
      </c>
      <c r="M60">
        <v>128</v>
      </c>
      <c r="N60" s="51">
        <v>8.8888888888888892E-2</v>
      </c>
      <c r="O60">
        <v>4</v>
      </c>
      <c r="P60">
        <v>41461</v>
      </c>
      <c r="Q60" t="s">
        <v>1105</v>
      </c>
      <c r="R60">
        <v>38825</v>
      </c>
      <c r="S60">
        <v>0.93642217987988707</v>
      </c>
    </row>
    <row r="61" spans="1:19" x14ac:dyDescent="0.25">
      <c r="A61" t="s">
        <v>113</v>
      </c>
      <c r="B61" t="s">
        <v>74</v>
      </c>
      <c r="C61" t="s">
        <v>29</v>
      </c>
      <c r="D61" t="s">
        <v>32</v>
      </c>
      <c r="E61">
        <v>24</v>
      </c>
      <c r="F61" t="s">
        <v>1107</v>
      </c>
      <c r="G61" t="s">
        <v>22</v>
      </c>
      <c r="H61" t="s">
        <v>18</v>
      </c>
      <c r="I61">
        <v>53</v>
      </c>
      <c r="J61">
        <v>3135</v>
      </c>
      <c r="K61">
        <v>11.46743124</v>
      </c>
      <c r="L61">
        <v>0.11467431239999999</v>
      </c>
      <c r="M61">
        <v>41</v>
      </c>
      <c r="N61" s="51">
        <v>2.8472222222222222E-2</v>
      </c>
      <c r="O61">
        <v>2</v>
      </c>
      <c r="P61">
        <v>45222</v>
      </c>
      <c r="Q61" t="s">
        <v>1108</v>
      </c>
      <c r="R61">
        <v>42087</v>
      </c>
      <c r="S61">
        <v>0.93067533501393129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C71C-2996-4776-A42D-C6668DC3A46B}">
  <dimension ref="B2:P683"/>
  <sheetViews>
    <sheetView topLeftCell="A3" zoomScaleNormal="100" workbookViewId="0">
      <selection activeCell="B32" sqref="B32"/>
    </sheetView>
  </sheetViews>
  <sheetFormatPr defaultRowHeight="15" x14ac:dyDescent="0.25"/>
  <cols>
    <col min="1" max="1" width="13.42578125" bestFit="1" customWidth="1"/>
    <col min="2" max="2" width="19.140625" bestFit="1" customWidth="1"/>
    <col min="3" max="3" width="23.140625" bestFit="1" customWidth="1"/>
    <col min="4" max="4" width="11.28515625" bestFit="1" customWidth="1"/>
    <col min="5" max="5" width="19.140625" bestFit="1" customWidth="1"/>
    <col min="6" max="6" width="24.28515625" bestFit="1" customWidth="1"/>
    <col min="7" max="7" width="7.85546875" bestFit="1" customWidth="1"/>
    <col min="8" max="8" width="23.140625" bestFit="1" customWidth="1"/>
    <col min="9" max="9" width="32.7109375" bestFit="1" customWidth="1"/>
    <col min="10" max="10" width="18.5703125" bestFit="1" customWidth="1"/>
    <col min="11" max="11" width="23.140625" bestFit="1" customWidth="1"/>
    <col min="12" max="12" width="24.28515625" bestFit="1" customWidth="1"/>
    <col min="13" max="13" width="12.7109375" bestFit="1" customWidth="1"/>
    <col min="14" max="14" width="33.5703125" bestFit="1" customWidth="1"/>
    <col min="15" max="15" width="13.85546875" bestFit="1" customWidth="1"/>
    <col min="16" max="16" width="23.140625" bestFit="1" customWidth="1"/>
  </cols>
  <sheetData>
    <row r="2" spans="2:16" ht="15.75" thickBot="1" x14ac:dyDescent="0.3"/>
    <row r="3" spans="2:16" ht="15.75" thickBot="1" x14ac:dyDescent="0.3">
      <c r="B3" s="55" t="s">
        <v>1088</v>
      </c>
      <c r="C3" s="56"/>
      <c r="E3" s="52" t="s">
        <v>1074</v>
      </c>
      <c r="F3" s="54"/>
      <c r="H3" s="52" t="s">
        <v>1080</v>
      </c>
      <c r="I3" s="54"/>
      <c r="K3" s="52" t="s">
        <v>1081</v>
      </c>
      <c r="L3" s="54"/>
      <c r="N3" s="52" t="s">
        <v>1082</v>
      </c>
      <c r="O3" s="53"/>
      <c r="P3" s="54"/>
    </row>
    <row r="4" spans="2:16" ht="15.75" thickBot="1" x14ac:dyDescent="0.3">
      <c r="B4" s="18" t="s">
        <v>2</v>
      </c>
      <c r="C4" s="20" t="s">
        <v>1069</v>
      </c>
      <c r="E4" s="18" t="s">
        <v>1101</v>
      </c>
      <c r="F4" s="20" t="s">
        <v>1069</v>
      </c>
      <c r="H4" s="18" t="s">
        <v>1103</v>
      </c>
      <c r="I4" s="20" t="s">
        <v>1076</v>
      </c>
      <c r="K4" s="18" t="s">
        <v>1103</v>
      </c>
      <c r="L4" s="20" t="s">
        <v>1086</v>
      </c>
      <c r="N4" s="18" t="s">
        <v>1104</v>
      </c>
      <c r="O4" s="37" t="s">
        <v>1073</v>
      </c>
      <c r="P4" s="38" t="s">
        <v>1083</v>
      </c>
    </row>
    <row r="5" spans="2:16" x14ac:dyDescent="0.25">
      <c r="B5" s="22" t="s">
        <v>42</v>
      </c>
      <c r="C5" s="45">
        <v>45</v>
      </c>
      <c r="E5" s="22" t="s">
        <v>56</v>
      </c>
      <c r="F5" s="45">
        <v>20</v>
      </c>
      <c r="H5" s="22" t="s">
        <v>42</v>
      </c>
      <c r="I5" s="25">
        <v>0.1610690350191111</v>
      </c>
      <c r="K5" s="22" t="s">
        <v>42</v>
      </c>
      <c r="L5" s="31">
        <v>6.4953703703703694E-2</v>
      </c>
      <c r="N5" s="22" t="s">
        <v>42</v>
      </c>
      <c r="O5" s="34">
        <v>2362647</v>
      </c>
      <c r="P5" s="30">
        <v>0.65816973113987454</v>
      </c>
    </row>
    <row r="6" spans="2:16" x14ac:dyDescent="0.25">
      <c r="B6" s="23" t="s">
        <v>15</v>
      </c>
      <c r="C6" s="46">
        <v>40</v>
      </c>
      <c r="E6" s="23" t="s">
        <v>25</v>
      </c>
      <c r="F6" s="46">
        <v>19</v>
      </c>
      <c r="H6" s="23" t="s">
        <v>15</v>
      </c>
      <c r="I6" s="26">
        <v>0.16706784699524996</v>
      </c>
      <c r="K6" s="23" t="s">
        <v>15</v>
      </c>
      <c r="L6" s="32">
        <v>6.8819444444444461E-2</v>
      </c>
      <c r="N6" s="23" t="s">
        <v>15</v>
      </c>
      <c r="O6" s="35">
        <v>2895540</v>
      </c>
      <c r="P6" s="28">
        <v>0.56760426275927778</v>
      </c>
    </row>
    <row r="7" spans="2:16" x14ac:dyDescent="0.25">
      <c r="B7" s="23" t="s">
        <v>36</v>
      </c>
      <c r="C7" s="46">
        <v>37</v>
      </c>
      <c r="E7" s="23" t="s">
        <v>14</v>
      </c>
      <c r="F7" s="46">
        <v>25</v>
      </c>
      <c r="H7" s="23" t="s">
        <v>36</v>
      </c>
      <c r="I7" s="26">
        <v>0.15059272836837834</v>
      </c>
      <c r="K7" s="23" t="s">
        <v>36</v>
      </c>
      <c r="L7" s="32">
        <v>6.3175675675675669E-2</v>
      </c>
      <c r="N7" s="23" t="s">
        <v>36</v>
      </c>
      <c r="O7" s="35">
        <v>2430222</v>
      </c>
      <c r="P7" s="28">
        <v>0.54117707432746687</v>
      </c>
    </row>
    <row r="8" spans="2:16" x14ac:dyDescent="0.25">
      <c r="B8" s="23" t="s">
        <v>46</v>
      </c>
      <c r="C8" s="46">
        <v>40</v>
      </c>
      <c r="E8" s="23" t="s">
        <v>39</v>
      </c>
      <c r="F8" s="46">
        <v>26</v>
      </c>
      <c r="H8" s="23" t="s">
        <v>46</v>
      </c>
      <c r="I8" s="26">
        <v>0.15363910403374997</v>
      </c>
      <c r="K8" s="23" t="s">
        <v>46</v>
      </c>
      <c r="L8" s="32">
        <v>6.5312500000000009E-2</v>
      </c>
      <c r="N8" s="23" t="s">
        <v>46</v>
      </c>
      <c r="O8" s="35">
        <v>2557910</v>
      </c>
      <c r="P8" s="28">
        <v>0.57567617157230799</v>
      </c>
    </row>
    <row r="9" spans="2:16" x14ac:dyDescent="0.25">
      <c r="B9" s="23" t="s">
        <v>54</v>
      </c>
      <c r="C9" s="46">
        <v>43</v>
      </c>
      <c r="E9" s="23" t="s">
        <v>82</v>
      </c>
      <c r="F9" s="46">
        <v>26</v>
      </c>
      <c r="H9" s="23" t="s">
        <v>54</v>
      </c>
      <c r="I9" s="26">
        <v>0.15180242014604653</v>
      </c>
      <c r="K9" s="23" t="s">
        <v>54</v>
      </c>
      <c r="L9" s="32">
        <v>6.703811369509044E-2</v>
      </c>
      <c r="N9" s="23" t="s">
        <v>54</v>
      </c>
      <c r="O9" s="35">
        <v>2826731</v>
      </c>
      <c r="P9" s="28">
        <v>0.63899577606252311</v>
      </c>
    </row>
    <row r="10" spans="2:16" x14ac:dyDescent="0.25">
      <c r="B10" s="23" t="s">
        <v>31</v>
      </c>
      <c r="C10" s="46">
        <v>39</v>
      </c>
      <c r="E10" s="23" t="s">
        <v>74</v>
      </c>
      <c r="F10" s="46">
        <v>16</v>
      </c>
      <c r="H10" s="23" t="s">
        <v>31</v>
      </c>
      <c r="I10" s="26">
        <v>0.1591243003282051</v>
      </c>
      <c r="K10" s="23" t="s">
        <v>31</v>
      </c>
      <c r="L10" s="32">
        <v>6.5010683760683752E-2</v>
      </c>
      <c r="N10" s="23" t="s">
        <v>31</v>
      </c>
      <c r="O10" s="35">
        <v>2601427</v>
      </c>
      <c r="P10" s="28">
        <v>0.62574709825782482</v>
      </c>
    </row>
    <row r="11" spans="2:16" x14ac:dyDescent="0.25">
      <c r="B11" s="23" t="s">
        <v>29</v>
      </c>
      <c r="C11" s="46">
        <v>36</v>
      </c>
      <c r="E11" s="23" t="s">
        <v>49</v>
      </c>
      <c r="F11" s="46">
        <v>20</v>
      </c>
      <c r="H11" s="23" t="s">
        <v>29</v>
      </c>
      <c r="I11" s="26">
        <v>0.15035904129666666</v>
      </c>
      <c r="K11" s="23" t="s">
        <v>29</v>
      </c>
      <c r="L11" s="32">
        <v>6.2808641975308652E-2</v>
      </c>
      <c r="N11" s="23" t="s">
        <v>29</v>
      </c>
      <c r="O11" s="35">
        <v>2518723</v>
      </c>
      <c r="P11" s="28">
        <v>0.62190493308362438</v>
      </c>
    </row>
    <row r="12" spans="2:16" ht="15.75" thickBot="1" x14ac:dyDescent="0.3">
      <c r="B12" s="24" t="s">
        <v>20</v>
      </c>
      <c r="C12" s="46">
        <v>37</v>
      </c>
      <c r="E12" s="23" t="s">
        <v>28</v>
      </c>
      <c r="F12" s="46">
        <v>15</v>
      </c>
      <c r="H12" s="24" t="s">
        <v>20</v>
      </c>
      <c r="I12" s="26">
        <v>0.14170035683243243</v>
      </c>
      <c r="K12" s="24" t="s">
        <v>20</v>
      </c>
      <c r="L12" s="32">
        <v>6.5315315315315328E-2</v>
      </c>
      <c r="N12" s="24" t="s">
        <v>20</v>
      </c>
      <c r="O12" s="35">
        <v>2413117</v>
      </c>
      <c r="P12" s="28">
        <v>0.61161397960446662</v>
      </c>
    </row>
    <row r="13" spans="2:16" ht="15.75" thickBot="1" x14ac:dyDescent="0.3">
      <c r="B13" s="19" t="s">
        <v>1068</v>
      </c>
      <c r="C13" s="47">
        <v>317</v>
      </c>
      <c r="E13" s="23" t="s">
        <v>35</v>
      </c>
      <c r="F13" s="46">
        <v>16</v>
      </c>
      <c r="H13" s="19" t="s">
        <v>1068</v>
      </c>
      <c r="I13" s="27">
        <v>0.15469244806059945</v>
      </c>
      <c r="K13" s="19" t="s">
        <v>1068</v>
      </c>
      <c r="L13" s="33">
        <v>6.5367595513494595E-2</v>
      </c>
      <c r="N13" s="19" t="s">
        <v>1068</v>
      </c>
      <c r="O13" s="36">
        <v>20606317</v>
      </c>
      <c r="P13" s="29">
        <v>0.60389880597527823</v>
      </c>
    </row>
    <row r="14" spans="2:16" x14ac:dyDescent="0.25">
      <c r="E14" s="23" t="s">
        <v>41</v>
      </c>
      <c r="F14" s="46">
        <v>22</v>
      </c>
    </row>
    <row r="15" spans="2:16" ht="15.75" thickBot="1" x14ac:dyDescent="0.3">
      <c r="E15" s="23" t="s">
        <v>58</v>
      </c>
      <c r="F15" s="46">
        <v>20</v>
      </c>
    </row>
    <row r="16" spans="2:16" ht="15.75" thickBot="1" x14ac:dyDescent="0.3">
      <c r="B16" s="52" t="s">
        <v>1089</v>
      </c>
      <c r="C16" s="54"/>
      <c r="E16" s="23" t="s">
        <v>45</v>
      </c>
      <c r="F16" s="46">
        <v>26</v>
      </c>
    </row>
    <row r="17" spans="2:6" ht="15.75" thickBot="1" x14ac:dyDescent="0.3">
      <c r="B17" s="18" t="s">
        <v>1098</v>
      </c>
      <c r="C17" s="20" t="s">
        <v>1069</v>
      </c>
      <c r="E17" s="23" t="s">
        <v>53</v>
      </c>
      <c r="F17" s="46">
        <v>18</v>
      </c>
    </row>
    <row r="18" spans="2:6" x14ac:dyDescent="0.25">
      <c r="B18" s="22" t="s">
        <v>33</v>
      </c>
      <c r="C18" s="45">
        <v>62</v>
      </c>
      <c r="E18" s="23" t="s">
        <v>64</v>
      </c>
      <c r="F18" s="46">
        <v>24</v>
      </c>
    </row>
    <row r="19" spans="2:6" ht="15.75" thickBot="1" x14ac:dyDescent="0.3">
      <c r="B19" s="23" t="s">
        <v>18</v>
      </c>
      <c r="C19" s="46">
        <v>49</v>
      </c>
      <c r="E19" s="24" t="s">
        <v>61</v>
      </c>
      <c r="F19" s="46">
        <v>24</v>
      </c>
    </row>
    <row r="20" spans="2:6" ht="15.75" thickBot="1" x14ac:dyDescent="0.3">
      <c r="B20" s="23" t="s">
        <v>37</v>
      </c>
      <c r="C20" s="46">
        <v>37</v>
      </c>
      <c r="E20" s="19" t="s">
        <v>1068</v>
      </c>
      <c r="F20" s="47">
        <v>317</v>
      </c>
    </row>
    <row r="21" spans="2:6" x14ac:dyDescent="0.25">
      <c r="B21" s="23" t="s">
        <v>23</v>
      </c>
      <c r="C21" s="46">
        <v>61</v>
      </c>
    </row>
    <row r="22" spans="2:6" ht="15.75" thickBot="1" x14ac:dyDescent="0.3">
      <c r="B22" s="23" t="s">
        <v>51</v>
      </c>
      <c r="C22" s="46">
        <v>57</v>
      </c>
    </row>
    <row r="23" spans="2:6" ht="15.75" thickBot="1" x14ac:dyDescent="0.3">
      <c r="B23" s="24" t="s">
        <v>47</v>
      </c>
      <c r="C23" s="46">
        <v>51</v>
      </c>
      <c r="E23" s="52" t="s">
        <v>1075</v>
      </c>
      <c r="F23" s="54"/>
    </row>
    <row r="24" spans="2:6" ht="15.75" thickBot="1" x14ac:dyDescent="0.3">
      <c r="B24" s="19" t="s">
        <v>1068</v>
      </c>
      <c r="C24" s="47">
        <v>317</v>
      </c>
      <c r="E24" s="18" t="s">
        <v>1101</v>
      </c>
      <c r="F24" s="20" t="s">
        <v>1076</v>
      </c>
    </row>
    <row r="25" spans="2:6" x14ac:dyDescent="0.25">
      <c r="E25" s="22" t="s">
        <v>56</v>
      </c>
      <c r="F25" s="25">
        <v>0.16905238604699999</v>
      </c>
    </row>
    <row r="26" spans="2:6" ht="15.75" thickBot="1" x14ac:dyDescent="0.3">
      <c r="E26" s="23" t="s">
        <v>25</v>
      </c>
      <c r="F26" s="26">
        <v>0.18433385350684212</v>
      </c>
    </row>
    <row r="27" spans="2:6" ht="15.75" thickBot="1" x14ac:dyDescent="0.3">
      <c r="B27" s="55" t="s">
        <v>1090</v>
      </c>
      <c r="C27" s="56"/>
      <c r="E27" s="23" t="s">
        <v>14</v>
      </c>
      <c r="F27" s="26">
        <v>0.13133945160280003</v>
      </c>
    </row>
    <row r="28" spans="2:6" ht="15.75" thickBot="1" x14ac:dyDescent="0.3">
      <c r="B28" s="18" t="s">
        <v>1099</v>
      </c>
      <c r="C28" s="20" t="s">
        <v>1069</v>
      </c>
      <c r="E28" s="23" t="s">
        <v>39</v>
      </c>
      <c r="F28" s="26">
        <v>0.17283230710653841</v>
      </c>
    </row>
    <row r="29" spans="2:6" x14ac:dyDescent="0.25">
      <c r="B29" s="22" t="s">
        <v>17</v>
      </c>
      <c r="C29" s="45">
        <v>72</v>
      </c>
      <c r="E29" s="23" t="s">
        <v>82</v>
      </c>
      <c r="F29" s="26">
        <v>0.12760955236730767</v>
      </c>
    </row>
    <row r="30" spans="2:6" x14ac:dyDescent="0.25">
      <c r="B30" s="23" t="s">
        <v>22</v>
      </c>
      <c r="C30" s="46">
        <v>79</v>
      </c>
      <c r="E30" s="23" t="s">
        <v>74</v>
      </c>
      <c r="F30" s="26">
        <v>0.18292964240874998</v>
      </c>
    </row>
    <row r="31" spans="2:6" x14ac:dyDescent="0.25">
      <c r="B31" s="23" t="s">
        <v>26</v>
      </c>
      <c r="C31" s="46">
        <v>82</v>
      </c>
      <c r="E31" s="23" t="s">
        <v>49</v>
      </c>
      <c r="F31" s="26">
        <v>0.16413179686149998</v>
      </c>
    </row>
    <row r="32" spans="2:6" ht="15.75" thickBot="1" x14ac:dyDescent="0.3">
      <c r="B32" s="24" t="s">
        <v>43</v>
      </c>
      <c r="C32" s="46">
        <v>84</v>
      </c>
      <c r="E32" s="23" t="s">
        <v>28</v>
      </c>
      <c r="F32" s="26">
        <v>0.12296838250400001</v>
      </c>
    </row>
    <row r="33" spans="2:6" ht="15.75" thickBot="1" x14ac:dyDescent="0.3">
      <c r="B33" s="19" t="s">
        <v>1068</v>
      </c>
      <c r="C33" s="47">
        <v>317</v>
      </c>
      <c r="E33" s="23" t="s">
        <v>35</v>
      </c>
      <c r="F33" s="26">
        <v>0.1552145642925</v>
      </c>
    </row>
    <row r="34" spans="2:6" x14ac:dyDescent="0.25">
      <c r="E34" s="23" t="s">
        <v>41</v>
      </c>
      <c r="F34" s="26">
        <v>0.14814812114136366</v>
      </c>
    </row>
    <row r="35" spans="2:6" ht="15.75" thickBot="1" x14ac:dyDescent="0.3">
      <c r="E35" s="23" t="s">
        <v>58</v>
      </c>
      <c r="F35" s="26">
        <v>0.15546020363749999</v>
      </c>
    </row>
    <row r="36" spans="2:6" ht="15.75" thickBot="1" x14ac:dyDescent="0.3">
      <c r="B36" s="55" t="s">
        <v>1087</v>
      </c>
      <c r="C36" s="56"/>
      <c r="E36" s="23" t="s">
        <v>45</v>
      </c>
      <c r="F36" s="26">
        <v>0.15861213097807697</v>
      </c>
    </row>
    <row r="37" spans="2:6" ht="15.75" thickBot="1" x14ac:dyDescent="0.3">
      <c r="B37" s="18" t="s">
        <v>1100</v>
      </c>
      <c r="C37" s="20" t="s">
        <v>1069</v>
      </c>
      <c r="E37" s="23" t="s">
        <v>53</v>
      </c>
      <c r="F37" s="26">
        <v>0.15443413249222221</v>
      </c>
    </row>
    <row r="38" spans="2:6" x14ac:dyDescent="0.25">
      <c r="B38" s="22" t="s">
        <v>1093</v>
      </c>
      <c r="C38" s="45">
        <v>67</v>
      </c>
      <c r="E38" s="23" t="s">
        <v>64</v>
      </c>
      <c r="F38" s="26">
        <v>0.15102942138291667</v>
      </c>
    </row>
    <row r="39" spans="2:6" ht="15.75" thickBot="1" x14ac:dyDescent="0.3">
      <c r="B39" s="23" t="s">
        <v>1094</v>
      </c>
      <c r="C39" s="46">
        <v>63</v>
      </c>
      <c r="E39" s="24" t="s">
        <v>61</v>
      </c>
      <c r="F39" s="26">
        <v>0.15103220157916666</v>
      </c>
    </row>
    <row r="40" spans="2:6" ht="15.75" thickBot="1" x14ac:dyDescent="0.3">
      <c r="B40" s="23" t="s">
        <v>1095</v>
      </c>
      <c r="C40" s="46">
        <v>64</v>
      </c>
      <c r="E40" s="19" t="s">
        <v>1068</v>
      </c>
      <c r="F40" s="27">
        <v>0.15469244806059945</v>
      </c>
    </row>
    <row r="41" spans="2:6" x14ac:dyDescent="0.25">
      <c r="B41" s="23" t="s">
        <v>1096</v>
      </c>
      <c r="C41" s="46">
        <v>61</v>
      </c>
    </row>
    <row r="42" spans="2:6" ht="15.75" thickBot="1" x14ac:dyDescent="0.3">
      <c r="B42" s="24" t="s">
        <v>1097</v>
      </c>
      <c r="C42" s="46">
        <v>62</v>
      </c>
    </row>
    <row r="43" spans="2:6" ht="15.75" thickBot="1" x14ac:dyDescent="0.3">
      <c r="B43" s="19" t="s">
        <v>1068</v>
      </c>
      <c r="C43" s="47">
        <v>317</v>
      </c>
      <c r="E43" s="52" t="s">
        <v>1084</v>
      </c>
      <c r="F43" s="54"/>
    </row>
    <row r="44" spans="2:6" ht="15.75" thickBot="1" x14ac:dyDescent="0.3">
      <c r="E44" s="18" t="s">
        <v>2</v>
      </c>
      <c r="F44" s="20" t="s">
        <v>1086</v>
      </c>
    </row>
    <row r="45" spans="2:6" ht="15.75" thickBot="1" x14ac:dyDescent="0.3">
      <c r="B45" s="55" t="s">
        <v>1070</v>
      </c>
      <c r="C45" s="56"/>
      <c r="E45" s="22" t="s">
        <v>42</v>
      </c>
      <c r="F45" s="31">
        <v>6.4953703703703694E-2</v>
      </c>
    </row>
    <row r="46" spans="2:6" ht="15.75" thickBot="1" x14ac:dyDescent="0.3">
      <c r="B46" s="18" t="s">
        <v>2</v>
      </c>
      <c r="C46" s="20" t="s">
        <v>1071</v>
      </c>
      <c r="E46" s="23" t="s">
        <v>15</v>
      </c>
      <c r="F46" s="32">
        <v>6.8819444444444461E-2</v>
      </c>
    </row>
    <row r="47" spans="2:6" x14ac:dyDescent="0.25">
      <c r="B47" s="22" t="s">
        <v>42</v>
      </c>
      <c r="C47" s="39">
        <v>1263340</v>
      </c>
      <c r="E47" s="23" t="s">
        <v>36</v>
      </c>
      <c r="F47" s="32">
        <v>6.3175675675675669E-2</v>
      </c>
    </row>
    <row r="48" spans="2:6" x14ac:dyDescent="0.25">
      <c r="B48" s="23" t="s">
        <v>15</v>
      </c>
      <c r="C48" s="40">
        <v>1063965</v>
      </c>
      <c r="E48" s="23" t="s">
        <v>46</v>
      </c>
      <c r="F48" s="32">
        <v>6.5312500000000009E-2</v>
      </c>
    </row>
    <row r="49" spans="2:6" x14ac:dyDescent="0.25">
      <c r="B49" s="23" t="s">
        <v>36</v>
      </c>
      <c r="C49" s="40">
        <v>1027972</v>
      </c>
      <c r="E49" s="23" t="s">
        <v>54</v>
      </c>
      <c r="F49" s="32">
        <v>6.703811369509044E-2</v>
      </c>
    </row>
    <row r="50" spans="2:6" x14ac:dyDescent="0.25">
      <c r="B50" s="23" t="s">
        <v>46</v>
      </c>
      <c r="C50" s="40">
        <v>962972</v>
      </c>
      <c r="E50" s="23" t="s">
        <v>31</v>
      </c>
      <c r="F50" s="32">
        <v>6.5010683760683752E-2</v>
      </c>
    </row>
    <row r="51" spans="2:6" x14ac:dyDescent="0.25">
      <c r="B51" s="23" t="s">
        <v>54</v>
      </c>
      <c r="C51" s="40">
        <v>1316093</v>
      </c>
      <c r="E51" s="23" t="s">
        <v>29</v>
      </c>
      <c r="F51" s="32">
        <v>6.2808641975308652E-2</v>
      </c>
    </row>
    <row r="52" spans="2:6" ht="15.75" thickBot="1" x14ac:dyDescent="0.3">
      <c r="B52" s="23" t="s">
        <v>31</v>
      </c>
      <c r="C52" s="40">
        <v>1110111</v>
      </c>
      <c r="E52" s="24" t="s">
        <v>20</v>
      </c>
      <c r="F52" s="32">
        <v>6.5315315315315328E-2</v>
      </c>
    </row>
    <row r="53" spans="2:6" ht="15.75" thickBot="1" x14ac:dyDescent="0.3">
      <c r="B53" s="23" t="s">
        <v>29</v>
      </c>
      <c r="C53" s="40">
        <v>708373</v>
      </c>
      <c r="E53" s="19" t="s">
        <v>1068</v>
      </c>
      <c r="F53" s="33">
        <v>6.5367595513494595E-2</v>
      </c>
    </row>
    <row r="54" spans="2:6" ht="15.75" thickBot="1" x14ac:dyDescent="0.3">
      <c r="B54" s="24" t="s">
        <v>20</v>
      </c>
      <c r="C54" s="40">
        <v>940355</v>
      </c>
    </row>
    <row r="55" spans="2:6" ht="15.75" thickBot="1" x14ac:dyDescent="0.3">
      <c r="B55" s="19" t="s">
        <v>1068</v>
      </c>
      <c r="C55" s="41">
        <v>8393181</v>
      </c>
    </row>
    <row r="57" spans="2:6" ht="15.75" thickBot="1" x14ac:dyDescent="0.3"/>
    <row r="58" spans="2:6" ht="15.75" thickBot="1" x14ac:dyDescent="0.3">
      <c r="B58" s="55" t="s">
        <v>1072</v>
      </c>
      <c r="C58" s="56"/>
      <c r="E58" s="55" t="s">
        <v>1092</v>
      </c>
      <c r="F58" s="56"/>
    </row>
    <row r="59" spans="2:6" ht="15.75" thickBot="1" x14ac:dyDescent="0.3">
      <c r="B59" s="18" t="s">
        <v>1098</v>
      </c>
      <c r="C59" s="20" t="s">
        <v>1073</v>
      </c>
      <c r="E59" s="18" t="s">
        <v>1101</v>
      </c>
      <c r="F59" s="20" t="s">
        <v>1086</v>
      </c>
    </row>
    <row r="60" spans="2:6" x14ac:dyDescent="0.25">
      <c r="B60" s="22" t="s">
        <v>33</v>
      </c>
      <c r="C60" s="39">
        <v>1315072</v>
      </c>
      <c r="E60" s="22" t="s">
        <v>56</v>
      </c>
      <c r="F60" s="31">
        <v>6.1180555555555571E-2</v>
      </c>
    </row>
    <row r="61" spans="2:6" x14ac:dyDescent="0.25">
      <c r="B61" s="23" t="s">
        <v>18</v>
      </c>
      <c r="C61" s="40">
        <v>1055264</v>
      </c>
      <c r="E61" s="23" t="s">
        <v>25</v>
      </c>
      <c r="F61" s="32">
        <v>7.240497076023393E-2</v>
      </c>
    </row>
    <row r="62" spans="2:6" x14ac:dyDescent="0.25">
      <c r="B62" s="23" t="s">
        <v>37</v>
      </c>
      <c r="C62" s="40">
        <v>970033</v>
      </c>
      <c r="E62" s="23" t="s">
        <v>14</v>
      </c>
      <c r="F62" s="32">
        <v>6.2388888888888897E-2</v>
      </c>
    </row>
    <row r="63" spans="2:6" x14ac:dyDescent="0.25">
      <c r="B63" s="23" t="s">
        <v>23</v>
      </c>
      <c r="C63" s="40">
        <v>1336004</v>
      </c>
      <c r="E63" s="23" t="s">
        <v>39</v>
      </c>
      <c r="F63" s="32">
        <v>6.8803418803418795E-2</v>
      </c>
    </row>
    <row r="64" spans="2:6" x14ac:dyDescent="0.25">
      <c r="B64" s="23" t="s">
        <v>51</v>
      </c>
      <c r="C64" s="40">
        <v>1114890</v>
      </c>
      <c r="E64" s="23" t="s">
        <v>82</v>
      </c>
      <c r="F64" s="32">
        <v>5.4059829059829055E-2</v>
      </c>
    </row>
    <row r="65" spans="2:6" ht="15.75" thickBot="1" x14ac:dyDescent="0.3">
      <c r="B65" s="24" t="s">
        <v>47</v>
      </c>
      <c r="C65" s="40">
        <v>947270</v>
      </c>
      <c r="E65" s="23" t="s">
        <v>74</v>
      </c>
      <c r="F65" s="32">
        <v>7.005208333333332E-2</v>
      </c>
    </row>
    <row r="66" spans="2:6" ht="15.75" thickBot="1" x14ac:dyDescent="0.3">
      <c r="B66" s="19" t="s">
        <v>1068</v>
      </c>
      <c r="C66" s="41">
        <v>6738533</v>
      </c>
      <c r="E66" s="23" t="s">
        <v>49</v>
      </c>
      <c r="F66" s="32">
        <v>6.7361111111111108E-2</v>
      </c>
    </row>
    <row r="67" spans="2:6" x14ac:dyDescent="0.25">
      <c r="E67" s="23" t="s">
        <v>28</v>
      </c>
      <c r="F67" s="32">
        <v>7.3981481481481481E-2</v>
      </c>
    </row>
    <row r="68" spans="2:6" ht="15.75" thickBot="1" x14ac:dyDescent="0.3">
      <c r="E68" s="23" t="s">
        <v>35</v>
      </c>
      <c r="F68" s="32">
        <v>6.0503472222222229E-2</v>
      </c>
    </row>
    <row r="69" spans="2:6" ht="15.75" thickBot="1" x14ac:dyDescent="0.3">
      <c r="B69" s="55" t="s">
        <v>1091</v>
      </c>
      <c r="C69" s="56"/>
      <c r="E69" s="23" t="s">
        <v>41</v>
      </c>
      <c r="F69" s="32">
        <v>6.2784090909090914E-2</v>
      </c>
    </row>
    <row r="70" spans="2:6" ht="15.75" thickBot="1" x14ac:dyDescent="0.3">
      <c r="B70" s="18" t="s">
        <v>1101</v>
      </c>
      <c r="C70" s="20" t="s">
        <v>1083</v>
      </c>
      <c r="E70" s="23" t="s">
        <v>58</v>
      </c>
      <c r="F70" s="32">
        <v>6.1319444444444447E-2</v>
      </c>
    </row>
    <row r="71" spans="2:6" x14ac:dyDescent="0.25">
      <c r="B71" s="22" t="s">
        <v>56</v>
      </c>
      <c r="C71" s="25">
        <v>0.58336677547423299</v>
      </c>
      <c r="E71" s="23" t="s">
        <v>45</v>
      </c>
      <c r="F71" s="32">
        <v>6.3274572649572661E-2</v>
      </c>
    </row>
    <row r="72" spans="2:6" x14ac:dyDescent="0.25">
      <c r="B72" s="23" t="s">
        <v>25</v>
      </c>
      <c r="C72" s="26">
        <v>0.64946081879977258</v>
      </c>
      <c r="E72" s="23" t="s">
        <v>53</v>
      </c>
      <c r="F72" s="32">
        <v>8.0054012345679021E-2</v>
      </c>
    </row>
    <row r="73" spans="2:6" x14ac:dyDescent="0.25">
      <c r="B73" s="23" t="s">
        <v>14</v>
      </c>
      <c r="C73" s="26">
        <v>0.68995291866069663</v>
      </c>
      <c r="E73" s="23" t="s">
        <v>64</v>
      </c>
      <c r="F73" s="32">
        <v>6.4496527777777771E-2</v>
      </c>
    </row>
    <row r="74" spans="2:6" ht="15.75" thickBot="1" x14ac:dyDescent="0.3">
      <c r="B74" s="23" t="s">
        <v>39</v>
      </c>
      <c r="C74" s="26">
        <v>0.65638121945294492</v>
      </c>
      <c r="E74" s="24" t="s">
        <v>61</v>
      </c>
      <c r="F74" s="32">
        <v>6.5856481481481474E-2</v>
      </c>
    </row>
    <row r="75" spans="2:6" ht="15.75" thickBot="1" x14ac:dyDescent="0.3">
      <c r="B75" s="23" t="s">
        <v>82</v>
      </c>
      <c r="C75" s="26">
        <v>0.50607179712699557</v>
      </c>
      <c r="E75" s="19" t="s">
        <v>1068</v>
      </c>
      <c r="F75" s="33">
        <v>6.5367595513494539E-2</v>
      </c>
    </row>
    <row r="76" spans="2:6" x14ac:dyDescent="0.25">
      <c r="B76" s="23" t="s">
        <v>74</v>
      </c>
      <c r="C76" s="26">
        <v>0.71803940059315563</v>
      </c>
    </row>
    <row r="77" spans="2:6" x14ac:dyDescent="0.25">
      <c r="B77" s="23" t="s">
        <v>49</v>
      </c>
      <c r="C77" s="26">
        <v>0.45599687297828806</v>
      </c>
    </row>
    <row r="78" spans="2:6" x14ac:dyDescent="0.25">
      <c r="B78" s="23" t="s">
        <v>28</v>
      </c>
      <c r="C78" s="26">
        <v>0.54825190584161232</v>
      </c>
    </row>
    <row r="79" spans="2:6" x14ac:dyDescent="0.25">
      <c r="B79" s="23" t="s">
        <v>35</v>
      </c>
      <c r="C79" s="26">
        <v>0.79892818233967156</v>
      </c>
    </row>
    <row r="80" spans="2:6" x14ac:dyDescent="0.25">
      <c r="B80" s="23" t="s">
        <v>41</v>
      </c>
      <c r="C80" s="26">
        <v>0.70786981458273923</v>
      </c>
    </row>
    <row r="81" spans="2:4" x14ac:dyDescent="0.25">
      <c r="B81" s="23" t="s">
        <v>58</v>
      </c>
      <c r="C81" s="26">
        <v>0.63882728017976853</v>
      </c>
    </row>
    <row r="82" spans="2:4" x14ac:dyDescent="0.25">
      <c r="B82" s="23" t="s">
        <v>45</v>
      </c>
      <c r="C82" s="26">
        <v>0.59775628413534876</v>
      </c>
    </row>
    <row r="83" spans="2:4" x14ac:dyDescent="0.25">
      <c r="B83" s="23" t="s">
        <v>53</v>
      </c>
      <c r="C83" s="26">
        <v>0.77955022257842588</v>
      </c>
    </row>
    <row r="84" spans="2:4" x14ac:dyDescent="0.25">
      <c r="B84" s="23" t="s">
        <v>64</v>
      </c>
      <c r="C84" s="26">
        <v>0.5840997840147063</v>
      </c>
    </row>
    <row r="85" spans="2:4" ht="15.75" thickBot="1" x14ac:dyDescent="0.3">
      <c r="B85" s="24" t="s">
        <v>61</v>
      </c>
      <c r="C85" s="26">
        <v>0.49195492511732697</v>
      </c>
    </row>
    <row r="86" spans="2:4" ht="15.75" thickBot="1" x14ac:dyDescent="0.3">
      <c r="B86" s="19" t="s">
        <v>1068</v>
      </c>
      <c r="C86" s="27">
        <v>0.62095726112273353</v>
      </c>
    </row>
    <row r="88" spans="2:4" ht="15.75" thickBot="1" x14ac:dyDescent="0.3"/>
    <row r="89" spans="2:4" ht="15.75" thickBot="1" x14ac:dyDescent="0.3">
      <c r="B89" s="52" t="s">
        <v>1079</v>
      </c>
      <c r="C89" s="53"/>
      <c r="D89" s="54"/>
    </row>
    <row r="90" spans="2:4" ht="15.75" thickBot="1" x14ac:dyDescent="0.3">
      <c r="B90" s="18" t="s">
        <v>1078</v>
      </c>
      <c r="C90" s="18" t="s">
        <v>1077</v>
      </c>
      <c r="D90" s="20"/>
    </row>
    <row r="91" spans="2:4" ht="15.75" thickBot="1" x14ac:dyDescent="0.3">
      <c r="B91" s="18" t="s">
        <v>1102</v>
      </c>
      <c r="C91" s="20" t="s">
        <v>37</v>
      </c>
      <c r="D91" s="20" t="s">
        <v>1068</v>
      </c>
    </row>
    <row r="92" spans="2:4" ht="15.75" thickBot="1" x14ac:dyDescent="0.3">
      <c r="B92" s="19" t="s">
        <v>21</v>
      </c>
      <c r="C92" s="48">
        <v>37</v>
      </c>
      <c r="D92" s="49">
        <v>37</v>
      </c>
    </row>
    <row r="93" spans="2:4" ht="15.75" thickBot="1" x14ac:dyDescent="0.3">
      <c r="B93" s="19" t="s">
        <v>1068</v>
      </c>
      <c r="C93" s="50">
        <v>37</v>
      </c>
      <c r="D93" s="44">
        <v>37</v>
      </c>
    </row>
    <row r="95" spans="2:4" ht="15.75" thickBot="1" x14ac:dyDescent="0.3"/>
    <row r="96" spans="2:4" ht="15.75" thickBot="1" x14ac:dyDescent="0.3"/>
    <row r="97" spans="2:3" ht="15.75" thickBot="1" x14ac:dyDescent="0.3">
      <c r="B97" s="43" t="s">
        <v>1049</v>
      </c>
      <c r="C97" s="38" t="s">
        <v>1105</v>
      </c>
    </row>
    <row r="98" spans="2:3" ht="15.75" thickBot="1" x14ac:dyDescent="0.3">
      <c r="B98" s="42"/>
      <c r="C98" s="21"/>
    </row>
    <row r="99" spans="2:3" ht="15.75" thickBot="1" x14ac:dyDescent="0.3">
      <c r="B99" s="18" t="s">
        <v>1106</v>
      </c>
      <c r="C99" s="20" t="s">
        <v>1069</v>
      </c>
    </row>
    <row r="100" spans="2:3" ht="15.75" thickBot="1" x14ac:dyDescent="0.3">
      <c r="B100" s="19" t="s">
        <v>1068</v>
      </c>
      <c r="C100" s="20"/>
    </row>
    <row r="102" spans="2:3" ht="15.75" thickBot="1" x14ac:dyDescent="0.3"/>
    <row r="132" ht="15.75" thickBot="1" x14ac:dyDescent="0.3"/>
    <row r="133" ht="15.75" thickBot="1" x14ac:dyDescent="0.3"/>
    <row r="139" ht="15.75" thickBot="1" x14ac:dyDescent="0.3"/>
    <row r="140" ht="15.75" thickBot="1" x14ac:dyDescent="0.3"/>
    <row r="145" ht="15.75" thickBot="1" x14ac:dyDescent="0.3"/>
    <row r="146" ht="15.75" thickBot="1" x14ac:dyDescent="0.3"/>
    <row r="149" ht="15.75" thickBot="1" x14ac:dyDescent="0.3"/>
    <row r="150" ht="15.75" thickBot="1" x14ac:dyDescent="0.3"/>
    <row r="154" ht="15.75" thickBot="1" x14ac:dyDescent="0.3"/>
    <row r="155" ht="15.75" thickBot="1" x14ac:dyDescent="0.3"/>
    <row r="161" ht="15.75" thickBot="1" x14ac:dyDescent="0.3"/>
    <row r="162" ht="15.75" thickBot="1" x14ac:dyDescent="0.3"/>
    <row r="167" ht="15.75" thickBot="1" x14ac:dyDescent="0.3"/>
    <row r="168" ht="15.75" thickBot="1" x14ac:dyDescent="0.3"/>
    <row r="171" ht="15.75" thickBot="1" x14ac:dyDescent="0.3"/>
    <row r="172" ht="15.75" thickBot="1" x14ac:dyDescent="0.3"/>
    <row r="176" ht="15.75" thickBot="1" x14ac:dyDescent="0.3"/>
    <row r="177" ht="15.75" thickBot="1" x14ac:dyDescent="0.3"/>
    <row r="181" ht="15.75" thickBot="1" x14ac:dyDescent="0.3"/>
    <row r="182" ht="15.75" thickBot="1" x14ac:dyDescent="0.3"/>
    <row r="186" ht="15.75" thickBot="1" x14ac:dyDescent="0.3"/>
    <row r="187" ht="15.75" thickBot="1" x14ac:dyDescent="0.3"/>
    <row r="192" ht="15.75" thickBot="1" x14ac:dyDescent="0.3"/>
    <row r="193" ht="15.75" thickBot="1" x14ac:dyDescent="0.3"/>
    <row r="198" ht="15.75" thickBot="1" x14ac:dyDescent="0.3"/>
    <row r="199" ht="15.75" thickBot="1" x14ac:dyDescent="0.3"/>
    <row r="203" ht="15.75" thickBot="1" x14ac:dyDescent="0.3"/>
    <row r="204" ht="15.75" thickBot="1" x14ac:dyDescent="0.3"/>
    <row r="210" ht="15.75" thickBot="1" x14ac:dyDescent="0.3"/>
    <row r="211" ht="15.75" thickBot="1" x14ac:dyDescent="0.3"/>
    <row r="215" ht="15.75" thickBot="1" x14ac:dyDescent="0.3"/>
    <row r="216" ht="15.75" thickBot="1" x14ac:dyDescent="0.3"/>
    <row r="222" ht="15.75" thickBot="1" x14ac:dyDescent="0.3"/>
    <row r="223" ht="15.75" thickBot="1" x14ac:dyDescent="0.3"/>
    <row r="228" ht="15.75" thickBot="1" x14ac:dyDescent="0.3"/>
    <row r="229" ht="15.75" thickBot="1" x14ac:dyDescent="0.3"/>
    <row r="232" ht="15.75" thickBot="1" x14ac:dyDescent="0.3"/>
    <row r="233" ht="15.75" thickBot="1" x14ac:dyDescent="0.3"/>
    <row r="237" ht="15.75" thickBot="1" x14ac:dyDescent="0.3"/>
    <row r="238" ht="15.75" thickBot="1" x14ac:dyDescent="0.3"/>
    <row r="244" ht="15.75" thickBot="1" x14ac:dyDescent="0.3"/>
    <row r="245" ht="15.75" thickBot="1" x14ac:dyDescent="0.3"/>
    <row r="250" ht="15.75" thickBot="1" x14ac:dyDescent="0.3"/>
    <row r="251" ht="15.75" thickBot="1" x14ac:dyDescent="0.3"/>
    <row r="254" ht="15.75" thickBot="1" x14ac:dyDescent="0.3"/>
    <row r="255" ht="15.75" thickBot="1" x14ac:dyDescent="0.3"/>
    <row r="259" ht="15.75" thickBot="1" x14ac:dyDescent="0.3"/>
    <row r="260" ht="15.75" thickBot="1" x14ac:dyDescent="0.3"/>
    <row r="266" ht="15.75" thickBot="1" x14ac:dyDescent="0.3"/>
    <row r="267" ht="15.75" thickBot="1" x14ac:dyDescent="0.3"/>
    <row r="271" ht="15.75" thickBot="1" x14ac:dyDescent="0.3"/>
    <row r="272" ht="15.75" thickBot="1" x14ac:dyDescent="0.3"/>
    <row r="277" ht="15.75" thickBot="1" x14ac:dyDescent="0.3"/>
    <row r="278" ht="15.75" thickBot="1" x14ac:dyDescent="0.3"/>
    <row r="283" ht="15.75" thickBot="1" x14ac:dyDescent="0.3"/>
    <row r="284" ht="15.75" thickBot="1" x14ac:dyDescent="0.3"/>
    <row r="288" ht="15.75" thickBot="1" x14ac:dyDescent="0.3"/>
    <row r="289" ht="15.75" thickBot="1" x14ac:dyDescent="0.3"/>
    <row r="295" ht="15.75" thickBot="1" x14ac:dyDescent="0.3"/>
    <row r="296" ht="15.75" thickBot="1" x14ac:dyDescent="0.3"/>
    <row r="300" ht="15.75" thickBot="1" x14ac:dyDescent="0.3"/>
    <row r="301" ht="15.75" thickBot="1" x14ac:dyDescent="0.3"/>
    <row r="307" ht="15.75" thickBot="1" x14ac:dyDescent="0.3"/>
    <row r="308" ht="15.75" thickBot="1" x14ac:dyDescent="0.3"/>
    <row r="313" ht="15.75" thickBot="1" x14ac:dyDescent="0.3"/>
    <row r="314" ht="15.75" thickBot="1" x14ac:dyDescent="0.3"/>
    <row r="317" ht="15.75" thickBot="1" x14ac:dyDescent="0.3"/>
    <row r="318" ht="15.75" thickBot="1" x14ac:dyDescent="0.3"/>
    <row r="322" ht="15.75" thickBot="1" x14ac:dyDescent="0.3"/>
    <row r="323" ht="15.75" thickBot="1" x14ac:dyDescent="0.3"/>
    <row r="329" ht="15.75" thickBot="1" x14ac:dyDescent="0.3"/>
    <row r="330" ht="15.75" thickBot="1" x14ac:dyDescent="0.3"/>
    <row r="335" ht="15.75" thickBot="1" x14ac:dyDescent="0.3"/>
    <row r="336" ht="15.75" thickBot="1" x14ac:dyDescent="0.3"/>
    <row r="339" ht="15.75" thickBot="1" x14ac:dyDescent="0.3"/>
    <row r="340" ht="15.75" thickBot="1" x14ac:dyDescent="0.3"/>
    <row r="344" ht="15.75" thickBot="1" x14ac:dyDescent="0.3"/>
    <row r="345" ht="15.75" thickBot="1" x14ac:dyDescent="0.3"/>
    <row r="347" ht="15.75" thickBot="1" x14ac:dyDescent="0.3"/>
    <row r="348" ht="15.75" thickBot="1" x14ac:dyDescent="0.3"/>
    <row r="353" ht="15.75" thickBot="1" x14ac:dyDescent="0.3"/>
    <row r="354" ht="15.75" thickBot="1" x14ac:dyDescent="0.3"/>
    <row r="358" ht="15.75" thickBot="1" x14ac:dyDescent="0.3"/>
    <row r="359" ht="15.75" thickBot="1" x14ac:dyDescent="0.3"/>
    <row r="364" ht="15.75" thickBot="1" x14ac:dyDescent="0.3"/>
    <row r="365" ht="15.75" thickBot="1" x14ac:dyDescent="0.3"/>
    <row r="370" ht="15.75" thickBot="1" x14ac:dyDescent="0.3"/>
    <row r="371" ht="15.75" thickBot="1" x14ac:dyDescent="0.3"/>
    <row r="375" ht="15.75" thickBot="1" x14ac:dyDescent="0.3"/>
    <row r="376" ht="15.75" thickBot="1" x14ac:dyDescent="0.3"/>
    <row r="382" ht="15.75" thickBot="1" x14ac:dyDescent="0.3"/>
    <row r="383" ht="15.75" thickBot="1" x14ac:dyDescent="0.3"/>
    <row r="387" ht="15.75" thickBot="1" x14ac:dyDescent="0.3"/>
    <row r="388" ht="15.75" thickBot="1" x14ac:dyDescent="0.3"/>
    <row r="394" ht="15.75" thickBot="1" x14ac:dyDescent="0.3"/>
    <row r="395" ht="15.75" thickBot="1" x14ac:dyDescent="0.3"/>
    <row r="400" ht="15.75" thickBot="1" x14ac:dyDescent="0.3"/>
    <row r="401" ht="15.75" thickBot="1" x14ac:dyDescent="0.3"/>
    <row r="404" ht="15.75" thickBot="1" x14ac:dyDescent="0.3"/>
    <row r="405" ht="15.75" thickBot="1" x14ac:dyDescent="0.3"/>
    <row r="409" ht="15.75" thickBot="1" x14ac:dyDescent="0.3"/>
    <row r="410" ht="15.75" thickBot="1" x14ac:dyDescent="0.3"/>
    <row r="416" ht="15.75" thickBot="1" x14ac:dyDescent="0.3"/>
    <row r="417" ht="15.75" thickBot="1" x14ac:dyDescent="0.3"/>
    <row r="422" ht="15.75" thickBot="1" x14ac:dyDescent="0.3"/>
    <row r="423" ht="15.75" thickBot="1" x14ac:dyDescent="0.3"/>
    <row r="426" ht="15.75" thickBot="1" x14ac:dyDescent="0.3"/>
    <row r="427" ht="15.75" thickBot="1" x14ac:dyDescent="0.3"/>
    <row r="431" ht="15.75" thickBot="1" x14ac:dyDescent="0.3"/>
    <row r="432" ht="15.75" thickBot="1" x14ac:dyDescent="0.3"/>
    <row r="434" ht="15.75" thickBot="1" x14ac:dyDescent="0.3"/>
    <row r="435" ht="15.75" thickBot="1" x14ac:dyDescent="0.3"/>
    <row r="440" ht="15.75" thickBot="1" x14ac:dyDescent="0.3"/>
    <row r="441" ht="15.75" thickBot="1" x14ac:dyDescent="0.3"/>
    <row r="445" ht="15.75" thickBot="1" x14ac:dyDescent="0.3"/>
    <row r="446" ht="15.75" thickBot="1" x14ac:dyDescent="0.3"/>
    <row r="451" ht="15.75" thickBot="1" x14ac:dyDescent="0.3"/>
    <row r="452" ht="15.75" thickBot="1" x14ac:dyDescent="0.3"/>
    <row r="457" ht="15.75" thickBot="1" x14ac:dyDescent="0.3"/>
    <row r="458" ht="15.75" thickBot="1" x14ac:dyDescent="0.3"/>
    <row r="462" ht="15.75" thickBot="1" x14ac:dyDescent="0.3"/>
    <row r="463" ht="15.75" thickBot="1" x14ac:dyDescent="0.3"/>
    <row r="469" ht="15.75" thickBot="1" x14ac:dyDescent="0.3"/>
    <row r="470" ht="15.75" thickBot="1" x14ac:dyDescent="0.3"/>
    <row r="474" ht="15.75" thickBot="1" x14ac:dyDescent="0.3"/>
    <row r="475" ht="15.75" thickBot="1" x14ac:dyDescent="0.3"/>
    <row r="481" ht="15.75" thickBot="1" x14ac:dyDescent="0.3"/>
    <row r="482" ht="15.75" thickBot="1" x14ac:dyDescent="0.3"/>
    <row r="487" ht="15.75" thickBot="1" x14ac:dyDescent="0.3"/>
    <row r="488" ht="15.75" thickBot="1" x14ac:dyDescent="0.3"/>
    <row r="491" ht="15.75" thickBot="1" x14ac:dyDescent="0.3"/>
    <row r="492" ht="15.75" thickBot="1" x14ac:dyDescent="0.3"/>
    <row r="496" ht="15.75" thickBot="1" x14ac:dyDescent="0.3"/>
    <row r="497" ht="15.75" thickBot="1" x14ac:dyDescent="0.3"/>
    <row r="503" ht="15.75" thickBot="1" x14ac:dyDescent="0.3"/>
    <row r="504" ht="15.75" thickBot="1" x14ac:dyDescent="0.3"/>
    <row r="509" ht="15.75" thickBot="1" x14ac:dyDescent="0.3"/>
    <row r="510" ht="15.75" thickBot="1" x14ac:dyDescent="0.3"/>
    <row r="513" ht="15.75" thickBot="1" x14ac:dyDescent="0.3"/>
    <row r="514" ht="15.75" thickBot="1" x14ac:dyDescent="0.3"/>
    <row r="518" ht="15.75" thickBot="1" x14ac:dyDescent="0.3"/>
    <row r="519" ht="15.75" thickBot="1" x14ac:dyDescent="0.3"/>
    <row r="523" ht="15.75" thickBot="1" x14ac:dyDescent="0.3"/>
    <row r="524" ht="15.75" thickBot="1" x14ac:dyDescent="0.3"/>
    <row r="528" ht="15.75" thickBot="1" x14ac:dyDescent="0.3"/>
    <row r="529" ht="15.75" thickBot="1" x14ac:dyDescent="0.3"/>
    <row r="534" ht="15.75" thickBot="1" x14ac:dyDescent="0.3"/>
    <row r="535" ht="15.75" thickBot="1" x14ac:dyDescent="0.3"/>
    <row r="540" ht="15.75" thickBot="1" x14ac:dyDescent="0.3"/>
    <row r="541" ht="15.75" thickBot="1" x14ac:dyDescent="0.3"/>
    <row r="545" ht="15.75" thickBot="1" x14ac:dyDescent="0.3"/>
    <row r="546" ht="15.75" thickBot="1" x14ac:dyDescent="0.3"/>
    <row r="552" ht="15.75" thickBot="1" x14ac:dyDescent="0.3"/>
    <row r="553" ht="15.75" thickBot="1" x14ac:dyDescent="0.3"/>
    <row r="557" ht="15.75" thickBot="1" x14ac:dyDescent="0.3"/>
    <row r="558" ht="15.75" thickBot="1" x14ac:dyDescent="0.3"/>
    <row r="564" ht="15.75" thickBot="1" x14ac:dyDescent="0.3"/>
    <row r="565" ht="15.75" thickBot="1" x14ac:dyDescent="0.3"/>
    <row r="570" ht="15.75" thickBot="1" x14ac:dyDescent="0.3"/>
    <row r="571" ht="15.75" thickBot="1" x14ac:dyDescent="0.3"/>
    <row r="574" ht="15.75" thickBot="1" x14ac:dyDescent="0.3"/>
    <row r="575" ht="15.75" thickBot="1" x14ac:dyDescent="0.3"/>
    <row r="579" ht="15.75" thickBot="1" x14ac:dyDescent="0.3"/>
    <row r="580" ht="15.75" thickBot="1" x14ac:dyDescent="0.3"/>
    <row r="586" ht="15.75" thickBot="1" x14ac:dyDescent="0.3"/>
    <row r="587" ht="15.75" thickBot="1" x14ac:dyDescent="0.3"/>
    <row r="592" ht="15.75" thickBot="1" x14ac:dyDescent="0.3"/>
    <row r="593" ht="15.75" thickBot="1" x14ac:dyDescent="0.3"/>
    <row r="596" ht="15.75" thickBot="1" x14ac:dyDescent="0.3"/>
    <row r="597" ht="15.75" thickBot="1" x14ac:dyDescent="0.3"/>
    <row r="601" ht="15.75" thickBot="1" x14ac:dyDescent="0.3"/>
    <row r="602" ht="15.75" thickBot="1" x14ac:dyDescent="0.3"/>
    <row r="683" ht="15.75" thickBot="1" x14ac:dyDescent="0.3"/>
  </sheetData>
  <mergeCells count="15">
    <mergeCell ref="B89:D89"/>
    <mergeCell ref="E58:F58"/>
    <mergeCell ref="N3:P3"/>
    <mergeCell ref="B3:C3"/>
    <mergeCell ref="B16:C16"/>
    <mergeCell ref="B27:C27"/>
    <mergeCell ref="K3:L3"/>
    <mergeCell ref="H3:I3"/>
    <mergeCell ref="B36:C36"/>
    <mergeCell ref="B45:C45"/>
    <mergeCell ref="B58:C58"/>
    <mergeCell ref="B69:C69"/>
    <mergeCell ref="E3:F3"/>
    <mergeCell ref="E23:F23"/>
    <mergeCell ref="E43:F43"/>
  </mergeCells>
  <pageMargins left="0.7" right="0.7" top="0.75" bottom="0.75" header="0.3" footer="0.3"/>
  <drawing r:id="rId17"/>
  <extLst>
    <ext xmlns:x14="http://schemas.microsoft.com/office/spreadsheetml/2009/9/main" uri="{A8765BA9-456A-4dab-B4F3-ACF838C121DE}">
      <x14:slicerList>
        <x14:slicer r:id="rId1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91BD-BD78-49E2-B1CA-8F9FF5CFC622}">
  <dimension ref="A1"/>
  <sheetViews>
    <sheetView zoomScale="40" zoomScaleNormal="40" workbookViewId="0">
      <selection activeCell="V105" sqref="V10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8557-334B-4113-B456-5F8C9D6729B6}">
  <dimension ref="A1"/>
  <sheetViews>
    <sheetView topLeftCell="E1" zoomScale="25" zoomScaleNormal="25" workbookViewId="0">
      <selection activeCell="BB113" sqref="BB11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2BDC-6E9E-45AB-8BFD-2EA84AAE8664}">
  <dimension ref="A1"/>
  <sheetViews>
    <sheetView zoomScaleNormal="100" workbookViewId="0">
      <selection activeCell="L43" sqref="L43"/>
    </sheetView>
  </sheetViews>
  <sheetFormatPr defaultRowHeight="15" x14ac:dyDescent="0.25"/>
  <sheetData/>
  <pageMargins left="2.2083333333333335"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A24D2A-318D-4E98-9C50-4283C43882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MediCare_Data</vt:lpstr>
      <vt:lpstr>Detail1</vt:lpstr>
      <vt:lpstr>Analysis</vt:lpstr>
      <vt:lpstr>Visualization</vt:lpstr>
      <vt:lpstr>Dashboard</vt:lpstr>
      <vt:lpstr>Dashboard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Jnr Junos</dc:creator>
  <cp:lastModifiedBy>Jnr Junos</cp:lastModifiedBy>
  <cp:lastPrinted>2025-05-09T16:13:13Z</cp:lastPrinted>
  <dcterms:created xsi:type="dcterms:W3CDTF">2025-04-29T06:12:38Z</dcterms:created>
  <dcterms:modified xsi:type="dcterms:W3CDTF">2025-06-22T13:03:07Z</dcterms:modified>
</cp:coreProperties>
</file>