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5e4d5451da08a6/Real Estate/John/John Prcing Model Data/"/>
    </mc:Choice>
  </mc:AlternateContent>
  <xr:revisionPtr revIDLastSave="0" documentId="13_ncr:40009_{6A939440-B6B2-4371-8D23-99B76DE64CB7}" xr6:coauthVersionLast="46" xr6:coauthVersionMax="46" xr10:uidLastSave="{00000000-0000-0000-0000-000000000000}"/>
  <bookViews>
    <workbookView xWindow="-31260" yWindow="615" windowWidth="16875" windowHeight="10530"/>
  </bookViews>
  <sheets>
    <sheet name="ConnectMLS_export-9564206896174" sheetId="1" r:id="rId1"/>
  </sheets>
  <calcPr calcId="0"/>
</workbook>
</file>

<file path=xl/calcChain.xml><?xml version="1.0" encoding="utf-8"?>
<calcChain xmlns="http://schemas.openxmlformats.org/spreadsheetml/2006/main">
  <c r="A2" i="1" l="1"/>
  <c r="I2" i="1"/>
  <c r="A3" i="1"/>
  <c r="I3" i="1"/>
  <c r="A4" i="1"/>
  <c r="I4" i="1"/>
  <c r="A5" i="1"/>
  <c r="I5" i="1"/>
  <c r="A6" i="1"/>
  <c r="I6" i="1"/>
  <c r="A7" i="1"/>
  <c r="I7" i="1"/>
  <c r="A8" i="1"/>
  <c r="I8" i="1"/>
  <c r="A9" i="1"/>
  <c r="I9" i="1"/>
  <c r="A10" i="1"/>
  <c r="I10" i="1"/>
  <c r="A11" i="1"/>
  <c r="I11" i="1"/>
  <c r="A12" i="1"/>
  <c r="I12" i="1"/>
  <c r="A13" i="1"/>
  <c r="I13" i="1"/>
  <c r="A14" i="1"/>
  <c r="I14" i="1"/>
  <c r="A15" i="1"/>
  <c r="I15" i="1"/>
  <c r="A16" i="1"/>
  <c r="I16" i="1"/>
  <c r="A17" i="1"/>
  <c r="I17" i="1"/>
  <c r="A18" i="1"/>
  <c r="I18" i="1"/>
  <c r="A19" i="1"/>
  <c r="I19" i="1"/>
  <c r="A20" i="1"/>
  <c r="I20" i="1"/>
  <c r="A21" i="1"/>
  <c r="I21" i="1"/>
  <c r="A22" i="1"/>
  <c r="I22" i="1"/>
  <c r="A23" i="1"/>
  <c r="I23" i="1"/>
  <c r="A24" i="1"/>
  <c r="I24" i="1"/>
  <c r="A25" i="1"/>
  <c r="I25" i="1"/>
  <c r="A26" i="1"/>
  <c r="I26" i="1"/>
  <c r="A27" i="1"/>
  <c r="I27" i="1"/>
  <c r="A28" i="1"/>
  <c r="I28" i="1"/>
  <c r="A29" i="1"/>
  <c r="I29" i="1"/>
  <c r="A30" i="1"/>
  <c r="I30" i="1"/>
  <c r="A31" i="1"/>
  <c r="I31" i="1"/>
  <c r="A32" i="1"/>
  <c r="I32" i="1"/>
  <c r="A33" i="1"/>
  <c r="I33" i="1"/>
  <c r="A34" i="1"/>
  <c r="I34" i="1"/>
  <c r="A35" i="1"/>
  <c r="I35" i="1"/>
  <c r="A36" i="1"/>
  <c r="I36" i="1"/>
  <c r="A37" i="1"/>
  <c r="I37" i="1"/>
  <c r="A38" i="1"/>
  <c r="I38" i="1"/>
  <c r="A39" i="1"/>
  <c r="I39" i="1"/>
  <c r="A40" i="1"/>
  <c r="I40" i="1"/>
  <c r="A41" i="1"/>
  <c r="I41" i="1"/>
  <c r="A42" i="1"/>
  <c r="I42" i="1"/>
  <c r="A43" i="1"/>
  <c r="I43" i="1"/>
  <c r="A44" i="1"/>
  <c r="I44" i="1"/>
  <c r="A45" i="1"/>
  <c r="I45" i="1"/>
  <c r="A46" i="1"/>
  <c r="I46" i="1"/>
  <c r="A47" i="1"/>
  <c r="I47" i="1"/>
  <c r="A48" i="1"/>
  <c r="I48" i="1"/>
  <c r="A49" i="1"/>
  <c r="I49" i="1"/>
  <c r="A50" i="1"/>
  <c r="I50" i="1"/>
  <c r="A51" i="1"/>
  <c r="I51" i="1"/>
  <c r="A52" i="1"/>
  <c r="I52" i="1"/>
  <c r="A53" i="1"/>
  <c r="I53" i="1"/>
  <c r="A54" i="1"/>
  <c r="I54" i="1"/>
  <c r="A55" i="1"/>
  <c r="I55" i="1"/>
  <c r="A56" i="1"/>
  <c r="I56" i="1"/>
  <c r="A57" i="1"/>
  <c r="I57" i="1"/>
  <c r="A58" i="1"/>
  <c r="I58" i="1"/>
  <c r="A59" i="1"/>
  <c r="I59" i="1"/>
  <c r="A60" i="1"/>
  <c r="I60" i="1"/>
  <c r="A61" i="1"/>
  <c r="I61" i="1"/>
  <c r="A62" i="1"/>
  <c r="I62" i="1"/>
  <c r="A63" i="1"/>
  <c r="I63" i="1"/>
  <c r="A64" i="1"/>
  <c r="I64" i="1"/>
  <c r="A65" i="1"/>
  <c r="I65" i="1"/>
  <c r="A66" i="1"/>
  <c r="I66" i="1"/>
  <c r="A67" i="1"/>
  <c r="I67" i="1"/>
  <c r="A68" i="1"/>
  <c r="I68" i="1"/>
  <c r="A69" i="1"/>
  <c r="I69" i="1"/>
  <c r="A70" i="1"/>
  <c r="I70" i="1"/>
  <c r="A71" i="1"/>
  <c r="I71" i="1"/>
  <c r="A72" i="1"/>
  <c r="I72" i="1"/>
  <c r="A73" i="1"/>
  <c r="I73" i="1"/>
  <c r="A74" i="1"/>
  <c r="I74" i="1"/>
  <c r="A75" i="1"/>
  <c r="I75" i="1"/>
  <c r="A76" i="1"/>
  <c r="I76" i="1"/>
  <c r="A77" i="1"/>
  <c r="I77" i="1"/>
  <c r="A78" i="1"/>
  <c r="I78" i="1"/>
  <c r="A79" i="1"/>
  <c r="I79" i="1"/>
  <c r="A80" i="1"/>
  <c r="I80" i="1"/>
  <c r="A81" i="1"/>
  <c r="I81" i="1"/>
  <c r="A82" i="1"/>
  <c r="I82" i="1"/>
  <c r="A83" i="1"/>
  <c r="I83" i="1"/>
  <c r="A84" i="1"/>
  <c r="I84" i="1"/>
  <c r="A85" i="1"/>
  <c r="I85" i="1"/>
  <c r="A86" i="1"/>
  <c r="I86" i="1"/>
  <c r="A87" i="1"/>
  <c r="I87" i="1"/>
  <c r="A88" i="1"/>
  <c r="I88" i="1"/>
  <c r="A89" i="1"/>
  <c r="I89" i="1"/>
  <c r="A90" i="1"/>
  <c r="I90" i="1"/>
  <c r="A91" i="1"/>
  <c r="I91" i="1"/>
  <c r="A92" i="1"/>
  <c r="I92" i="1"/>
  <c r="A93" i="1"/>
  <c r="I93" i="1"/>
  <c r="A94" i="1"/>
  <c r="I94" i="1"/>
  <c r="A95" i="1"/>
  <c r="I95" i="1"/>
  <c r="A96" i="1"/>
  <c r="I96" i="1"/>
  <c r="A97" i="1"/>
  <c r="I97" i="1"/>
  <c r="A98" i="1"/>
  <c r="I98" i="1"/>
  <c r="A99" i="1"/>
  <c r="I99" i="1"/>
  <c r="A100" i="1"/>
  <c r="I100" i="1"/>
  <c r="A101" i="1"/>
  <c r="I101" i="1"/>
  <c r="A102" i="1"/>
  <c r="I102" i="1"/>
  <c r="A103" i="1"/>
  <c r="I103" i="1"/>
  <c r="A104" i="1"/>
  <c r="I104" i="1"/>
  <c r="A105" i="1"/>
  <c r="I105" i="1"/>
  <c r="A106" i="1"/>
  <c r="I106" i="1"/>
  <c r="A107" i="1"/>
  <c r="I107" i="1"/>
  <c r="A108" i="1"/>
  <c r="I108" i="1"/>
  <c r="A109" i="1"/>
  <c r="I109" i="1"/>
  <c r="A110" i="1"/>
  <c r="I110" i="1"/>
  <c r="A111" i="1"/>
  <c r="I111" i="1"/>
  <c r="A112" i="1"/>
  <c r="I112" i="1"/>
  <c r="A113" i="1"/>
  <c r="I113" i="1"/>
  <c r="A114" i="1"/>
  <c r="I114" i="1"/>
  <c r="A115" i="1"/>
  <c r="I115" i="1"/>
  <c r="A116" i="1"/>
  <c r="I116" i="1"/>
  <c r="A117" i="1"/>
  <c r="I117" i="1"/>
  <c r="A118" i="1"/>
  <c r="I118" i="1"/>
  <c r="A119" i="1"/>
  <c r="I119" i="1"/>
  <c r="A120" i="1"/>
  <c r="I120" i="1"/>
  <c r="A121" i="1"/>
  <c r="I121" i="1"/>
  <c r="A122" i="1"/>
  <c r="I122" i="1"/>
  <c r="A123" i="1"/>
  <c r="I123" i="1"/>
  <c r="A124" i="1"/>
  <c r="I124" i="1"/>
  <c r="A125" i="1"/>
  <c r="I125" i="1"/>
  <c r="A126" i="1"/>
  <c r="I126" i="1"/>
  <c r="A127" i="1"/>
  <c r="I127" i="1"/>
  <c r="A128" i="1"/>
  <c r="I128" i="1"/>
  <c r="A129" i="1"/>
  <c r="I129" i="1"/>
  <c r="A130" i="1"/>
  <c r="I130" i="1"/>
  <c r="A131" i="1"/>
  <c r="I131" i="1"/>
  <c r="A132" i="1"/>
  <c r="I132" i="1"/>
  <c r="A133" i="1"/>
  <c r="I133" i="1"/>
  <c r="A134" i="1"/>
  <c r="I134" i="1"/>
  <c r="A135" i="1"/>
  <c r="I135" i="1"/>
  <c r="A136" i="1"/>
  <c r="I136" i="1"/>
  <c r="A137" i="1"/>
  <c r="I137" i="1"/>
  <c r="A138" i="1"/>
  <c r="I138" i="1"/>
  <c r="A139" i="1"/>
  <c r="I139" i="1"/>
  <c r="A140" i="1"/>
  <c r="I140" i="1"/>
  <c r="A141" i="1"/>
  <c r="I141" i="1"/>
  <c r="A142" i="1"/>
  <c r="I142" i="1"/>
  <c r="A143" i="1"/>
  <c r="I143" i="1"/>
  <c r="A144" i="1"/>
  <c r="I144" i="1"/>
  <c r="A145" i="1"/>
  <c r="I145" i="1"/>
  <c r="A146" i="1"/>
  <c r="I146" i="1"/>
  <c r="A147" i="1"/>
  <c r="I147" i="1"/>
  <c r="A148" i="1"/>
  <c r="I148" i="1"/>
  <c r="A149" i="1"/>
  <c r="I149" i="1"/>
  <c r="A150" i="1"/>
  <c r="I150" i="1"/>
  <c r="A151" i="1"/>
  <c r="I151" i="1"/>
  <c r="A152" i="1"/>
  <c r="I152" i="1"/>
  <c r="A153" i="1"/>
  <c r="I153" i="1"/>
  <c r="A154" i="1"/>
  <c r="I154" i="1"/>
  <c r="A155" i="1"/>
  <c r="I155" i="1"/>
  <c r="A156" i="1"/>
  <c r="I156" i="1"/>
  <c r="A157" i="1"/>
  <c r="I157" i="1"/>
  <c r="A158" i="1"/>
  <c r="I158" i="1"/>
  <c r="A159" i="1"/>
  <c r="I159" i="1"/>
  <c r="A160" i="1"/>
  <c r="I160" i="1"/>
  <c r="A161" i="1"/>
  <c r="I161" i="1"/>
  <c r="A162" i="1"/>
  <c r="I162" i="1"/>
  <c r="A163" i="1"/>
  <c r="I163" i="1"/>
  <c r="A164" i="1"/>
  <c r="I164" i="1"/>
  <c r="A165" i="1"/>
  <c r="I165" i="1"/>
  <c r="A166" i="1"/>
  <c r="I166" i="1"/>
  <c r="A167" i="1"/>
  <c r="I167" i="1"/>
  <c r="A168" i="1"/>
  <c r="I168" i="1"/>
  <c r="A169" i="1"/>
  <c r="I169" i="1"/>
  <c r="A170" i="1"/>
  <c r="I170" i="1"/>
  <c r="A171" i="1"/>
  <c r="I171" i="1"/>
  <c r="A172" i="1"/>
  <c r="I172" i="1"/>
  <c r="A173" i="1"/>
  <c r="I173" i="1"/>
  <c r="A174" i="1"/>
  <c r="I174" i="1"/>
  <c r="A175" i="1"/>
  <c r="I175" i="1"/>
  <c r="A176" i="1"/>
  <c r="I176" i="1"/>
  <c r="A177" i="1"/>
  <c r="I177" i="1"/>
  <c r="A178" i="1"/>
  <c r="I178" i="1"/>
  <c r="A179" i="1"/>
  <c r="I179" i="1"/>
  <c r="A180" i="1"/>
  <c r="I180" i="1"/>
  <c r="A181" i="1"/>
  <c r="I181" i="1"/>
  <c r="A182" i="1"/>
  <c r="I182" i="1"/>
  <c r="A183" i="1"/>
  <c r="I183" i="1"/>
  <c r="A184" i="1"/>
  <c r="I184" i="1"/>
  <c r="A185" i="1"/>
  <c r="I185" i="1"/>
  <c r="A186" i="1"/>
  <c r="I186" i="1"/>
  <c r="A187" i="1"/>
  <c r="I187" i="1"/>
  <c r="A188" i="1"/>
  <c r="I188" i="1"/>
  <c r="A189" i="1"/>
  <c r="I189" i="1"/>
  <c r="A190" i="1"/>
  <c r="I190" i="1"/>
  <c r="A191" i="1"/>
  <c r="I191" i="1"/>
  <c r="A192" i="1"/>
  <c r="I192" i="1"/>
  <c r="A193" i="1"/>
  <c r="I193" i="1"/>
  <c r="A194" i="1"/>
  <c r="I194" i="1"/>
  <c r="A195" i="1"/>
  <c r="I195" i="1"/>
  <c r="A196" i="1"/>
  <c r="I196" i="1"/>
  <c r="A197" i="1"/>
  <c r="I197" i="1"/>
  <c r="A198" i="1"/>
  <c r="I198" i="1"/>
  <c r="A199" i="1"/>
  <c r="I199" i="1"/>
  <c r="A200" i="1"/>
  <c r="I200" i="1"/>
  <c r="A201" i="1"/>
  <c r="I201" i="1"/>
  <c r="A202" i="1"/>
  <c r="I202" i="1"/>
  <c r="A203" i="1"/>
  <c r="I203" i="1"/>
  <c r="A204" i="1"/>
  <c r="I204" i="1"/>
  <c r="A205" i="1"/>
  <c r="I205" i="1"/>
  <c r="A206" i="1"/>
  <c r="I206" i="1"/>
  <c r="A207" i="1"/>
  <c r="I207" i="1"/>
  <c r="A208" i="1"/>
  <c r="I208" i="1"/>
  <c r="A209" i="1"/>
  <c r="I209" i="1"/>
  <c r="A210" i="1"/>
  <c r="I210" i="1"/>
  <c r="A211" i="1"/>
  <c r="I211" i="1"/>
  <c r="A212" i="1"/>
  <c r="I212" i="1"/>
  <c r="A213" i="1"/>
  <c r="I213" i="1"/>
  <c r="A214" i="1"/>
  <c r="I214" i="1"/>
  <c r="A215" i="1"/>
  <c r="I215" i="1"/>
  <c r="A216" i="1"/>
  <c r="I216" i="1"/>
  <c r="A217" i="1"/>
  <c r="I217" i="1"/>
  <c r="A218" i="1"/>
  <c r="I218" i="1"/>
  <c r="A219" i="1"/>
  <c r="I219" i="1"/>
  <c r="A220" i="1"/>
  <c r="I220" i="1"/>
  <c r="A221" i="1"/>
  <c r="I221" i="1"/>
  <c r="A222" i="1"/>
  <c r="I222" i="1"/>
  <c r="A223" i="1"/>
  <c r="I223" i="1"/>
  <c r="A224" i="1"/>
  <c r="I224" i="1"/>
  <c r="A225" i="1"/>
  <c r="I225" i="1"/>
  <c r="A226" i="1"/>
  <c r="I226" i="1"/>
  <c r="A227" i="1"/>
  <c r="I227" i="1"/>
  <c r="A228" i="1"/>
  <c r="I228" i="1"/>
  <c r="A229" i="1"/>
  <c r="I229" i="1"/>
  <c r="A230" i="1"/>
  <c r="I230" i="1"/>
  <c r="A231" i="1"/>
  <c r="I231" i="1"/>
  <c r="A232" i="1"/>
  <c r="I232" i="1"/>
  <c r="A233" i="1"/>
  <c r="I233" i="1"/>
  <c r="A234" i="1"/>
  <c r="I234" i="1"/>
  <c r="A235" i="1"/>
  <c r="I235" i="1"/>
  <c r="A236" i="1"/>
  <c r="I236" i="1"/>
  <c r="A237" i="1"/>
  <c r="I237" i="1"/>
  <c r="A238" i="1"/>
  <c r="I238" i="1"/>
  <c r="A239" i="1"/>
  <c r="I239" i="1"/>
  <c r="A240" i="1"/>
  <c r="I240" i="1"/>
  <c r="A241" i="1"/>
  <c r="I241" i="1"/>
  <c r="A242" i="1"/>
  <c r="I242" i="1"/>
  <c r="A243" i="1"/>
  <c r="I243" i="1"/>
  <c r="A244" i="1"/>
  <c r="I244" i="1"/>
  <c r="A245" i="1"/>
  <c r="I245" i="1"/>
  <c r="A246" i="1"/>
  <c r="I246" i="1"/>
  <c r="A247" i="1"/>
  <c r="I247" i="1"/>
  <c r="A248" i="1"/>
  <c r="I248" i="1"/>
  <c r="A249" i="1"/>
  <c r="I249" i="1"/>
  <c r="A250" i="1"/>
  <c r="I250" i="1"/>
  <c r="A251" i="1"/>
  <c r="I251" i="1"/>
  <c r="A252" i="1"/>
  <c r="I252" i="1"/>
  <c r="A253" i="1"/>
  <c r="I253" i="1"/>
  <c r="A254" i="1"/>
  <c r="I254" i="1"/>
  <c r="A255" i="1"/>
  <c r="I255" i="1"/>
  <c r="A256" i="1"/>
  <c r="I256" i="1"/>
  <c r="A257" i="1"/>
  <c r="I257" i="1"/>
  <c r="A258" i="1"/>
  <c r="I258" i="1"/>
  <c r="A259" i="1"/>
  <c r="I259" i="1"/>
  <c r="A260" i="1"/>
  <c r="I260" i="1"/>
  <c r="A261" i="1"/>
  <c r="I261" i="1"/>
  <c r="A262" i="1"/>
  <c r="I262" i="1"/>
  <c r="A263" i="1"/>
  <c r="I263" i="1"/>
  <c r="A264" i="1"/>
  <c r="I264" i="1"/>
  <c r="A265" i="1"/>
  <c r="I265" i="1"/>
  <c r="A266" i="1"/>
  <c r="I266" i="1"/>
  <c r="A267" i="1"/>
  <c r="I267" i="1"/>
  <c r="A268" i="1"/>
  <c r="I268" i="1"/>
  <c r="A269" i="1"/>
  <c r="I269" i="1"/>
  <c r="A270" i="1"/>
  <c r="I270" i="1"/>
  <c r="A271" i="1"/>
  <c r="I271" i="1"/>
  <c r="A272" i="1"/>
  <c r="I272" i="1"/>
  <c r="A273" i="1"/>
  <c r="I273" i="1"/>
  <c r="A274" i="1"/>
  <c r="I274" i="1"/>
  <c r="A275" i="1"/>
  <c r="I275" i="1"/>
  <c r="A276" i="1"/>
  <c r="I276" i="1"/>
  <c r="A277" i="1"/>
  <c r="I277" i="1"/>
  <c r="A278" i="1"/>
  <c r="I278" i="1"/>
  <c r="A279" i="1"/>
  <c r="I279" i="1"/>
  <c r="A280" i="1"/>
  <c r="I280" i="1"/>
  <c r="A281" i="1"/>
  <c r="I281" i="1"/>
  <c r="A282" i="1"/>
  <c r="I282" i="1"/>
  <c r="A283" i="1"/>
  <c r="I283" i="1"/>
  <c r="A284" i="1"/>
  <c r="I284" i="1"/>
  <c r="A285" i="1"/>
  <c r="I285" i="1"/>
  <c r="A286" i="1"/>
  <c r="I286" i="1"/>
  <c r="A287" i="1"/>
  <c r="I287" i="1"/>
  <c r="A288" i="1"/>
  <c r="I288" i="1"/>
  <c r="A289" i="1"/>
  <c r="I289" i="1"/>
  <c r="A290" i="1"/>
  <c r="I290" i="1"/>
  <c r="A291" i="1"/>
  <c r="I291" i="1"/>
  <c r="A292" i="1"/>
  <c r="I292" i="1"/>
  <c r="A293" i="1"/>
  <c r="I293" i="1"/>
  <c r="A294" i="1"/>
  <c r="I294" i="1"/>
  <c r="A295" i="1"/>
  <c r="I295" i="1"/>
  <c r="A296" i="1"/>
  <c r="I296" i="1"/>
  <c r="A297" i="1"/>
  <c r="I297" i="1"/>
  <c r="A298" i="1"/>
  <c r="I298" i="1"/>
  <c r="A299" i="1"/>
  <c r="I299" i="1"/>
  <c r="A300" i="1"/>
  <c r="I300" i="1"/>
  <c r="A301" i="1"/>
  <c r="I301" i="1"/>
  <c r="A302" i="1"/>
  <c r="I302" i="1"/>
  <c r="A303" i="1"/>
  <c r="I303" i="1"/>
  <c r="A304" i="1"/>
  <c r="I304" i="1"/>
  <c r="A305" i="1"/>
  <c r="I305" i="1"/>
  <c r="A306" i="1"/>
  <c r="I306" i="1"/>
  <c r="A307" i="1"/>
  <c r="I307" i="1"/>
  <c r="A308" i="1"/>
  <c r="I308" i="1"/>
  <c r="A309" i="1"/>
  <c r="I309" i="1"/>
  <c r="A310" i="1"/>
  <c r="I310" i="1"/>
  <c r="A311" i="1"/>
  <c r="I311" i="1"/>
  <c r="A312" i="1"/>
  <c r="I312" i="1"/>
  <c r="A313" i="1"/>
  <c r="I313" i="1"/>
  <c r="A314" i="1"/>
  <c r="I314" i="1"/>
  <c r="A315" i="1"/>
  <c r="I315" i="1"/>
  <c r="A316" i="1"/>
  <c r="I316" i="1"/>
  <c r="A317" i="1"/>
  <c r="I317" i="1"/>
  <c r="A318" i="1"/>
  <c r="I318" i="1"/>
  <c r="A319" i="1"/>
  <c r="I319" i="1"/>
  <c r="A320" i="1"/>
  <c r="I320" i="1"/>
  <c r="A321" i="1"/>
  <c r="I321" i="1"/>
  <c r="A322" i="1"/>
  <c r="I322" i="1"/>
  <c r="A323" i="1"/>
  <c r="I323" i="1"/>
  <c r="A324" i="1"/>
  <c r="I324" i="1"/>
  <c r="A325" i="1"/>
  <c r="I325" i="1"/>
  <c r="A326" i="1"/>
  <c r="I326" i="1"/>
  <c r="A327" i="1"/>
  <c r="I327" i="1"/>
  <c r="A328" i="1"/>
  <c r="I328" i="1"/>
  <c r="A329" i="1"/>
  <c r="I329" i="1"/>
  <c r="A330" i="1"/>
  <c r="I330" i="1"/>
  <c r="A331" i="1"/>
  <c r="I331" i="1"/>
  <c r="A332" i="1"/>
  <c r="I332" i="1"/>
  <c r="A333" i="1"/>
  <c r="I333" i="1"/>
  <c r="A334" i="1"/>
  <c r="I334" i="1"/>
  <c r="A335" i="1"/>
  <c r="I335" i="1"/>
  <c r="A336" i="1"/>
  <c r="I336" i="1"/>
  <c r="A337" i="1"/>
  <c r="I337" i="1"/>
  <c r="A338" i="1"/>
  <c r="I338" i="1"/>
  <c r="A339" i="1"/>
  <c r="I339" i="1"/>
  <c r="A340" i="1"/>
  <c r="I340" i="1"/>
  <c r="A341" i="1"/>
  <c r="I341" i="1"/>
  <c r="A342" i="1"/>
  <c r="I342" i="1"/>
  <c r="A343" i="1"/>
  <c r="I343" i="1"/>
  <c r="A344" i="1"/>
  <c r="I344" i="1"/>
  <c r="A345" i="1"/>
  <c r="I345" i="1"/>
  <c r="A346" i="1"/>
  <c r="I346" i="1"/>
  <c r="A347" i="1"/>
  <c r="I347" i="1"/>
  <c r="A348" i="1"/>
  <c r="I348" i="1"/>
  <c r="A349" i="1"/>
  <c r="I349" i="1"/>
  <c r="A350" i="1"/>
  <c r="I350" i="1"/>
  <c r="A351" i="1"/>
  <c r="I351" i="1"/>
  <c r="A352" i="1"/>
  <c r="I352" i="1"/>
  <c r="A353" i="1"/>
  <c r="I353" i="1"/>
  <c r="A354" i="1"/>
  <c r="I354" i="1"/>
  <c r="A355" i="1"/>
  <c r="I355" i="1"/>
  <c r="A356" i="1"/>
  <c r="I356" i="1"/>
  <c r="A357" i="1"/>
  <c r="I357" i="1"/>
  <c r="A358" i="1"/>
  <c r="I358" i="1"/>
  <c r="A359" i="1"/>
  <c r="I359" i="1"/>
  <c r="A360" i="1"/>
  <c r="I360" i="1"/>
  <c r="A361" i="1"/>
  <c r="I361" i="1"/>
  <c r="A362" i="1"/>
  <c r="I362" i="1"/>
  <c r="A363" i="1"/>
  <c r="I363" i="1"/>
  <c r="A364" i="1"/>
  <c r="I364" i="1"/>
  <c r="A365" i="1"/>
  <c r="I365" i="1"/>
  <c r="A366" i="1"/>
  <c r="I366" i="1"/>
  <c r="A367" i="1"/>
  <c r="I367" i="1"/>
  <c r="A368" i="1"/>
  <c r="I368" i="1"/>
  <c r="A369" i="1"/>
  <c r="I369" i="1"/>
  <c r="A370" i="1"/>
  <c r="I370" i="1"/>
  <c r="A371" i="1"/>
  <c r="I371" i="1"/>
  <c r="A372" i="1"/>
  <c r="I372" i="1"/>
  <c r="A373" i="1"/>
  <c r="I373" i="1"/>
  <c r="A374" i="1"/>
  <c r="I374" i="1"/>
  <c r="A375" i="1"/>
  <c r="I375" i="1"/>
  <c r="A376" i="1"/>
  <c r="I376" i="1"/>
  <c r="A377" i="1"/>
  <c r="I377" i="1"/>
  <c r="A378" i="1"/>
  <c r="I378" i="1"/>
  <c r="A379" i="1"/>
  <c r="I379" i="1"/>
  <c r="A380" i="1"/>
  <c r="I380" i="1"/>
  <c r="A381" i="1"/>
  <c r="I381" i="1"/>
  <c r="A382" i="1"/>
  <c r="I382" i="1"/>
  <c r="A383" i="1"/>
  <c r="I383" i="1"/>
  <c r="A384" i="1"/>
  <c r="I384" i="1"/>
  <c r="A385" i="1"/>
  <c r="I385" i="1"/>
  <c r="A386" i="1"/>
  <c r="I386" i="1"/>
  <c r="A387" i="1"/>
  <c r="I387" i="1"/>
  <c r="A388" i="1"/>
  <c r="I388" i="1"/>
  <c r="A389" i="1"/>
  <c r="I389" i="1"/>
  <c r="A390" i="1"/>
  <c r="I390" i="1"/>
  <c r="A391" i="1"/>
  <c r="I391" i="1"/>
  <c r="A392" i="1"/>
  <c r="I392" i="1"/>
  <c r="A393" i="1"/>
  <c r="I393" i="1"/>
  <c r="A394" i="1"/>
  <c r="I394" i="1"/>
  <c r="A395" i="1"/>
  <c r="I395" i="1"/>
  <c r="A396" i="1"/>
  <c r="I396" i="1"/>
  <c r="A397" i="1"/>
  <c r="I397" i="1"/>
  <c r="A398" i="1"/>
  <c r="I398" i="1"/>
  <c r="A399" i="1"/>
  <c r="I399" i="1"/>
  <c r="A400" i="1"/>
  <c r="I400" i="1"/>
  <c r="A401" i="1"/>
  <c r="I401" i="1"/>
  <c r="A402" i="1"/>
  <c r="I402" i="1"/>
  <c r="A403" i="1"/>
  <c r="I403" i="1"/>
  <c r="A404" i="1"/>
  <c r="I404" i="1"/>
  <c r="A405" i="1"/>
  <c r="I405" i="1"/>
  <c r="A406" i="1"/>
  <c r="I406" i="1"/>
  <c r="A407" i="1"/>
  <c r="I407" i="1"/>
  <c r="A408" i="1"/>
  <c r="I408" i="1"/>
  <c r="A409" i="1"/>
  <c r="I409" i="1"/>
  <c r="A410" i="1"/>
  <c r="I410" i="1"/>
  <c r="A411" i="1"/>
  <c r="I411" i="1"/>
  <c r="A412" i="1"/>
  <c r="I412" i="1"/>
  <c r="A413" i="1"/>
  <c r="I413" i="1"/>
  <c r="A414" i="1"/>
  <c r="I414" i="1"/>
  <c r="A415" i="1"/>
  <c r="I415" i="1"/>
  <c r="A416" i="1"/>
  <c r="I416" i="1"/>
  <c r="A417" i="1"/>
  <c r="I417" i="1"/>
  <c r="A418" i="1"/>
  <c r="I418" i="1"/>
  <c r="A419" i="1"/>
  <c r="I419" i="1"/>
  <c r="A420" i="1"/>
  <c r="I420" i="1"/>
  <c r="A421" i="1"/>
  <c r="I421" i="1"/>
  <c r="A422" i="1"/>
  <c r="I422" i="1"/>
  <c r="A423" i="1"/>
  <c r="I423" i="1"/>
  <c r="A424" i="1"/>
  <c r="I424" i="1"/>
  <c r="A425" i="1"/>
  <c r="I425" i="1"/>
  <c r="A426" i="1"/>
  <c r="I426" i="1"/>
  <c r="A427" i="1"/>
  <c r="I427" i="1"/>
  <c r="A428" i="1"/>
  <c r="I428" i="1"/>
  <c r="A429" i="1"/>
  <c r="I429" i="1"/>
  <c r="A430" i="1"/>
  <c r="I430" i="1"/>
  <c r="A431" i="1"/>
  <c r="I431" i="1"/>
  <c r="A432" i="1"/>
  <c r="I432" i="1"/>
  <c r="A433" i="1"/>
  <c r="I433" i="1"/>
  <c r="A434" i="1"/>
  <c r="I434" i="1"/>
  <c r="A435" i="1"/>
  <c r="I435" i="1"/>
  <c r="A436" i="1"/>
  <c r="I436" i="1"/>
  <c r="A437" i="1"/>
  <c r="I437" i="1"/>
  <c r="A438" i="1"/>
  <c r="I438" i="1"/>
  <c r="A439" i="1"/>
  <c r="I439" i="1"/>
  <c r="A440" i="1"/>
  <c r="I440" i="1"/>
  <c r="A441" i="1"/>
  <c r="I441" i="1"/>
  <c r="A442" i="1"/>
  <c r="I442" i="1"/>
  <c r="A443" i="1"/>
  <c r="I443" i="1"/>
  <c r="A444" i="1"/>
  <c r="I444" i="1"/>
  <c r="A445" i="1"/>
  <c r="I445" i="1"/>
  <c r="A446" i="1"/>
  <c r="I446" i="1"/>
  <c r="A447" i="1"/>
  <c r="I447" i="1"/>
  <c r="A448" i="1"/>
  <c r="I448" i="1"/>
  <c r="A449" i="1"/>
  <c r="I449" i="1"/>
  <c r="A450" i="1"/>
  <c r="I450" i="1"/>
  <c r="A451" i="1"/>
  <c r="I451" i="1"/>
  <c r="A452" i="1"/>
  <c r="I452" i="1"/>
  <c r="A453" i="1"/>
  <c r="I453" i="1"/>
  <c r="A454" i="1"/>
  <c r="I454" i="1"/>
  <c r="A455" i="1"/>
  <c r="I455" i="1"/>
  <c r="A456" i="1"/>
  <c r="I456" i="1"/>
  <c r="A457" i="1"/>
  <c r="I457" i="1"/>
  <c r="A458" i="1"/>
  <c r="I458" i="1"/>
  <c r="A459" i="1"/>
  <c r="I459" i="1"/>
  <c r="A460" i="1"/>
  <c r="I460" i="1"/>
  <c r="A461" i="1"/>
  <c r="I461" i="1"/>
  <c r="A462" i="1"/>
  <c r="I462" i="1"/>
  <c r="A463" i="1"/>
  <c r="I463" i="1"/>
  <c r="A464" i="1"/>
  <c r="I464" i="1"/>
  <c r="A465" i="1"/>
  <c r="I465" i="1"/>
  <c r="A466" i="1"/>
  <c r="I466" i="1"/>
  <c r="A467" i="1"/>
  <c r="I467" i="1"/>
  <c r="A468" i="1"/>
  <c r="I468" i="1"/>
  <c r="A469" i="1"/>
  <c r="I469" i="1"/>
  <c r="A470" i="1"/>
  <c r="I470" i="1"/>
  <c r="A471" i="1"/>
  <c r="I471" i="1"/>
  <c r="A472" i="1"/>
  <c r="I472" i="1"/>
  <c r="A473" i="1"/>
  <c r="I473" i="1"/>
  <c r="A474" i="1"/>
  <c r="I474" i="1"/>
  <c r="A475" i="1"/>
  <c r="I475" i="1"/>
  <c r="A476" i="1"/>
  <c r="I476" i="1"/>
  <c r="A477" i="1"/>
  <c r="I477" i="1"/>
  <c r="A478" i="1"/>
  <c r="I478" i="1"/>
  <c r="A479" i="1"/>
  <c r="I479" i="1"/>
  <c r="A480" i="1"/>
  <c r="I480" i="1"/>
  <c r="A481" i="1"/>
  <c r="I481" i="1"/>
  <c r="A482" i="1"/>
  <c r="I482" i="1"/>
  <c r="A483" i="1"/>
  <c r="I483" i="1"/>
  <c r="A484" i="1"/>
  <c r="I484" i="1"/>
  <c r="A485" i="1"/>
  <c r="I485" i="1"/>
  <c r="A486" i="1"/>
  <c r="I486" i="1"/>
  <c r="A487" i="1"/>
  <c r="I487" i="1"/>
  <c r="A488" i="1"/>
  <c r="I488" i="1"/>
  <c r="A489" i="1"/>
  <c r="I489" i="1"/>
  <c r="A490" i="1"/>
  <c r="I490" i="1"/>
  <c r="A491" i="1"/>
  <c r="I491" i="1"/>
  <c r="A492" i="1"/>
  <c r="I492" i="1"/>
  <c r="A493" i="1"/>
  <c r="I493" i="1"/>
  <c r="A494" i="1"/>
  <c r="I494" i="1"/>
  <c r="A495" i="1"/>
  <c r="I495" i="1"/>
  <c r="A496" i="1"/>
  <c r="I496" i="1"/>
  <c r="A497" i="1"/>
  <c r="I497" i="1"/>
  <c r="A498" i="1"/>
  <c r="I498" i="1"/>
  <c r="A499" i="1"/>
  <c r="I499" i="1"/>
  <c r="A500" i="1"/>
  <c r="I500" i="1"/>
  <c r="A501" i="1"/>
  <c r="I501" i="1"/>
  <c r="A502" i="1"/>
  <c r="I502" i="1"/>
  <c r="A503" i="1"/>
  <c r="I503" i="1"/>
  <c r="A504" i="1"/>
  <c r="I504" i="1"/>
  <c r="A505" i="1"/>
  <c r="I505" i="1"/>
  <c r="A506" i="1"/>
  <c r="I506" i="1"/>
  <c r="A507" i="1"/>
  <c r="I507" i="1"/>
  <c r="A508" i="1"/>
  <c r="I508" i="1"/>
  <c r="A509" i="1"/>
  <c r="I509" i="1"/>
  <c r="A510" i="1"/>
  <c r="I510" i="1"/>
  <c r="A511" i="1"/>
  <c r="I511" i="1"/>
  <c r="A512" i="1"/>
  <c r="I512" i="1"/>
  <c r="A513" i="1"/>
  <c r="I513" i="1"/>
  <c r="A514" i="1"/>
  <c r="I514" i="1"/>
  <c r="A515" i="1"/>
  <c r="I515" i="1"/>
  <c r="A516" i="1"/>
  <c r="I516" i="1"/>
  <c r="A517" i="1"/>
  <c r="I517" i="1"/>
  <c r="A518" i="1"/>
  <c r="I518" i="1"/>
  <c r="A519" i="1"/>
  <c r="I519" i="1"/>
  <c r="A520" i="1"/>
  <c r="I520" i="1"/>
  <c r="A521" i="1"/>
  <c r="I521" i="1"/>
  <c r="A522" i="1"/>
  <c r="I522" i="1"/>
  <c r="A523" i="1"/>
  <c r="I523" i="1"/>
  <c r="A524" i="1"/>
  <c r="I524" i="1"/>
  <c r="A525" i="1"/>
  <c r="I525" i="1"/>
  <c r="A526" i="1"/>
  <c r="I526" i="1"/>
  <c r="A527" i="1"/>
  <c r="I527" i="1"/>
  <c r="A528" i="1"/>
  <c r="I528" i="1"/>
  <c r="A529" i="1"/>
  <c r="I529" i="1"/>
  <c r="A530" i="1"/>
  <c r="I530" i="1"/>
  <c r="A531" i="1"/>
  <c r="I531" i="1"/>
  <c r="A532" i="1"/>
  <c r="I532" i="1"/>
  <c r="A533" i="1"/>
  <c r="I533" i="1"/>
  <c r="A534" i="1"/>
  <c r="I534" i="1"/>
  <c r="A535" i="1"/>
  <c r="I535" i="1"/>
  <c r="A536" i="1"/>
  <c r="I536" i="1"/>
  <c r="A537" i="1"/>
  <c r="I537" i="1"/>
  <c r="A538" i="1"/>
  <c r="I538" i="1"/>
  <c r="A539" i="1"/>
  <c r="I539" i="1"/>
  <c r="A540" i="1"/>
  <c r="I540" i="1"/>
  <c r="A541" i="1"/>
  <c r="I541" i="1"/>
  <c r="A542" i="1"/>
  <c r="I542" i="1"/>
  <c r="A543" i="1"/>
  <c r="I543" i="1"/>
  <c r="A544" i="1"/>
  <c r="I544" i="1"/>
  <c r="A545" i="1"/>
  <c r="I545" i="1"/>
  <c r="A546" i="1"/>
  <c r="I546" i="1"/>
  <c r="A547" i="1"/>
  <c r="I547" i="1"/>
  <c r="A548" i="1"/>
  <c r="I548" i="1"/>
  <c r="A549" i="1"/>
  <c r="I549" i="1"/>
  <c r="A550" i="1"/>
  <c r="I550" i="1"/>
  <c r="A551" i="1"/>
  <c r="I551" i="1"/>
  <c r="A552" i="1"/>
  <c r="I552" i="1"/>
  <c r="A553" i="1"/>
  <c r="I553" i="1"/>
  <c r="A554" i="1"/>
  <c r="I554" i="1"/>
  <c r="A555" i="1"/>
  <c r="I555" i="1"/>
  <c r="A556" i="1"/>
  <c r="I556" i="1"/>
  <c r="A557" i="1"/>
  <c r="I557" i="1"/>
  <c r="A558" i="1"/>
  <c r="I558" i="1"/>
  <c r="A559" i="1"/>
  <c r="I559" i="1"/>
  <c r="A560" i="1"/>
  <c r="I560" i="1"/>
  <c r="A561" i="1"/>
  <c r="I561" i="1"/>
  <c r="A562" i="1"/>
  <c r="I562" i="1"/>
  <c r="A563" i="1"/>
  <c r="I563" i="1"/>
  <c r="A564" i="1"/>
  <c r="I564" i="1"/>
  <c r="A565" i="1"/>
  <c r="I565" i="1"/>
  <c r="A566" i="1"/>
  <c r="I566" i="1"/>
  <c r="A567" i="1"/>
  <c r="I567" i="1"/>
  <c r="A568" i="1"/>
  <c r="I568" i="1"/>
  <c r="A569" i="1"/>
  <c r="I569" i="1"/>
  <c r="A570" i="1"/>
  <c r="I570" i="1"/>
  <c r="A571" i="1"/>
  <c r="I571" i="1"/>
  <c r="A572" i="1"/>
  <c r="I572" i="1"/>
  <c r="A573" i="1"/>
  <c r="I573" i="1"/>
  <c r="A574" i="1"/>
  <c r="I574" i="1"/>
  <c r="A575" i="1"/>
  <c r="I575" i="1"/>
  <c r="A576" i="1"/>
  <c r="I576" i="1"/>
  <c r="A577" i="1"/>
  <c r="I577" i="1"/>
  <c r="A578" i="1"/>
  <c r="I578" i="1"/>
  <c r="A579" i="1"/>
  <c r="I579" i="1"/>
  <c r="A580" i="1"/>
  <c r="I580" i="1"/>
  <c r="A581" i="1"/>
  <c r="I581" i="1"/>
  <c r="A582" i="1"/>
  <c r="I582" i="1"/>
  <c r="A583" i="1"/>
  <c r="I583" i="1"/>
  <c r="A584" i="1"/>
  <c r="I584" i="1"/>
  <c r="A585" i="1"/>
  <c r="I585" i="1"/>
  <c r="A586" i="1"/>
  <c r="I586" i="1"/>
  <c r="A587" i="1"/>
  <c r="I587" i="1"/>
  <c r="A588" i="1"/>
  <c r="I588" i="1"/>
  <c r="A589" i="1"/>
  <c r="I589" i="1"/>
  <c r="A590" i="1"/>
  <c r="I590" i="1"/>
  <c r="A591" i="1"/>
  <c r="I591" i="1"/>
  <c r="A592" i="1"/>
  <c r="I592" i="1"/>
  <c r="A593" i="1"/>
  <c r="I593" i="1"/>
  <c r="A594" i="1"/>
  <c r="I594" i="1"/>
  <c r="A595" i="1"/>
  <c r="I595" i="1"/>
  <c r="A596" i="1"/>
  <c r="I596" i="1"/>
  <c r="A597" i="1"/>
  <c r="I597" i="1"/>
  <c r="A598" i="1"/>
  <c r="I598" i="1"/>
  <c r="A599" i="1"/>
  <c r="I599" i="1"/>
  <c r="A600" i="1"/>
  <c r="I600" i="1"/>
  <c r="A601" i="1"/>
  <c r="I601" i="1"/>
  <c r="A602" i="1"/>
  <c r="I602" i="1"/>
  <c r="A603" i="1"/>
  <c r="I603" i="1"/>
  <c r="A604" i="1"/>
  <c r="I604" i="1"/>
  <c r="A605" i="1"/>
  <c r="I605" i="1"/>
  <c r="A606" i="1"/>
  <c r="I606" i="1"/>
  <c r="A607" i="1"/>
  <c r="I607" i="1"/>
  <c r="A608" i="1"/>
  <c r="I608" i="1"/>
  <c r="A609" i="1"/>
  <c r="I609" i="1"/>
  <c r="A610" i="1"/>
  <c r="I610" i="1"/>
  <c r="A611" i="1"/>
  <c r="I611" i="1"/>
  <c r="A612" i="1"/>
  <c r="I612" i="1"/>
  <c r="A613" i="1"/>
  <c r="I613" i="1"/>
  <c r="A614" i="1"/>
  <c r="I614" i="1"/>
  <c r="A615" i="1"/>
  <c r="I615" i="1"/>
  <c r="A616" i="1"/>
  <c r="I616" i="1"/>
  <c r="A617" i="1"/>
  <c r="I617" i="1"/>
  <c r="A618" i="1"/>
  <c r="I618" i="1"/>
  <c r="A619" i="1"/>
  <c r="I619" i="1"/>
  <c r="A620" i="1"/>
  <c r="I620" i="1"/>
  <c r="A621" i="1"/>
  <c r="I621" i="1"/>
  <c r="A622" i="1"/>
  <c r="I622" i="1"/>
  <c r="A623" i="1"/>
  <c r="I623" i="1"/>
  <c r="A624" i="1"/>
  <c r="I624" i="1"/>
  <c r="A625" i="1"/>
  <c r="I625" i="1"/>
  <c r="A626" i="1"/>
  <c r="I626" i="1"/>
  <c r="A627" i="1"/>
  <c r="I627" i="1"/>
  <c r="A628" i="1"/>
  <c r="I628" i="1"/>
  <c r="A629" i="1"/>
  <c r="I629" i="1"/>
  <c r="A630" i="1"/>
  <c r="I630" i="1"/>
  <c r="A631" i="1"/>
  <c r="I631" i="1"/>
  <c r="A632" i="1"/>
  <c r="I632" i="1"/>
  <c r="A633" i="1"/>
  <c r="I633" i="1"/>
  <c r="A634" i="1"/>
  <c r="I634" i="1"/>
  <c r="A635" i="1"/>
  <c r="I635" i="1"/>
  <c r="A636" i="1"/>
  <c r="I636" i="1"/>
  <c r="A637" i="1"/>
  <c r="I637" i="1"/>
  <c r="A638" i="1"/>
  <c r="I638" i="1"/>
  <c r="A639" i="1"/>
  <c r="I639" i="1"/>
  <c r="A640" i="1"/>
  <c r="I640" i="1"/>
  <c r="A641" i="1"/>
  <c r="I641" i="1"/>
  <c r="A642" i="1"/>
  <c r="I642" i="1"/>
  <c r="A643" i="1"/>
  <c r="I643" i="1"/>
  <c r="A644" i="1"/>
  <c r="I644" i="1"/>
  <c r="A645" i="1"/>
  <c r="I645" i="1"/>
  <c r="A646" i="1"/>
  <c r="I646" i="1"/>
  <c r="A647" i="1"/>
  <c r="I647" i="1"/>
  <c r="A648" i="1"/>
  <c r="I648" i="1"/>
  <c r="A649" i="1"/>
  <c r="I649" i="1"/>
  <c r="A650" i="1"/>
  <c r="I650" i="1"/>
  <c r="A651" i="1"/>
  <c r="I651" i="1"/>
  <c r="A652" i="1"/>
  <c r="I652" i="1"/>
  <c r="A653" i="1"/>
  <c r="I653" i="1"/>
  <c r="A654" i="1"/>
  <c r="I654" i="1"/>
  <c r="A655" i="1"/>
  <c r="I655" i="1"/>
  <c r="A656" i="1"/>
  <c r="I656" i="1"/>
  <c r="A657" i="1"/>
  <c r="I657" i="1"/>
  <c r="A658" i="1"/>
  <c r="I658" i="1"/>
  <c r="A659" i="1"/>
  <c r="I659" i="1"/>
  <c r="A660" i="1"/>
  <c r="I660" i="1"/>
  <c r="A661" i="1"/>
  <c r="I661" i="1"/>
  <c r="A662" i="1"/>
  <c r="I662" i="1"/>
  <c r="A663" i="1"/>
  <c r="I663" i="1"/>
  <c r="A664" i="1"/>
  <c r="I664" i="1"/>
  <c r="A665" i="1"/>
  <c r="I665" i="1"/>
  <c r="A666" i="1"/>
  <c r="I666" i="1"/>
  <c r="A667" i="1"/>
  <c r="I667" i="1"/>
  <c r="A668" i="1"/>
  <c r="I668" i="1"/>
  <c r="A669" i="1"/>
  <c r="I669" i="1"/>
  <c r="A670" i="1"/>
  <c r="I670" i="1"/>
  <c r="A671" i="1"/>
  <c r="I671" i="1"/>
  <c r="A672" i="1"/>
  <c r="I672" i="1"/>
  <c r="A673" i="1"/>
  <c r="I673" i="1"/>
  <c r="A674" i="1"/>
  <c r="I674" i="1"/>
  <c r="A675" i="1"/>
  <c r="I675" i="1"/>
  <c r="A676" i="1"/>
  <c r="I676" i="1"/>
  <c r="A677" i="1"/>
  <c r="I677" i="1"/>
  <c r="A678" i="1"/>
  <c r="I678" i="1"/>
  <c r="A679" i="1"/>
  <c r="I679" i="1"/>
  <c r="A680" i="1"/>
  <c r="I680" i="1"/>
  <c r="A681" i="1"/>
  <c r="I681" i="1"/>
  <c r="A682" i="1"/>
  <c r="I682" i="1"/>
  <c r="A683" i="1"/>
  <c r="I683" i="1"/>
  <c r="A684" i="1"/>
  <c r="I684" i="1"/>
  <c r="A685" i="1"/>
  <c r="I685" i="1"/>
  <c r="A686" i="1"/>
  <c r="I686" i="1"/>
  <c r="A687" i="1"/>
  <c r="I687" i="1"/>
  <c r="A688" i="1"/>
  <c r="I688" i="1"/>
  <c r="A689" i="1"/>
  <c r="I689" i="1"/>
  <c r="A690" i="1"/>
  <c r="I690" i="1"/>
  <c r="A691" i="1"/>
  <c r="I691" i="1"/>
  <c r="A692" i="1"/>
  <c r="I692" i="1"/>
  <c r="A693" i="1"/>
  <c r="I693" i="1"/>
  <c r="A694" i="1"/>
  <c r="I694" i="1"/>
  <c r="A695" i="1"/>
  <c r="I695" i="1"/>
  <c r="A696" i="1"/>
  <c r="I696" i="1"/>
  <c r="A697" i="1"/>
  <c r="I697" i="1"/>
  <c r="A698" i="1"/>
  <c r="I698" i="1"/>
  <c r="A699" i="1"/>
  <c r="I699" i="1"/>
  <c r="A700" i="1"/>
  <c r="I700" i="1"/>
  <c r="A701" i="1"/>
  <c r="I701" i="1"/>
  <c r="A702" i="1"/>
  <c r="I702" i="1"/>
  <c r="A703" i="1"/>
  <c r="I703" i="1"/>
  <c r="A704" i="1"/>
  <c r="I704" i="1"/>
  <c r="A705" i="1"/>
  <c r="I705" i="1"/>
  <c r="A706" i="1"/>
  <c r="I706" i="1"/>
  <c r="A707" i="1"/>
  <c r="I707" i="1"/>
  <c r="A708" i="1"/>
  <c r="I708" i="1"/>
  <c r="A709" i="1"/>
  <c r="I709" i="1"/>
  <c r="A710" i="1"/>
  <c r="I710" i="1"/>
  <c r="A711" i="1"/>
  <c r="I711" i="1"/>
  <c r="A712" i="1"/>
  <c r="I712" i="1"/>
  <c r="A713" i="1"/>
  <c r="I713" i="1"/>
  <c r="A714" i="1"/>
  <c r="I714" i="1"/>
  <c r="A715" i="1"/>
  <c r="I715" i="1"/>
  <c r="A716" i="1"/>
  <c r="I716" i="1"/>
  <c r="A717" i="1"/>
  <c r="I717" i="1"/>
  <c r="A718" i="1"/>
  <c r="I718" i="1"/>
  <c r="A719" i="1"/>
  <c r="I719" i="1"/>
  <c r="A720" i="1"/>
  <c r="I720" i="1"/>
  <c r="A721" i="1"/>
  <c r="I721" i="1"/>
  <c r="A722" i="1"/>
  <c r="I722" i="1"/>
  <c r="A723" i="1"/>
  <c r="I723" i="1"/>
  <c r="A724" i="1"/>
  <c r="I724" i="1"/>
  <c r="A725" i="1"/>
  <c r="I725" i="1"/>
  <c r="A726" i="1"/>
  <c r="I726" i="1"/>
  <c r="A727" i="1"/>
  <c r="I727" i="1"/>
  <c r="A728" i="1"/>
  <c r="I728" i="1"/>
  <c r="A729" i="1"/>
  <c r="I729" i="1"/>
  <c r="A730" i="1"/>
  <c r="I730" i="1"/>
  <c r="A731" i="1"/>
  <c r="I731" i="1"/>
  <c r="A732" i="1"/>
  <c r="I732" i="1"/>
  <c r="A733" i="1"/>
  <c r="I733" i="1"/>
  <c r="A734" i="1"/>
  <c r="I734" i="1"/>
  <c r="A735" i="1"/>
  <c r="I735" i="1"/>
  <c r="A736" i="1"/>
  <c r="I736" i="1"/>
  <c r="A737" i="1"/>
  <c r="I737" i="1"/>
  <c r="A738" i="1"/>
  <c r="I738" i="1"/>
  <c r="A739" i="1"/>
  <c r="I739" i="1"/>
  <c r="A740" i="1"/>
  <c r="I740" i="1"/>
  <c r="A741" i="1"/>
  <c r="I741" i="1"/>
  <c r="A742" i="1"/>
  <c r="I742" i="1"/>
  <c r="A743" i="1"/>
  <c r="I743" i="1"/>
  <c r="A744" i="1"/>
  <c r="I744" i="1"/>
  <c r="A745" i="1"/>
  <c r="I745" i="1"/>
  <c r="A746" i="1"/>
  <c r="I746" i="1"/>
  <c r="A747" i="1"/>
  <c r="I747" i="1"/>
  <c r="A748" i="1"/>
  <c r="I748" i="1"/>
  <c r="A749" i="1"/>
  <c r="I749" i="1"/>
  <c r="A750" i="1"/>
  <c r="I750" i="1"/>
  <c r="A751" i="1"/>
  <c r="I751" i="1"/>
  <c r="A752" i="1"/>
  <c r="I752" i="1"/>
  <c r="A753" i="1"/>
  <c r="I753" i="1"/>
  <c r="A754" i="1"/>
  <c r="I754" i="1"/>
  <c r="A755" i="1"/>
  <c r="I755" i="1"/>
  <c r="A756" i="1"/>
  <c r="I756" i="1"/>
  <c r="A757" i="1"/>
  <c r="I757" i="1"/>
  <c r="A758" i="1"/>
  <c r="I758" i="1"/>
  <c r="A759" i="1"/>
  <c r="I759" i="1"/>
  <c r="A760" i="1"/>
  <c r="I760" i="1"/>
  <c r="A761" i="1"/>
  <c r="I761" i="1"/>
  <c r="A762" i="1"/>
  <c r="I762" i="1"/>
  <c r="A763" i="1"/>
  <c r="I763" i="1"/>
  <c r="A764" i="1"/>
  <c r="I764" i="1"/>
  <c r="A765" i="1"/>
  <c r="I765" i="1"/>
  <c r="A766" i="1"/>
  <c r="I766" i="1"/>
  <c r="A767" i="1"/>
  <c r="I767" i="1"/>
  <c r="A768" i="1"/>
  <c r="I768" i="1"/>
  <c r="A769" i="1"/>
  <c r="I769" i="1"/>
  <c r="A770" i="1"/>
  <c r="I770" i="1"/>
  <c r="A771" i="1"/>
  <c r="I771" i="1"/>
  <c r="A772" i="1"/>
  <c r="I772" i="1"/>
  <c r="A773" i="1"/>
  <c r="I773" i="1"/>
  <c r="A774" i="1"/>
  <c r="I774" i="1"/>
  <c r="A775" i="1"/>
  <c r="I775" i="1"/>
  <c r="A776" i="1"/>
  <c r="I776" i="1"/>
  <c r="A777" i="1"/>
  <c r="I777" i="1"/>
  <c r="A778" i="1"/>
  <c r="I778" i="1"/>
  <c r="A779" i="1"/>
  <c r="I779" i="1"/>
  <c r="A780" i="1"/>
  <c r="I780" i="1"/>
  <c r="A781" i="1"/>
  <c r="I781" i="1"/>
  <c r="A782" i="1"/>
  <c r="I782" i="1"/>
  <c r="A783" i="1"/>
  <c r="I783" i="1"/>
  <c r="A784" i="1"/>
  <c r="I784" i="1"/>
  <c r="A785" i="1"/>
  <c r="I785" i="1"/>
  <c r="A786" i="1"/>
  <c r="I786" i="1"/>
  <c r="A787" i="1"/>
  <c r="I787" i="1"/>
  <c r="A788" i="1"/>
  <c r="I788" i="1"/>
  <c r="A789" i="1"/>
  <c r="I789" i="1"/>
  <c r="A790" i="1"/>
  <c r="I790" i="1"/>
  <c r="A791" i="1"/>
  <c r="I791" i="1"/>
  <c r="A792" i="1"/>
  <c r="I792" i="1"/>
  <c r="A793" i="1"/>
  <c r="I793" i="1"/>
  <c r="A794" i="1"/>
  <c r="I794" i="1"/>
  <c r="A795" i="1"/>
  <c r="I795" i="1"/>
  <c r="A796" i="1"/>
  <c r="I796" i="1"/>
  <c r="A797" i="1"/>
  <c r="I797" i="1"/>
  <c r="A798" i="1"/>
  <c r="I798" i="1"/>
  <c r="A799" i="1"/>
  <c r="I799" i="1"/>
  <c r="A800" i="1"/>
  <c r="I800" i="1"/>
  <c r="A801" i="1"/>
  <c r="I801" i="1"/>
  <c r="A802" i="1"/>
  <c r="I802" i="1"/>
  <c r="A803" i="1"/>
  <c r="I803" i="1"/>
  <c r="A804" i="1"/>
  <c r="I804" i="1"/>
  <c r="A805" i="1"/>
  <c r="I805" i="1"/>
  <c r="A806" i="1"/>
  <c r="I806" i="1"/>
  <c r="A807" i="1"/>
  <c r="I807" i="1"/>
  <c r="A808" i="1"/>
  <c r="I808" i="1"/>
  <c r="A809" i="1"/>
  <c r="I809" i="1"/>
  <c r="A810" i="1"/>
  <c r="I810" i="1"/>
  <c r="A811" i="1"/>
  <c r="I811" i="1"/>
  <c r="A812" i="1"/>
  <c r="I812" i="1"/>
  <c r="A813" i="1"/>
  <c r="I813" i="1"/>
  <c r="A814" i="1"/>
  <c r="I814" i="1"/>
  <c r="A815" i="1"/>
  <c r="I815" i="1"/>
  <c r="A816" i="1"/>
  <c r="I816" i="1"/>
  <c r="A817" i="1"/>
  <c r="I817" i="1"/>
  <c r="A818" i="1"/>
  <c r="I818" i="1"/>
  <c r="A819" i="1"/>
  <c r="I819" i="1"/>
  <c r="A820" i="1"/>
  <c r="I820" i="1"/>
  <c r="A821" i="1"/>
  <c r="I821" i="1"/>
  <c r="A822" i="1"/>
  <c r="I822" i="1"/>
  <c r="A823" i="1"/>
  <c r="I823" i="1"/>
  <c r="A824" i="1"/>
  <c r="I824" i="1"/>
  <c r="A825" i="1"/>
  <c r="I825" i="1"/>
  <c r="A826" i="1"/>
  <c r="I826" i="1"/>
  <c r="A827" i="1"/>
  <c r="I827" i="1"/>
  <c r="A828" i="1"/>
  <c r="I828" i="1"/>
  <c r="A829" i="1"/>
  <c r="I829" i="1"/>
  <c r="A830" i="1"/>
  <c r="I830" i="1"/>
  <c r="A831" i="1"/>
  <c r="I831" i="1"/>
  <c r="A832" i="1"/>
  <c r="I832" i="1"/>
  <c r="A833" i="1"/>
  <c r="I833" i="1"/>
  <c r="A834" i="1"/>
  <c r="I834" i="1"/>
  <c r="A835" i="1"/>
  <c r="I835" i="1"/>
  <c r="A836" i="1"/>
  <c r="I836" i="1"/>
  <c r="A837" i="1"/>
  <c r="I837" i="1"/>
  <c r="A838" i="1"/>
  <c r="I838" i="1"/>
  <c r="A839" i="1"/>
  <c r="I839" i="1"/>
  <c r="A840" i="1"/>
  <c r="I840" i="1"/>
  <c r="A841" i="1"/>
  <c r="I841" i="1"/>
  <c r="A842" i="1"/>
  <c r="I842" i="1"/>
  <c r="A843" i="1"/>
  <c r="I843" i="1"/>
  <c r="A844" i="1"/>
  <c r="I844" i="1"/>
  <c r="A845" i="1"/>
  <c r="I845" i="1"/>
  <c r="A846" i="1"/>
  <c r="I846" i="1"/>
  <c r="A847" i="1"/>
  <c r="I847" i="1"/>
  <c r="A848" i="1"/>
  <c r="I848" i="1"/>
  <c r="A849" i="1"/>
  <c r="I849" i="1"/>
  <c r="A850" i="1"/>
  <c r="I850" i="1"/>
  <c r="A851" i="1"/>
  <c r="I851" i="1"/>
  <c r="A852" i="1"/>
  <c r="I852" i="1"/>
  <c r="A853" i="1"/>
  <c r="I853" i="1"/>
  <c r="A854" i="1"/>
  <c r="I854" i="1"/>
  <c r="A855" i="1"/>
  <c r="I855" i="1"/>
  <c r="A856" i="1"/>
  <c r="I856" i="1"/>
  <c r="A857" i="1"/>
  <c r="I857" i="1"/>
  <c r="A858" i="1"/>
  <c r="I858" i="1"/>
  <c r="A859" i="1"/>
  <c r="I859" i="1"/>
  <c r="A860" i="1"/>
  <c r="I860" i="1"/>
  <c r="A861" i="1"/>
  <c r="I861" i="1"/>
  <c r="A862" i="1"/>
  <c r="I862" i="1"/>
  <c r="A863" i="1"/>
  <c r="I863" i="1"/>
  <c r="A864" i="1"/>
  <c r="I864" i="1"/>
  <c r="A865" i="1"/>
  <c r="I865" i="1"/>
  <c r="A866" i="1"/>
  <c r="I866" i="1"/>
  <c r="A867" i="1"/>
  <c r="I867" i="1"/>
  <c r="A868" i="1"/>
  <c r="I868" i="1"/>
  <c r="A869" i="1"/>
  <c r="I869" i="1"/>
  <c r="A870" i="1"/>
  <c r="I870" i="1"/>
  <c r="A871" i="1"/>
  <c r="I871" i="1"/>
  <c r="A872" i="1"/>
  <c r="I872" i="1"/>
  <c r="A873" i="1"/>
  <c r="I873" i="1"/>
  <c r="A874" i="1"/>
  <c r="I874" i="1"/>
  <c r="A875" i="1"/>
  <c r="I875" i="1"/>
  <c r="A876" i="1"/>
  <c r="I876" i="1"/>
  <c r="A877" i="1"/>
  <c r="I877" i="1"/>
  <c r="A878" i="1"/>
  <c r="I878" i="1"/>
  <c r="A879" i="1"/>
  <c r="I879" i="1"/>
  <c r="A880" i="1"/>
  <c r="I880" i="1"/>
  <c r="A881" i="1"/>
  <c r="I881" i="1"/>
  <c r="A882" i="1"/>
  <c r="I882" i="1"/>
  <c r="A883" i="1"/>
  <c r="I883" i="1"/>
  <c r="A884" i="1"/>
  <c r="I884" i="1"/>
  <c r="A885" i="1"/>
  <c r="I885" i="1"/>
  <c r="A886" i="1"/>
  <c r="I886" i="1"/>
  <c r="A887" i="1"/>
  <c r="I887" i="1"/>
  <c r="A888" i="1"/>
  <c r="I888" i="1"/>
  <c r="A889" i="1"/>
  <c r="I889" i="1"/>
  <c r="A890" i="1"/>
  <c r="I890" i="1"/>
  <c r="A891" i="1"/>
  <c r="I891" i="1"/>
  <c r="A892" i="1"/>
  <c r="I892" i="1"/>
  <c r="A893" i="1"/>
  <c r="I893" i="1"/>
  <c r="A894" i="1"/>
  <c r="I894" i="1"/>
  <c r="A895" i="1"/>
  <c r="I895" i="1"/>
  <c r="A896" i="1"/>
  <c r="I896" i="1"/>
  <c r="A897" i="1"/>
  <c r="I897" i="1"/>
  <c r="A898" i="1"/>
  <c r="I898" i="1"/>
  <c r="A899" i="1"/>
  <c r="I899" i="1"/>
  <c r="A900" i="1"/>
  <c r="I900" i="1"/>
  <c r="A901" i="1"/>
  <c r="I901" i="1"/>
  <c r="A902" i="1"/>
  <c r="I902" i="1"/>
  <c r="A903" i="1"/>
  <c r="I903" i="1"/>
  <c r="A904" i="1"/>
  <c r="I904" i="1"/>
  <c r="A905" i="1"/>
  <c r="I905" i="1"/>
  <c r="A906" i="1"/>
  <c r="I906" i="1"/>
  <c r="A907" i="1"/>
  <c r="I907" i="1"/>
  <c r="A908" i="1"/>
  <c r="I908" i="1"/>
  <c r="A909" i="1"/>
  <c r="I909" i="1"/>
  <c r="A910" i="1"/>
  <c r="I910" i="1"/>
  <c r="A911" i="1"/>
  <c r="I911" i="1"/>
  <c r="A912" i="1"/>
  <c r="I912" i="1"/>
  <c r="A913" i="1"/>
  <c r="I913" i="1"/>
  <c r="A914" i="1"/>
  <c r="I914" i="1"/>
  <c r="A915" i="1"/>
  <c r="I915" i="1"/>
  <c r="A916" i="1"/>
  <c r="I916" i="1"/>
  <c r="A917" i="1"/>
  <c r="I917" i="1"/>
  <c r="A918" i="1"/>
  <c r="I918" i="1"/>
  <c r="A919" i="1"/>
  <c r="I919" i="1"/>
  <c r="A920" i="1"/>
  <c r="I920" i="1"/>
  <c r="A921" i="1"/>
  <c r="I921" i="1"/>
  <c r="A922" i="1"/>
  <c r="I922" i="1"/>
  <c r="A923" i="1"/>
  <c r="I923" i="1"/>
  <c r="A924" i="1"/>
  <c r="I924" i="1"/>
  <c r="A925" i="1"/>
  <c r="I925" i="1"/>
  <c r="A926" i="1"/>
  <c r="I926" i="1"/>
  <c r="A927" i="1"/>
  <c r="I927" i="1"/>
  <c r="A928" i="1"/>
  <c r="I928" i="1"/>
  <c r="A929" i="1"/>
  <c r="I929" i="1"/>
  <c r="A930" i="1"/>
  <c r="I930" i="1"/>
  <c r="A931" i="1"/>
  <c r="I931" i="1"/>
  <c r="A932" i="1"/>
  <c r="I932" i="1"/>
  <c r="A933" i="1"/>
  <c r="I933" i="1"/>
  <c r="A934" i="1"/>
  <c r="I934" i="1"/>
  <c r="A935" i="1"/>
  <c r="I935" i="1"/>
  <c r="A936" i="1"/>
  <c r="I936" i="1"/>
  <c r="A937" i="1"/>
  <c r="I937" i="1"/>
  <c r="A938" i="1"/>
  <c r="I938" i="1"/>
  <c r="A939" i="1"/>
  <c r="I939" i="1"/>
  <c r="A940" i="1"/>
  <c r="I940" i="1"/>
  <c r="A941" i="1"/>
  <c r="I941" i="1"/>
  <c r="A942" i="1"/>
  <c r="I942" i="1"/>
  <c r="A943" i="1"/>
  <c r="I943" i="1"/>
  <c r="A944" i="1"/>
  <c r="I944" i="1"/>
  <c r="A945" i="1"/>
  <c r="I945" i="1"/>
  <c r="A946" i="1"/>
  <c r="I946" i="1"/>
  <c r="A947" i="1"/>
  <c r="I947" i="1"/>
  <c r="A948" i="1"/>
  <c r="I948" i="1"/>
  <c r="A949" i="1"/>
  <c r="I949" i="1"/>
  <c r="A950" i="1"/>
  <c r="I950" i="1"/>
  <c r="A951" i="1"/>
  <c r="I951" i="1"/>
  <c r="A952" i="1"/>
  <c r="I952" i="1"/>
  <c r="A953" i="1"/>
  <c r="I953" i="1"/>
  <c r="A954" i="1"/>
  <c r="I954" i="1"/>
  <c r="A955" i="1"/>
  <c r="I955" i="1"/>
  <c r="A956" i="1"/>
  <c r="I956" i="1"/>
  <c r="A957" i="1"/>
  <c r="I957" i="1"/>
  <c r="A958" i="1"/>
  <c r="I958" i="1"/>
  <c r="A959" i="1"/>
  <c r="I959" i="1"/>
  <c r="A960" i="1"/>
  <c r="I960" i="1"/>
  <c r="A961" i="1"/>
  <c r="I961" i="1"/>
  <c r="A962" i="1"/>
  <c r="I962" i="1"/>
  <c r="A963" i="1"/>
  <c r="I963" i="1"/>
  <c r="A964" i="1"/>
  <c r="I964" i="1"/>
  <c r="A965" i="1"/>
  <c r="I965" i="1"/>
  <c r="A966" i="1"/>
  <c r="I966" i="1"/>
  <c r="A967" i="1"/>
  <c r="I967" i="1"/>
  <c r="A968" i="1"/>
  <c r="I968" i="1"/>
  <c r="A969" i="1"/>
  <c r="I969" i="1"/>
  <c r="A970" i="1"/>
  <c r="I970" i="1"/>
  <c r="A971" i="1"/>
  <c r="I971" i="1"/>
  <c r="A972" i="1"/>
  <c r="I972" i="1"/>
  <c r="A973" i="1"/>
  <c r="I973" i="1"/>
  <c r="A974" i="1"/>
  <c r="I974" i="1"/>
  <c r="A975" i="1"/>
  <c r="I975" i="1"/>
  <c r="A976" i="1"/>
  <c r="I976" i="1"/>
  <c r="A977" i="1"/>
  <c r="I977" i="1"/>
  <c r="A978" i="1"/>
  <c r="I978" i="1"/>
  <c r="A979" i="1"/>
  <c r="I979" i="1"/>
  <c r="A980" i="1"/>
  <c r="I980" i="1"/>
  <c r="A981" i="1"/>
  <c r="I981" i="1"/>
  <c r="A982" i="1"/>
  <c r="I982" i="1"/>
  <c r="A983" i="1"/>
  <c r="I983" i="1"/>
  <c r="A984" i="1"/>
  <c r="I984" i="1"/>
  <c r="A985" i="1"/>
  <c r="I985" i="1"/>
  <c r="A986" i="1"/>
  <c r="I986" i="1"/>
  <c r="A987" i="1"/>
  <c r="I987" i="1"/>
  <c r="A988" i="1"/>
  <c r="I988" i="1"/>
  <c r="A989" i="1"/>
  <c r="I989" i="1"/>
  <c r="A990" i="1"/>
  <c r="I990" i="1"/>
  <c r="A991" i="1"/>
  <c r="I991" i="1"/>
  <c r="A992" i="1"/>
  <c r="I992" i="1"/>
  <c r="A993" i="1"/>
  <c r="I993" i="1"/>
  <c r="A994" i="1"/>
  <c r="I994" i="1"/>
  <c r="A995" i="1"/>
  <c r="I995" i="1"/>
  <c r="A996" i="1"/>
  <c r="I996" i="1"/>
  <c r="A997" i="1"/>
  <c r="I997" i="1"/>
  <c r="A998" i="1"/>
  <c r="I998" i="1"/>
  <c r="A999" i="1"/>
  <c r="I999" i="1"/>
  <c r="A1000" i="1"/>
  <c r="I1000" i="1"/>
  <c r="A1001" i="1"/>
  <c r="I1001" i="1"/>
  <c r="A1002" i="1"/>
  <c r="I1002" i="1"/>
  <c r="A1003" i="1"/>
  <c r="I1003" i="1"/>
  <c r="A1004" i="1"/>
  <c r="I1004" i="1"/>
  <c r="A1005" i="1"/>
  <c r="I1005" i="1"/>
  <c r="A1006" i="1"/>
  <c r="I1006" i="1"/>
  <c r="A1007" i="1"/>
  <c r="I1007" i="1"/>
  <c r="A1008" i="1"/>
  <c r="I1008" i="1"/>
  <c r="A1009" i="1"/>
  <c r="I1009" i="1"/>
  <c r="A1010" i="1"/>
  <c r="I1010" i="1"/>
  <c r="A1011" i="1"/>
  <c r="I1011" i="1"/>
  <c r="A1012" i="1"/>
  <c r="I1012" i="1"/>
  <c r="A1013" i="1"/>
  <c r="I1013" i="1"/>
  <c r="A1014" i="1"/>
  <c r="I1014" i="1"/>
  <c r="A1015" i="1"/>
  <c r="I1015" i="1"/>
  <c r="A1016" i="1"/>
  <c r="I1016" i="1"/>
  <c r="A1017" i="1"/>
  <c r="I1017" i="1"/>
  <c r="A1018" i="1"/>
  <c r="I1018" i="1"/>
  <c r="A1019" i="1"/>
  <c r="I1019" i="1"/>
  <c r="A1020" i="1"/>
  <c r="I1020" i="1"/>
  <c r="A1021" i="1"/>
  <c r="I1021" i="1"/>
  <c r="A1022" i="1"/>
  <c r="I1022" i="1"/>
  <c r="A1023" i="1"/>
  <c r="I1023" i="1"/>
  <c r="A1024" i="1"/>
  <c r="I1024" i="1"/>
  <c r="A1025" i="1"/>
  <c r="I1025" i="1"/>
  <c r="A1026" i="1"/>
  <c r="I1026" i="1"/>
  <c r="A1027" i="1"/>
  <c r="I1027" i="1"/>
  <c r="A1028" i="1"/>
  <c r="I1028" i="1"/>
  <c r="A1029" i="1"/>
  <c r="I1029" i="1"/>
  <c r="A1030" i="1"/>
  <c r="I1030" i="1"/>
  <c r="A1031" i="1"/>
  <c r="I1031" i="1"/>
  <c r="A1032" i="1"/>
  <c r="I1032" i="1"/>
  <c r="A1033" i="1"/>
  <c r="I1033" i="1"/>
  <c r="A1034" i="1"/>
  <c r="I1034" i="1"/>
  <c r="A1035" i="1"/>
  <c r="I1035" i="1"/>
  <c r="A1036" i="1"/>
  <c r="I1036" i="1"/>
  <c r="A1037" i="1"/>
  <c r="I1037" i="1"/>
  <c r="A1038" i="1"/>
  <c r="I1038" i="1"/>
  <c r="A1039" i="1"/>
  <c r="I1039" i="1"/>
  <c r="A1040" i="1"/>
  <c r="I1040" i="1"/>
  <c r="A1041" i="1"/>
  <c r="I1041" i="1"/>
  <c r="A1042" i="1"/>
  <c r="I1042" i="1"/>
  <c r="A1043" i="1"/>
  <c r="I1043" i="1"/>
  <c r="A1044" i="1"/>
  <c r="I1044" i="1"/>
  <c r="A1045" i="1"/>
  <c r="I1045" i="1"/>
  <c r="A1046" i="1"/>
  <c r="I1046" i="1"/>
  <c r="A1047" i="1"/>
  <c r="I1047" i="1"/>
  <c r="A1048" i="1"/>
  <c r="I1048" i="1"/>
  <c r="A1049" i="1"/>
  <c r="I1049" i="1"/>
  <c r="A1050" i="1"/>
  <c r="I1050" i="1"/>
  <c r="A1051" i="1"/>
  <c r="I1051" i="1"/>
  <c r="A1052" i="1"/>
  <c r="I1052" i="1"/>
  <c r="A1053" i="1"/>
  <c r="I1053" i="1"/>
  <c r="A1054" i="1"/>
  <c r="I1054" i="1"/>
  <c r="A1055" i="1"/>
  <c r="I1055" i="1"/>
  <c r="A1056" i="1"/>
  <c r="I1056" i="1"/>
  <c r="A1057" i="1"/>
  <c r="I1057" i="1"/>
  <c r="A1058" i="1"/>
  <c r="I1058" i="1"/>
  <c r="A1059" i="1"/>
  <c r="I1059" i="1"/>
  <c r="A1060" i="1"/>
  <c r="I1060" i="1"/>
  <c r="A1061" i="1"/>
  <c r="I1061" i="1"/>
  <c r="A1062" i="1"/>
  <c r="I1062" i="1"/>
  <c r="A1063" i="1"/>
  <c r="I1063" i="1"/>
  <c r="A1064" i="1"/>
  <c r="I1064" i="1"/>
  <c r="A1065" i="1"/>
  <c r="I1065" i="1"/>
  <c r="A1066" i="1"/>
  <c r="I1066" i="1"/>
  <c r="A1067" i="1"/>
  <c r="I1067" i="1"/>
  <c r="A1068" i="1"/>
  <c r="I1068" i="1"/>
  <c r="A1069" i="1"/>
  <c r="I1069" i="1"/>
  <c r="A1070" i="1"/>
  <c r="I1070" i="1"/>
  <c r="A1071" i="1"/>
  <c r="I1071" i="1"/>
  <c r="A1072" i="1"/>
  <c r="I1072" i="1"/>
  <c r="A1073" i="1"/>
  <c r="I1073" i="1"/>
  <c r="A1074" i="1"/>
  <c r="I1074" i="1"/>
  <c r="A1075" i="1"/>
  <c r="I1075" i="1"/>
  <c r="A1076" i="1"/>
  <c r="I1076" i="1"/>
  <c r="A1077" i="1"/>
  <c r="I1077" i="1"/>
  <c r="A1078" i="1"/>
  <c r="I1078" i="1"/>
  <c r="A1079" i="1"/>
  <c r="I1079" i="1"/>
  <c r="A1080" i="1"/>
  <c r="I1080" i="1"/>
  <c r="A1081" i="1"/>
  <c r="I1081" i="1"/>
  <c r="A1082" i="1"/>
  <c r="I1082" i="1"/>
  <c r="A1083" i="1"/>
  <c r="I1083" i="1"/>
  <c r="A1084" i="1"/>
  <c r="I1084" i="1"/>
  <c r="A1085" i="1"/>
  <c r="I1085" i="1"/>
  <c r="A1086" i="1"/>
  <c r="I1086" i="1"/>
  <c r="A1087" i="1"/>
  <c r="I1087" i="1"/>
  <c r="A1088" i="1"/>
  <c r="I1088" i="1"/>
  <c r="A1089" i="1"/>
  <c r="I1089" i="1"/>
  <c r="A1090" i="1"/>
  <c r="I1090" i="1"/>
  <c r="A1091" i="1"/>
  <c r="I1091" i="1"/>
  <c r="A1092" i="1"/>
  <c r="I1092" i="1"/>
  <c r="A1093" i="1"/>
  <c r="I1093" i="1"/>
  <c r="A1094" i="1"/>
  <c r="I1094" i="1"/>
  <c r="A1095" i="1"/>
  <c r="I1095" i="1"/>
  <c r="A1096" i="1"/>
  <c r="I1096" i="1"/>
  <c r="A1097" i="1"/>
  <c r="I1097" i="1"/>
  <c r="A1098" i="1"/>
  <c r="I1098" i="1"/>
  <c r="A1099" i="1"/>
  <c r="I1099" i="1"/>
  <c r="A1100" i="1"/>
  <c r="I1100" i="1"/>
  <c r="A1101" i="1"/>
  <c r="I1101" i="1"/>
  <c r="A1102" i="1"/>
  <c r="I1102" i="1"/>
  <c r="A1103" i="1"/>
  <c r="I1103" i="1"/>
  <c r="A1104" i="1"/>
  <c r="I1104" i="1"/>
  <c r="A1105" i="1"/>
  <c r="I1105" i="1"/>
  <c r="A1106" i="1"/>
  <c r="I1106" i="1"/>
  <c r="A1107" i="1"/>
  <c r="I1107" i="1"/>
  <c r="A1108" i="1"/>
  <c r="I1108" i="1"/>
  <c r="A1109" i="1"/>
  <c r="I1109" i="1"/>
  <c r="A1110" i="1"/>
  <c r="I1110" i="1"/>
  <c r="A1111" i="1"/>
  <c r="I1111" i="1"/>
  <c r="A1112" i="1"/>
  <c r="I1112" i="1"/>
  <c r="A1113" i="1"/>
  <c r="I1113" i="1"/>
  <c r="A1114" i="1"/>
  <c r="I1114" i="1"/>
  <c r="A1115" i="1"/>
  <c r="I1115" i="1"/>
  <c r="A1116" i="1"/>
  <c r="I1116" i="1"/>
  <c r="A1117" i="1"/>
  <c r="I1117" i="1"/>
  <c r="A1118" i="1"/>
  <c r="I1118" i="1"/>
  <c r="A1119" i="1"/>
  <c r="I1119" i="1"/>
  <c r="A1120" i="1"/>
  <c r="I1120" i="1"/>
  <c r="A1121" i="1"/>
  <c r="I1121" i="1"/>
  <c r="A1122" i="1"/>
  <c r="I1122" i="1"/>
  <c r="A1123" i="1"/>
  <c r="I1123" i="1"/>
  <c r="A1124" i="1"/>
  <c r="I1124" i="1"/>
  <c r="A1125" i="1"/>
  <c r="I1125" i="1"/>
  <c r="A1126" i="1"/>
  <c r="I1126" i="1"/>
  <c r="A1127" i="1"/>
  <c r="I1127" i="1"/>
  <c r="A1128" i="1"/>
  <c r="I1128" i="1"/>
  <c r="A1129" i="1"/>
  <c r="I1129" i="1"/>
  <c r="A1130" i="1"/>
  <c r="I1130" i="1"/>
  <c r="A1131" i="1"/>
  <c r="I1131" i="1"/>
  <c r="A1132" i="1"/>
  <c r="I1132" i="1"/>
  <c r="A1133" i="1"/>
  <c r="I1133" i="1"/>
  <c r="A1134" i="1"/>
  <c r="I1134" i="1"/>
  <c r="A1135" i="1"/>
  <c r="I1135" i="1"/>
  <c r="A1136" i="1"/>
  <c r="I1136" i="1"/>
  <c r="A1137" i="1"/>
  <c r="I1137" i="1"/>
  <c r="A1138" i="1"/>
  <c r="I1138" i="1"/>
  <c r="A1139" i="1"/>
  <c r="I1139" i="1"/>
  <c r="A1140" i="1"/>
  <c r="I1140" i="1"/>
  <c r="A1141" i="1"/>
  <c r="I1141" i="1"/>
  <c r="A1142" i="1"/>
  <c r="I1142" i="1"/>
  <c r="A1143" i="1"/>
  <c r="I1143" i="1"/>
  <c r="A1144" i="1"/>
  <c r="I1144" i="1"/>
  <c r="A1145" i="1"/>
  <c r="I1145" i="1"/>
  <c r="A1146" i="1"/>
  <c r="I1146" i="1"/>
  <c r="A1147" i="1"/>
  <c r="I1147" i="1"/>
  <c r="A1148" i="1"/>
  <c r="I1148" i="1"/>
  <c r="A1149" i="1"/>
  <c r="I1149" i="1"/>
  <c r="A1150" i="1"/>
  <c r="I1150" i="1"/>
  <c r="A1151" i="1"/>
  <c r="I1151" i="1"/>
  <c r="A1152" i="1"/>
  <c r="I1152" i="1"/>
  <c r="A1153" i="1"/>
  <c r="I1153" i="1"/>
  <c r="A1154" i="1"/>
  <c r="I1154" i="1"/>
  <c r="A1155" i="1"/>
  <c r="I1155" i="1"/>
  <c r="A1156" i="1"/>
  <c r="I1156" i="1"/>
  <c r="A1157" i="1"/>
  <c r="I1157" i="1"/>
  <c r="A1158" i="1"/>
  <c r="I1158" i="1"/>
  <c r="A1159" i="1"/>
  <c r="I1159" i="1"/>
  <c r="A1160" i="1"/>
  <c r="I1160" i="1"/>
  <c r="A1161" i="1"/>
  <c r="I1161" i="1"/>
  <c r="A1162" i="1"/>
  <c r="I1162" i="1"/>
  <c r="A1163" i="1"/>
  <c r="I1163" i="1"/>
  <c r="A1164" i="1"/>
  <c r="I1164" i="1"/>
  <c r="A1165" i="1"/>
  <c r="I1165" i="1"/>
  <c r="A1166" i="1"/>
  <c r="I1166" i="1"/>
  <c r="A1167" i="1"/>
  <c r="I1167" i="1"/>
  <c r="A1168" i="1"/>
  <c r="I1168" i="1"/>
  <c r="A1169" i="1"/>
  <c r="I1169" i="1"/>
  <c r="A1170" i="1"/>
  <c r="I1170" i="1"/>
  <c r="A1171" i="1"/>
  <c r="I1171" i="1"/>
  <c r="A1172" i="1"/>
  <c r="I1172" i="1"/>
  <c r="A1173" i="1"/>
  <c r="I1173" i="1"/>
  <c r="A1174" i="1"/>
  <c r="I1174" i="1"/>
  <c r="A1175" i="1"/>
  <c r="I1175" i="1"/>
  <c r="A1176" i="1"/>
  <c r="I1176" i="1"/>
  <c r="A1177" i="1"/>
  <c r="I1177" i="1"/>
  <c r="A1178" i="1"/>
  <c r="I1178" i="1"/>
  <c r="A1179" i="1"/>
  <c r="I1179" i="1"/>
  <c r="A1180" i="1"/>
  <c r="I1180" i="1"/>
</calcChain>
</file>

<file path=xl/sharedStrings.xml><?xml version="1.0" encoding="utf-8"?>
<sst xmlns="http://schemas.openxmlformats.org/spreadsheetml/2006/main" count="6600" uniqueCount="448">
  <si>
    <t>MLS #</t>
  </si>
  <si>
    <t>Stat</t>
  </si>
  <si>
    <t>Closed Date</t>
  </si>
  <si>
    <t>Sold Pr</t>
  </si>
  <si>
    <t>Type</t>
  </si>
  <si>
    <t>Yr Blt</t>
  </si>
  <si>
    <t>Street #</t>
  </si>
  <si>
    <t>Str Name</t>
  </si>
  <si>
    <t>Area</t>
  </si>
  <si>
    <t>Zip</t>
  </si>
  <si>
    <t>ASF</t>
  </si>
  <si>
    <t># Rms</t>
  </si>
  <si>
    <t># Full Baths</t>
  </si>
  <si>
    <t># Half Baths</t>
  </si>
  <si>
    <t>Bsmt Bth</t>
  </si>
  <si>
    <t>Beds</t>
  </si>
  <si>
    <t>Bsmt. Beds</t>
  </si>
  <si>
    <t>Garage Type</t>
  </si>
  <si>
    <t># Garage Spaces</t>
  </si>
  <si>
    <t># Parking Spaces</t>
  </si>
  <si>
    <t>Total Bsmnt SF</t>
  </si>
  <si>
    <t>Style</t>
  </si>
  <si>
    <t>CLSD</t>
  </si>
  <si>
    <t>1 Story</t>
  </si>
  <si>
    <t>Ashley</t>
  </si>
  <si>
    <t>No</t>
  </si>
  <si>
    <t>Attached</t>
  </si>
  <si>
    <t>Ranch</t>
  </si>
  <si>
    <t>Greenbriar</t>
  </si>
  <si>
    <t>UNK</t>
  </si>
  <si>
    <t>GREENWOOD</t>
  </si>
  <si>
    <t>1.5 Story</t>
  </si>
  <si>
    <t>Crestwood</t>
  </si>
  <si>
    <t>Cape Cod</t>
  </si>
  <si>
    <t>Harrison</t>
  </si>
  <si>
    <t>Detached</t>
  </si>
  <si>
    <t>Tri-Level</t>
  </si>
  <si>
    <t>Split Level</t>
  </si>
  <si>
    <t>Long</t>
  </si>
  <si>
    <t>Cherry</t>
  </si>
  <si>
    <t>Short</t>
  </si>
  <si>
    <t>Yes</t>
  </si>
  <si>
    <t>Castle</t>
  </si>
  <si>
    <t>Hazelwood</t>
  </si>
  <si>
    <t>Huber</t>
  </si>
  <si>
    <t>WARREN</t>
  </si>
  <si>
    <t>Laurel</t>
  </si>
  <si>
    <t>Bungalow</t>
  </si>
  <si>
    <t>Park</t>
  </si>
  <si>
    <t>Poplar</t>
  </si>
  <si>
    <t>Elder</t>
  </si>
  <si>
    <t>Virginia</t>
  </si>
  <si>
    <t>Nora</t>
  </si>
  <si>
    <t>Lilac</t>
  </si>
  <si>
    <t>Pauline</t>
  </si>
  <si>
    <t>Lake</t>
  </si>
  <si>
    <t>Harlem</t>
  </si>
  <si>
    <t>Thornberry</t>
  </si>
  <si>
    <t>Ardmore</t>
  </si>
  <si>
    <t>Magnolia</t>
  </si>
  <si>
    <t>2 Stories</t>
  </si>
  <si>
    <t>Echo</t>
  </si>
  <si>
    <t>Greenwood</t>
  </si>
  <si>
    <t>Elm</t>
  </si>
  <si>
    <t>3 Stories</t>
  </si>
  <si>
    <t>Stacy</t>
  </si>
  <si>
    <t>Henley</t>
  </si>
  <si>
    <t>Colonial</t>
  </si>
  <si>
    <t>Indian</t>
  </si>
  <si>
    <t>Michael Manor</t>
  </si>
  <si>
    <t>greenbriar</t>
  </si>
  <si>
    <t>Bi-Level</t>
  </si>
  <si>
    <t>Bel Air</t>
  </si>
  <si>
    <t>Flora</t>
  </si>
  <si>
    <t>Split Level w/ Sub</t>
  </si>
  <si>
    <t>Montgomery</t>
  </si>
  <si>
    <t>Linneman</t>
  </si>
  <si>
    <t>Lincoln</t>
  </si>
  <si>
    <t>LONGMEADOW</t>
  </si>
  <si>
    <t>Neva</t>
  </si>
  <si>
    <t>Shermer</t>
  </si>
  <si>
    <t>LINNEMAN</t>
  </si>
  <si>
    <t>Highland</t>
  </si>
  <si>
    <t>Central</t>
  </si>
  <si>
    <t>PALMGREN</t>
  </si>
  <si>
    <t>Maple</t>
  </si>
  <si>
    <t>Covert</t>
  </si>
  <si>
    <t>Washington</t>
  </si>
  <si>
    <t>MICHAEL MANOR</t>
  </si>
  <si>
    <t>Nordica</t>
  </si>
  <si>
    <t>CENTRAL</t>
  </si>
  <si>
    <t>Grandview</t>
  </si>
  <si>
    <t>Rosedale</t>
  </si>
  <si>
    <t>Linda</t>
  </si>
  <si>
    <t>PFINGSTEN</t>
  </si>
  <si>
    <t>Greenfield</t>
  </si>
  <si>
    <t>Fernwood</t>
  </si>
  <si>
    <t>Lindenwood</t>
  </si>
  <si>
    <t>1 Story, Tear Down</t>
  </si>
  <si>
    <t>MEADOW</t>
  </si>
  <si>
    <t>HARRISON</t>
  </si>
  <si>
    <t>Longmeadow</t>
  </si>
  <si>
    <t>James</t>
  </si>
  <si>
    <t>Valerie</t>
  </si>
  <si>
    <t>Huntington</t>
  </si>
  <si>
    <t>Fontana</t>
  </si>
  <si>
    <t>Elmdale</t>
  </si>
  <si>
    <t>Glendale</t>
  </si>
  <si>
    <t>Elmgate</t>
  </si>
  <si>
    <t>Linden</t>
  </si>
  <si>
    <t>Warren</t>
  </si>
  <si>
    <t>Meadow</t>
  </si>
  <si>
    <t>Estate</t>
  </si>
  <si>
    <t>Julie</t>
  </si>
  <si>
    <t>Beverly</t>
  </si>
  <si>
    <t>Glenview</t>
  </si>
  <si>
    <t>Beaver</t>
  </si>
  <si>
    <t>Rogers</t>
  </si>
  <si>
    <t>Lotus</t>
  </si>
  <si>
    <t>Glenshire</t>
  </si>
  <si>
    <t>Colfax</t>
  </si>
  <si>
    <t>fernwood</t>
  </si>
  <si>
    <t>Pfingsten</t>
  </si>
  <si>
    <t>ELM</t>
  </si>
  <si>
    <t>Wedel</t>
  </si>
  <si>
    <t>RUGEN</t>
  </si>
  <si>
    <t>Sunset Ridge</t>
  </si>
  <si>
    <t>George</t>
  </si>
  <si>
    <t>Glenwood</t>
  </si>
  <si>
    <t>William</t>
  </si>
  <si>
    <t>Georgian</t>
  </si>
  <si>
    <t>Knollwood</t>
  </si>
  <si>
    <t>HARMS</t>
  </si>
  <si>
    <t>FERNWOOD</t>
  </si>
  <si>
    <t>Norma</t>
  </si>
  <si>
    <t>Robincrest</t>
  </si>
  <si>
    <t>Grove</t>
  </si>
  <si>
    <t>Bungalow, English</t>
  </si>
  <si>
    <t>HUNTINGTON</t>
  </si>
  <si>
    <t>Victor</t>
  </si>
  <si>
    <t>Donald</t>
  </si>
  <si>
    <t>Alexis</t>
  </si>
  <si>
    <t>Hillside</t>
  </si>
  <si>
    <t>Raised Ranch</t>
  </si>
  <si>
    <t>Nellie</t>
  </si>
  <si>
    <t>Bellwood</t>
  </si>
  <si>
    <t>Golf</t>
  </si>
  <si>
    <t>Ronald</t>
  </si>
  <si>
    <t>Other</t>
  </si>
  <si>
    <t>Crescent</t>
  </si>
  <si>
    <t>Bi-Level, Tri-Level</t>
  </si>
  <si>
    <t>Windsor</t>
  </si>
  <si>
    <t>GLENVIEW</t>
  </si>
  <si>
    <t>Gayle</t>
  </si>
  <si>
    <t>Longvalley</t>
  </si>
  <si>
    <t>Maple Leaf</t>
  </si>
  <si>
    <t>Lizette</t>
  </si>
  <si>
    <t>Sheryl</t>
  </si>
  <si>
    <t>Hunter</t>
  </si>
  <si>
    <t>Briarhill</t>
  </si>
  <si>
    <t>Parkview</t>
  </si>
  <si>
    <t>CARIANN</t>
  </si>
  <si>
    <t>WASHINGTON</t>
  </si>
  <si>
    <t>Cariann</t>
  </si>
  <si>
    <t>Ferndale</t>
  </si>
  <si>
    <t>Roder</t>
  </si>
  <si>
    <t>CRESCENT</t>
  </si>
  <si>
    <t>Cedar</t>
  </si>
  <si>
    <t>Mary Kay</t>
  </si>
  <si>
    <t>Rolling</t>
  </si>
  <si>
    <t>Arbor</t>
  </si>
  <si>
    <t>Riverside</t>
  </si>
  <si>
    <t>ELDER</t>
  </si>
  <si>
    <t>Harms</t>
  </si>
  <si>
    <t>LONG</t>
  </si>
  <si>
    <t>Raleigh</t>
  </si>
  <si>
    <t>Contemporary</t>
  </si>
  <si>
    <t>Imperial</t>
  </si>
  <si>
    <t>London</t>
  </si>
  <si>
    <t>Plymouth</t>
  </si>
  <si>
    <t>Pendleton</t>
  </si>
  <si>
    <t>Palmgren</t>
  </si>
  <si>
    <t>central</t>
  </si>
  <si>
    <t>HOLLYWOOD</t>
  </si>
  <si>
    <t>Revere</t>
  </si>
  <si>
    <t>Fir</t>
  </si>
  <si>
    <t>Bi-Level, Contemporary, Tri-Level, L Bi-Level</t>
  </si>
  <si>
    <t>Lehigh</t>
  </si>
  <si>
    <t>Maynard</t>
  </si>
  <si>
    <t>BALMORAL</t>
  </si>
  <si>
    <t>Briar</t>
  </si>
  <si>
    <t>Fairway</t>
  </si>
  <si>
    <t>Attached, Detached</t>
  </si>
  <si>
    <t>Prairie Lawn</t>
  </si>
  <si>
    <t>Jerrie</t>
  </si>
  <si>
    <t>Hutchings</t>
  </si>
  <si>
    <t>Traditional</t>
  </si>
  <si>
    <t>Walnut</t>
  </si>
  <si>
    <t>Pam Anne</t>
  </si>
  <si>
    <t>MARIE</t>
  </si>
  <si>
    <t>Maclean</t>
  </si>
  <si>
    <t>Meadowlark</t>
  </si>
  <si>
    <t>Juniper</t>
  </si>
  <si>
    <t>STRAWBERRY</t>
  </si>
  <si>
    <t>Dell</t>
  </si>
  <si>
    <t>Heatherfield</t>
  </si>
  <si>
    <t>LINDENWOOD</t>
  </si>
  <si>
    <t>NEVA</t>
  </si>
  <si>
    <t>Burton</t>
  </si>
  <si>
    <t>Cottage</t>
  </si>
  <si>
    <t>Rebecca</t>
  </si>
  <si>
    <t>Dewes</t>
  </si>
  <si>
    <t>Executive</t>
  </si>
  <si>
    <t>Rugen</t>
  </si>
  <si>
    <t>SHERMER</t>
  </si>
  <si>
    <t>Miller</t>
  </si>
  <si>
    <t>Sandy</t>
  </si>
  <si>
    <t>Gladish</t>
  </si>
  <si>
    <t>La Fontaine</t>
  </si>
  <si>
    <t>Karen</t>
  </si>
  <si>
    <t>Robin</t>
  </si>
  <si>
    <t>Sumac</t>
  </si>
  <si>
    <t>Denice</t>
  </si>
  <si>
    <t>Branch</t>
  </si>
  <si>
    <t>L Bi-Level</t>
  </si>
  <si>
    <t>BELLWOOD</t>
  </si>
  <si>
    <t>Farmhouse</t>
  </si>
  <si>
    <t>Sherwood</t>
  </si>
  <si>
    <t>FIR</t>
  </si>
  <si>
    <t>Tear Down</t>
  </si>
  <si>
    <t>Hawthorne</t>
  </si>
  <si>
    <t>JOY</t>
  </si>
  <si>
    <t>Kendale</t>
  </si>
  <si>
    <t>Kings</t>
  </si>
  <si>
    <t>GLENSHIRE</t>
  </si>
  <si>
    <t>Pick</t>
  </si>
  <si>
    <t>Overlook</t>
  </si>
  <si>
    <t>Ivy</t>
  </si>
  <si>
    <t>IVY</t>
  </si>
  <si>
    <t>Applegate</t>
  </si>
  <si>
    <t>Peachgate</t>
  </si>
  <si>
    <t>MILLER</t>
  </si>
  <si>
    <t>Barry</t>
  </si>
  <si>
    <t>Liberty</t>
  </si>
  <si>
    <t>Sussex</t>
  </si>
  <si>
    <t>Larkdale</t>
  </si>
  <si>
    <t>Wilmette</t>
  </si>
  <si>
    <t>Brook</t>
  </si>
  <si>
    <t>Forest</t>
  </si>
  <si>
    <t>Brandon</t>
  </si>
  <si>
    <t>DEWES</t>
  </si>
  <si>
    <t>Garden</t>
  </si>
  <si>
    <t>Rolling Pass</t>
  </si>
  <si>
    <t>LINCOLN</t>
  </si>
  <si>
    <t>Culver</t>
  </si>
  <si>
    <t>Pine</t>
  </si>
  <si>
    <t>Huckleberry</t>
  </si>
  <si>
    <t>MICHAEL</t>
  </si>
  <si>
    <t>Brett</t>
  </si>
  <si>
    <t>Prairie</t>
  </si>
  <si>
    <t>Michael</t>
  </si>
  <si>
    <t>Kenilworth</t>
  </si>
  <si>
    <t>Spruce</t>
  </si>
  <si>
    <t>Gloria</t>
  </si>
  <si>
    <t>Kaywood</t>
  </si>
  <si>
    <t>None</t>
  </si>
  <si>
    <t>Sunflower</t>
  </si>
  <si>
    <t>Woodlawn</t>
  </si>
  <si>
    <t>Bette</t>
  </si>
  <si>
    <t>Happy Hollow</t>
  </si>
  <si>
    <t>Portage Run</t>
  </si>
  <si>
    <t>Ammer</t>
  </si>
  <si>
    <t>LINDEN</t>
  </si>
  <si>
    <t>Chester</t>
  </si>
  <si>
    <t>ROBIN</t>
  </si>
  <si>
    <t>VICTOR</t>
  </si>
  <si>
    <t>Joanne</t>
  </si>
  <si>
    <t>Briarwood</t>
  </si>
  <si>
    <t>Surrey</t>
  </si>
  <si>
    <t>Springdale</t>
  </si>
  <si>
    <t>CHARLIE</t>
  </si>
  <si>
    <t>Terrace</t>
  </si>
  <si>
    <t>Mark</t>
  </si>
  <si>
    <t>PLEASANT</t>
  </si>
  <si>
    <t>Orchard</t>
  </si>
  <si>
    <t>Burnham</t>
  </si>
  <si>
    <t>Swainwood</t>
  </si>
  <si>
    <t>English</t>
  </si>
  <si>
    <t>Strawberry</t>
  </si>
  <si>
    <t>Maplewood</t>
  </si>
  <si>
    <t>Wildflower</t>
  </si>
  <si>
    <t>Lenox</t>
  </si>
  <si>
    <t>JANET</t>
  </si>
  <si>
    <t>Roosevelt</t>
  </si>
  <si>
    <t>Vernon</t>
  </si>
  <si>
    <t>Keenan</t>
  </si>
  <si>
    <t>Saranac</t>
  </si>
  <si>
    <t>Logan</t>
  </si>
  <si>
    <t>ASPEN</t>
  </si>
  <si>
    <t>Westfield</t>
  </si>
  <si>
    <t>Canterbury</t>
  </si>
  <si>
    <t>Barbara</t>
  </si>
  <si>
    <t>4+ Stories</t>
  </si>
  <si>
    <t>Quad Level</t>
  </si>
  <si>
    <t>Violet</t>
  </si>
  <si>
    <t>Row House</t>
  </si>
  <si>
    <t>Elizabeth</t>
  </si>
  <si>
    <t>Royal Oak</t>
  </si>
  <si>
    <t>Stevens</t>
  </si>
  <si>
    <t>Warwick</t>
  </si>
  <si>
    <t>Barton</t>
  </si>
  <si>
    <t>American 4-Sq.</t>
  </si>
  <si>
    <t>Pleasant</t>
  </si>
  <si>
    <t>BETTE</t>
  </si>
  <si>
    <t>Osage</t>
  </si>
  <si>
    <t>Contemporary, L Bi-Level</t>
  </si>
  <si>
    <t>Queens</t>
  </si>
  <si>
    <t>Wagner</t>
  </si>
  <si>
    <t>Goldenrod</t>
  </si>
  <si>
    <t>Crown</t>
  </si>
  <si>
    <t>Alder</t>
  </si>
  <si>
    <t>springdale</t>
  </si>
  <si>
    <t>Hollywood</t>
  </si>
  <si>
    <t>Summit</t>
  </si>
  <si>
    <t>Beech</t>
  </si>
  <si>
    <t>Timbers Edge</t>
  </si>
  <si>
    <t>Sundrop</t>
  </si>
  <si>
    <t>Phillips</t>
  </si>
  <si>
    <t>Glen Oak</t>
  </si>
  <si>
    <t>Silverwillow</t>
  </si>
  <si>
    <t>Indian Ridge</t>
  </si>
  <si>
    <t>BLACKTHORN</t>
  </si>
  <si>
    <t>Franklin</t>
  </si>
  <si>
    <t>French Provincial</t>
  </si>
  <si>
    <t>Blackthorn</t>
  </si>
  <si>
    <t>Coronet</t>
  </si>
  <si>
    <t>Pynsky</t>
  </si>
  <si>
    <t>Landwehr</t>
  </si>
  <si>
    <t>Countryside</t>
  </si>
  <si>
    <t>Thornwood</t>
  </si>
  <si>
    <t>INDIAN RIDGE</t>
  </si>
  <si>
    <t>Glenlake</t>
  </si>
  <si>
    <t>Del Ogier</t>
  </si>
  <si>
    <t>Becker</t>
  </si>
  <si>
    <t>Sequoia</t>
  </si>
  <si>
    <t>Bonnie Glen</t>
  </si>
  <si>
    <t>Ironwood</t>
  </si>
  <si>
    <t>Mohawk</t>
  </si>
  <si>
    <t>Laramie</t>
  </si>
  <si>
    <t>Lily</t>
  </si>
  <si>
    <t>Butterfly</t>
  </si>
  <si>
    <t>Harvest</t>
  </si>
  <si>
    <t>Vantage</t>
  </si>
  <si>
    <t>Wyndham</t>
  </si>
  <si>
    <t>Kiess</t>
  </si>
  <si>
    <t>Tudor</t>
  </si>
  <si>
    <t>Winchester</t>
  </si>
  <si>
    <t>Colonial, Traditional</t>
  </si>
  <si>
    <t>Dunhill</t>
  </si>
  <si>
    <t>Forestview</t>
  </si>
  <si>
    <t>Chatham</t>
  </si>
  <si>
    <t>Wedgewood</t>
  </si>
  <si>
    <t>Lakewood</t>
  </si>
  <si>
    <t>Westleigh</t>
  </si>
  <si>
    <t>Pinehurst</t>
  </si>
  <si>
    <t>MEADOWLARK</t>
  </si>
  <si>
    <t>VANTAGE</t>
  </si>
  <si>
    <t>Redbud</t>
  </si>
  <si>
    <t>Aberdeen</t>
  </si>
  <si>
    <t>2 Stories, Coach House</t>
  </si>
  <si>
    <t>Colonial, English</t>
  </si>
  <si>
    <t>Colonial, Contemporary</t>
  </si>
  <si>
    <t>Parker</t>
  </si>
  <si>
    <t>washington</t>
  </si>
  <si>
    <t>ECHO</t>
  </si>
  <si>
    <t>Iroquois</t>
  </si>
  <si>
    <t>Thistle</t>
  </si>
  <si>
    <t>Chestnut</t>
  </si>
  <si>
    <t>Chandler</t>
  </si>
  <si>
    <t>Somerset</t>
  </si>
  <si>
    <t>Wilson</t>
  </si>
  <si>
    <t>Holly</t>
  </si>
  <si>
    <t>Fielding</t>
  </si>
  <si>
    <t>LINDEN LEAF</t>
  </si>
  <si>
    <t>SUMAC</t>
  </si>
  <si>
    <t>Woodland</t>
  </si>
  <si>
    <t>Ari</t>
  </si>
  <si>
    <t>Inverness</t>
  </si>
  <si>
    <t>Blake</t>
  </si>
  <si>
    <t>LAUREL</t>
  </si>
  <si>
    <t>Hammersmith</t>
  </si>
  <si>
    <t>Manzella</t>
  </si>
  <si>
    <t>Locust</t>
  </si>
  <si>
    <t>Monroe</t>
  </si>
  <si>
    <t>Basswood</t>
  </si>
  <si>
    <t>Edgewood</t>
  </si>
  <si>
    <t>Stratford</t>
  </si>
  <si>
    <t>cottonwood</t>
  </si>
  <si>
    <t>Hampton</t>
  </si>
  <si>
    <t>Cottonwood</t>
  </si>
  <si>
    <t>SUMMIT</t>
  </si>
  <si>
    <t>SPRUCE</t>
  </si>
  <si>
    <t>Buckingham Glen</t>
  </si>
  <si>
    <t>Glenayre</t>
  </si>
  <si>
    <t>Kittyhawk</t>
  </si>
  <si>
    <t>Sleepy Hollow</t>
  </si>
  <si>
    <t>Bluestem</t>
  </si>
  <si>
    <t>HAWTHORNE</t>
  </si>
  <si>
    <t>Club</t>
  </si>
  <si>
    <t>Timothy</t>
  </si>
  <si>
    <t>Golfview</t>
  </si>
  <si>
    <t>Dauntless</t>
  </si>
  <si>
    <t>Constitution</t>
  </si>
  <si>
    <t>Westview</t>
  </si>
  <si>
    <t>Primrose</t>
  </si>
  <si>
    <t>KENSINGTON</t>
  </si>
  <si>
    <t>Patriot</t>
  </si>
  <si>
    <t>GLENDALE</t>
  </si>
  <si>
    <t>Greenacres</t>
  </si>
  <si>
    <t>Evergreen</t>
  </si>
  <si>
    <t>Independence</t>
  </si>
  <si>
    <t>Midway</t>
  </si>
  <si>
    <t>Monterey</t>
  </si>
  <si>
    <t>Timberline</t>
  </si>
  <si>
    <t>Ridgewood</t>
  </si>
  <si>
    <t>York</t>
  </si>
  <si>
    <t>OVERLOOK</t>
  </si>
  <si>
    <t>Saratoga</t>
  </si>
  <si>
    <t>Normandy</t>
  </si>
  <si>
    <t>Traditional, Other</t>
  </si>
  <si>
    <t>North</t>
  </si>
  <si>
    <t>Cabot</t>
  </si>
  <si>
    <t>Polo</t>
  </si>
  <si>
    <t>HUNTER</t>
  </si>
  <si>
    <t>Balmoral</t>
  </si>
  <si>
    <t>Lawson</t>
  </si>
  <si>
    <t>Glen</t>
  </si>
  <si>
    <t>Bennington</t>
  </si>
  <si>
    <t>Tuscany</t>
  </si>
  <si>
    <t>Linden Leaf</t>
  </si>
  <si>
    <t>Baffin</t>
  </si>
  <si>
    <t>English, Tudor</t>
  </si>
  <si>
    <t>Alvin</t>
  </si>
  <si>
    <t>Colonial, Farmhouse</t>
  </si>
  <si>
    <t>Burr Oak</t>
  </si>
  <si>
    <t>Pickwick</t>
  </si>
  <si>
    <t>Crabtree</t>
  </si>
  <si>
    <t>English, Farmhouse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</si>
</sst>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80"/>
  <sheetViews>
    <sheetView tabSelected="1" workbookViewId="0"/>
  </sheetViews>
  <sheetFormatPr defaultRowHeight="14.25" x14ac:dyDescent="0.45"/>
  <cols>
    <col min="3" max="3" width="15.33203125" customWidth="1"/>
  </cols>
  <sheetData>
    <row r="1" spans="1:2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45">
      <c r="A2" t="str">
        <f>"10540225"</f>
        <v>10540225</v>
      </c>
      <c r="B2" t="s">
        <v>22</v>
      </c>
      <c r="C2" s="1">
        <v>43794</v>
      </c>
      <c r="D2">
        <v>157000</v>
      </c>
      <c r="E2" t="s">
        <v>23</v>
      </c>
      <c r="F2">
        <v>1962</v>
      </c>
      <c r="G2">
        <v>3405</v>
      </c>
      <c r="H2" t="s">
        <v>24</v>
      </c>
      <c r="I2" t="str">
        <f t="shared" ref="I2:I65" si="0">"25"</f>
        <v>25</v>
      </c>
      <c r="J2">
        <v>60025</v>
      </c>
      <c r="K2">
        <v>1175</v>
      </c>
      <c r="L2">
        <v>6</v>
      </c>
      <c r="M2">
        <v>2</v>
      </c>
      <c r="N2">
        <v>0</v>
      </c>
      <c r="O2" t="s">
        <v>25</v>
      </c>
      <c r="P2">
        <v>3</v>
      </c>
      <c r="Q2">
        <v>0</v>
      </c>
      <c r="R2" t="s">
        <v>26</v>
      </c>
      <c r="S2">
        <v>1</v>
      </c>
      <c r="T2">
        <v>2</v>
      </c>
      <c r="V2" t="s">
        <v>27</v>
      </c>
    </row>
    <row r="3" spans="1:22" x14ac:dyDescent="0.45">
      <c r="A3" t="str">
        <f>"10467240"</f>
        <v>10467240</v>
      </c>
      <c r="B3" t="s">
        <v>22</v>
      </c>
      <c r="C3" s="1">
        <v>43795</v>
      </c>
      <c r="D3">
        <v>160000</v>
      </c>
      <c r="E3" t="s">
        <v>23</v>
      </c>
      <c r="F3">
        <v>1958</v>
      </c>
      <c r="G3">
        <v>3430</v>
      </c>
      <c r="H3" t="s">
        <v>28</v>
      </c>
      <c r="I3" t="str">
        <f t="shared" si="0"/>
        <v>25</v>
      </c>
      <c r="J3">
        <v>60025</v>
      </c>
      <c r="K3">
        <v>0</v>
      </c>
      <c r="L3">
        <v>6</v>
      </c>
      <c r="M3">
        <v>1</v>
      </c>
      <c r="N3">
        <v>0</v>
      </c>
      <c r="O3" t="s">
        <v>25</v>
      </c>
      <c r="P3">
        <v>3</v>
      </c>
      <c r="Q3">
        <v>0</v>
      </c>
      <c r="T3">
        <v>2</v>
      </c>
      <c r="V3" t="s">
        <v>27</v>
      </c>
    </row>
    <row r="4" spans="1:22" x14ac:dyDescent="0.45">
      <c r="A4" t="str">
        <f>"10544411"</f>
        <v>10544411</v>
      </c>
      <c r="B4" t="s">
        <v>22</v>
      </c>
      <c r="C4" s="1">
        <v>43825</v>
      </c>
      <c r="D4">
        <v>176000</v>
      </c>
      <c r="E4" t="s">
        <v>23</v>
      </c>
      <c r="F4" t="s">
        <v>29</v>
      </c>
      <c r="G4">
        <v>904</v>
      </c>
      <c r="H4" t="s">
        <v>30</v>
      </c>
      <c r="I4" t="str">
        <f t="shared" si="0"/>
        <v>25</v>
      </c>
      <c r="J4">
        <v>60025</v>
      </c>
      <c r="K4">
        <v>800</v>
      </c>
      <c r="L4">
        <v>6</v>
      </c>
      <c r="M4">
        <v>1</v>
      </c>
      <c r="N4">
        <v>0</v>
      </c>
      <c r="P4">
        <v>2</v>
      </c>
      <c r="Q4">
        <v>0</v>
      </c>
      <c r="R4" t="s">
        <v>26</v>
      </c>
      <c r="S4">
        <v>1</v>
      </c>
      <c r="V4" t="s">
        <v>27</v>
      </c>
    </row>
    <row r="5" spans="1:22" x14ac:dyDescent="0.45">
      <c r="A5" t="str">
        <f>"10393117"</f>
        <v>10393117</v>
      </c>
      <c r="B5" t="s">
        <v>22</v>
      </c>
      <c r="C5" s="1">
        <v>43944</v>
      </c>
      <c r="D5">
        <v>180000</v>
      </c>
      <c r="E5" t="s">
        <v>31</v>
      </c>
      <c r="F5">
        <v>1955</v>
      </c>
      <c r="G5">
        <v>3221</v>
      </c>
      <c r="H5" t="s">
        <v>32</v>
      </c>
      <c r="I5" t="str">
        <f t="shared" si="0"/>
        <v>25</v>
      </c>
      <c r="J5">
        <v>60025</v>
      </c>
      <c r="K5">
        <v>1430</v>
      </c>
      <c r="L5">
        <v>7</v>
      </c>
      <c r="M5">
        <v>1</v>
      </c>
      <c r="N5">
        <v>1</v>
      </c>
      <c r="P5">
        <v>3</v>
      </c>
      <c r="Q5">
        <v>0</v>
      </c>
      <c r="R5" t="s">
        <v>26</v>
      </c>
      <c r="S5">
        <v>2</v>
      </c>
      <c r="V5" t="s">
        <v>33</v>
      </c>
    </row>
    <row r="6" spans="1:22" x14ac:dyDescent="0.45">
      <c r="A6" t="str">
        <f>"10533017"</f>
        <v>10533017</v>
      </c>
      <c r="B6" t="s">
        <v>22</v>
      </c>
      <c r="C6" s="1">
        <v>43829</v>
      </c>
      <c r="D6">
        <v>180000</v>
      </c>
      <c r="E6" t="s">
        <v>31</v>
      </c>
      <c r="F6">
        <v>1960</v>
      </c>
      <c r="G6">
        <v>2817</v>
      </c>
      <c r="H6" t="s">
        <v>34</v>
      </c>
      <c r="I6" t="str">
        <f t="shared" si="0"/>
        <v>25</v>
      </c>
      <c r="J6">
        <v>60025</v>
      </c>
      <c r="K6">
        <v>1872</v>
      </c>
      <c r="L6">
        <v>7</v>
      </c>
      <c r="M6">
        <v>1</v>
      </c>
      <c r="N6">
        <v>1</v>
      </c>
      <c r="O6" t="s">
        <v>25</v>
      </c>
      <c r="P6">
        <v>3</v>
      </c>
      <c r="Q6">
        <v>0</v>
      </c>
      <c r="R6" t="s">
        <v>35</v>
      </c>
      <c r="S6">
        <v>2</v>
      </c>
      <c r="V6" t="s">
        <v>36</v>
      </c>
    </row>
    <row r="7" spans="1:22" x14ac:dyDescent="0.45">
      <c r="A7" t="str">
        <f>"09832535"</f>
        <v>09832535</v>
      </c>
      <c r="B7" t="s">
        <v>22</v>
      </c>
      <c r="C7" s="1">
        <v>43826</v>
      </c>
      <c r="D7">
        <v>200000</v>
      </c>
      <c r="E7" t="s">
        <v>37</v>
      </c>
      <c r="F7">
        <v>1953</v>
      </c>
      <c r="G7">
        <v>632</v>
      </c>
      <c r="H7" t="s">
        <v>38</v>
      </c>
      <c r="I7" t="str">
        <f t="shared" si="0"/>
        <v>25</v>
      </c>
      <c r="J7">
        <v>60025</v>
      </c>
      <c r="K7">
        <v>0</v>
      </c>
      <c r="L7">
        <v>7</v>
      </c>
      <c r="M7">
        <v>1</v>
      </c>
      <c r="N7">
        <v>0</v>
      </c>
      <c r="O7" t="s">
        <v>25</v>
      </c>
      <c r="P7">
        <v>3</v>
      </c>
      <c r="Q7">
        <v>0</v>
      </c>
      <c r="R7" t="s">
        <v>35</v>
      </c>
      <c r="S7">
        <v>2</v>
      </c>
    </row>
    <row r="8" spans="1:22" x14ac:dyDescent="0.45">
      <c r="A8" t="str">
        <f>"10510054"</f>
        <v>10510054</v>
      </c>
      <c r="B8" t="s">
        <v>22</v>
      </c>
      <c r="C8" s="1">
        <v>43819</v>
      </c>
      <c r="D8">
        <v>203700</v>
      </c>
      <c r="E8" t="s">
        <v>23</v>
      </c>
      <c r="F8">
        <v>1961</v>
      </c>
      <c r="G8">
        <v>512</v>
      </c>
      <c r="H8" t="s">
        <v>39</v>
      </c>
      <c r="I8" t="str">
        <f t="shared" si="0"/>
        <v>25</v>
      </c>
      <c r="J8">
        <v>60025</v>
      </c>
      <c r="K8">
        <v>1350</v>
      </c>
      <c r="L8">
        <v>5</v>
      </c>
      <c r="M8">
        <v>2</v>
      </c>
      <c r="N8">
        <v>0</v>
      </c>
      <c r="O8" t="s">
        <v>25</v>
      </c>
      <c r="P8">
        <v>3</v>
      </c>
      <c r="Q8">
        <v>0</v>
      </c>
      <c r="R8" t="s">
        <v>26</v>
      </c>
      <c r="S8">
        <v>1</v>
      </c>
    </row>
    <row r="9" spans="1:22" x14ac:dyDescent="0.45">
      <c r="A9" t="str">
        <f>"10772716"</f>
        <v>10772716</v>
      </c>
      <c r="B9" t="s">
        <v>22</v>
      </c>
      <c r="C9" s="1">
        <v>44085</v>
      </c>
      <c r="D9">
        <v>205000</v>
      </c>
      <c r="E9" t="s">
        <v>23</v>
      </c>
      <c r="F9">
        <v>1959</v>
      </c>
      <c r="G9">
        <v>535</v>
      </c>
      <c r="H9" t="s">
        <v>40</v>
      </c>
      <c r="I9" t="str">
        <f t="shared" si="0"/>
        <v>25</v>
      </c>
      <c r="J9">
        <v>60025</v>
      </c>
      <c r="K9">
        <v>1300</v>
      </c>
      <c r="L9">
        <v>6</v>
      </c>
      <c r="M9">
        <v>1</v>
      </c>
      <c r="N9">
        <v>1</v>
      </c>
      <c r="O9" t="s">
        <v>25</v>
      </c>
      <c r="P9">
        <v>3</v>
      </c>
      <c r="Q9">
        <v>0</v>
      </c>
      <c r="R9" t="s">
        <v>26</v>
      </c>
      <c r="S9">
        <v>1</v>
      </c>
    </row>
    <row r="10" spans="1:22" x14ac:dyDescent="0.45">
      <c r="A10" t="str">
        <f>"10430627"</f>
        <v>10430627</v>
      </c>
      <c r="B10" t="s">
        <v>22</v>
      </c>
      <c r="C10" s="1">
        <v>43706</v>
      </c>
      <c r="D10">
        <v>205000</v>
      </c>
      <c r="E10" t="s">
        <v>37</v>
      </c>
      <c r="F10">
        <v>1964</v>
      </c>
      <c r="G10">
        <v>528</v>
      </c>
      <c r="H10" t="s">
        <v>39</v>
      </c>
      <c r="I10" t="str">
        <f t="shared" si="0"/>
        <v>25</v>
      </c>
      <c r="J10">
        <v>60025</v>
      </c>
      <c r="K10">
        <v>1120</v>
      </c>
      <c r="L10">
        <v>8</v>
      </c>
      <c r="M10">
        <v>1</v>
      </c>
      <c r="N10">
        <v>0</v>
      </c>
      <c r="O10" t="s">
        <v>41</v>
      </c>
      <c r="P10">
        <v>4</v>
      </c>
      <c r="Q10">
        <v>0</v>
      </c>
      <c r="R10" t="s">
        <v>35</v>
      </c>
      <c r="S10">
        <v>2</v>
      </c>
    </row>
    <row r="11" spans="1:22" x14ac:dyDescent="0.45">
      <c r="A11" t="str">
        <f>"10448962"</f>
        <v>10448962</v>
      </c>
      <c r="B11" t="s">
        <v>22</v>
      </c>
      <c r="C11" s="1">
        <v>43913</v>
      </c>
      <c r="D11">
        <v>206000</v>
      </c>
      <c r="E11" t="s">
        <v>37</v>
      </c>
      <c r="F11">
        <v>1958</v>
      </c>
      <c r="G11">
        <v>1022</v>
      </c>
      <c r="H11" t="s">
        <v>42</v>
      </c>
      <c r="I11" t="str">
        <f t="shared" si="0"/>
        <v>25</v>
      </c>
      <c r="J11">
        <v>60025</v>
      </c>
      <c r="K11">
        <v>1104</v>
      </c>
      <c r="L11">
        <v>6</v>
      </c>
      <c r="M11">
        <v>1</v>
      </c>
      <c r="N11">
        <v>1</v>
      </c>
      <c r="O11" t="s">
        <v>25</v>
      </c>
      <c r="P11">
        <v>3</v>
      </c>
      <c r="Q11">
        <v>0</v>
      </c>
      <c r="R11" t="s">
        <v>26</v>
      </c>
      <c r="S11">
        <v>1</v>
      </c>
      <c r="T11">
        <v>1</v>
      </c>
    </row>
    <row r="12" spans="1:22" x14ac:dyDescent="0.45">
      <c r="A12" t="str">
        <f>"10385377"</f>
        <v>10385377</v>
      </c>
      <c r="B12" t="s">
        <v>22</v>
      </c>
      <c r="C12" s="1">
        <v>43641</v>
      </c>
      <c r="D12">
        <v>210000</v>
      </c>
      <c r="E12" t="s">
        <v>23</v>
      </c>
      <c r="F12">
        <v>1958</v>
      </c>
      <c r="G12">
        <v>511</v>
      </c>
      <c r="H12" t="s">
        <v>43</v>
      </c>
      <c r="I12" t="str">
        <f t="shared" si="0"/>
        <v>25</v>
      </c>
      <c r="J12">
        <v>60025</v>
      </c>
      <c r="K12">
        <v>1409</v>
      </c>
      <c r="L12">
        <v>7</v>
      </c>
      <c r="M12">
        <v>1</v>
      </c>
      <c r="N12">
        <v>1</v>
      </c>
      <c r="O12" t="s">
        <v>25</v>
      </c>
      <c r="P12">
        <v>3</v>
      </c>
      <c r="Q12">
        <v>0</v>
      </c>
      <c r="R12" t="s">
        <v>35</v>
      </c>
      <c r="S12">
        <v>1</v>
      </c>
    </row>
    <row r="13" spans="1:22" x14ac:dyDescent="0.45">
      <c r="A13" t="str">
        <f>"10785451"</f>
        <v>10785451</v>
      </c>
      <c r="B13" t="s">
        <v>22</v>
      </c>
      <c r="C13" s="1">
        <v>44078</v>
      </c>
      <c r="D13">
        <v>215000</v>
      </c>
      <c r="E13" t="s">
        <v>23</v>
      </c>
      <c r="F13">
        <v>1957</v>
      </c>
      <c r="G13">
        <v>1024</v>
      </c>
      <c r="H13" t="s">
        <v>44</v>
      </c>
      <c r="I13" t="str">
        <f t="shared" si="0"/>
        <v>25</v>
      </c>
      <c r="J13">
        <v>60025</v>
      </c>
      <c r="K13">
        <v>1320</v>
      </c>
      <c r="L13">
        <v>6</v>
      </c>
      <c r="M13">
        <v>1</v>
      </c>
      <c r="N13">
        <v>0</v>
      </c>
      <c r="O13" t="s">
        <v>25</v>
      </c>
      <c r="P13">
        <v>3</v>
      </c>
      <c r="Q13">
        <v>0</v>
      </c>
      <c r="R13" t="s">
        <v>26</v>
      </c>
      <c r="S13">
        <v>2</v>
      </c>
    </row>
    <row r="14" spans="1:22" x14ac:dyDescent="0.45">
      <c r="A14" t="str">
        <f>"10522299"</f>
        <v>10522299</v>
      </c>
      <c r="B14" t="s">
        <v>22</v>
      </c>
      <c r="C14" s="1">
        <v>43815</v>
      </c>
      <c r="D14">
        <v>216000</v>
      </c>
      <c r="E14" t="s">
        <v>23</v>
      </c>
      <c r="F14">
        <v>1962</v>
      </c>
      <c r="G14">
        <v>406</v>
      </c>
      <c r="H14" t="s">
        <v>39</v>
      </c>
      <c r="I14" t="str">
        <f t="shared" si="0"/>
        <v>25</v>
      </c>
      <c r="J14">
        <v>60025</v>
      </c>
      <c r="K14">
        <v>1060</v>
      </c>
      <c r="L14">
        <v>6</v>
      </c>
      <c r="M14">
        <v>1</v>
      </c>
      <c r="N14">
        <v>0</v>
      </c>
      <c r="O14" t="s">
        <v>25</v>
      </c>
      <c r="P14">
        <v>3</v>
      </c>
      <c r="Q14">
        <v>0</v>
      </c>
      <c r="R14" t="s">
        <v>35</v>
      </c>
      <c r="S14">
        <v>2</v>
      </c>
      <c r="T14">
        <v>3</v>
      </c>
    </row>
    <row r="15" spans="1:22" x14ac:dyDescent="0.45">
      <c r="A15" t="str">
        <f>"10051465"</f>
        <v>10051465</v>
      </c>
      <c r="B15" t="s">
        <v>22</v>
      </c>
      <c r="C15" s="1">
        <v>43539</v>
      </c>
      <c r="D15">
        <v>220000</v>
      </c>
      <c r="E15" t="s">
        <v>23</v>
      </c>
      <c r="F15">
        <v>1951</v>
      </c>
      <c r="G15">
        <v>509</v>
      </c>
      <c r="H15" t="s">
        <v>45</v>
      </c>
      <c r="I15" t="str">
        <f t="shared" si="0"/>
        <v>25</v>
      </c>
      <c r="J15">
        <v>60025</v>
      </c>
      <c r="K15">
        <v>1432</v>
      </c>
      <c r="L15">
        <v>4</v>
      </c>
      <c r="M15">
        <v>1</v>
      </c>
      <c r="N15">
        <v>0</v>
      </c>
      <c r="O15" t="s">
        <v>25</v>
      </c>
      <c r="P15">
        <v>2</v>
      </c>
      <c r="Q15">
        <v>0</v>
      </c>
      <c r="R15" t="s">
        <v>35</v>
      </c>
      <c r="S15">
        <v>2</v>
      </c>
      <c r="V15" t="s">
        <v>27</v>
      </c>
    </row>
    <row r="16" spans="1:22" x14ac:dyDescent="0.45">
      <c r="A16" t="str">
        <f>"10758741"</f>
        <v>10758741</v>
      </c>
      <c r="B16" t="s">
        <v>22</v>
      </c>
      <c r="C16" s="1">
        <v>44053</v>
      </c>
      <c r="D16">
        <v>223000</v>
      </c>
      <c r="E16" t="s">
        <v>23</v>
      </c>
      <c r="F16">
        <v>1956</v>
      </c>
      <c r="G16">
        <v>4716</v>
      </c>
      <c r="H16" t="s">
        <v>46</v>
      </c>
      <c r="I16" t="str">
        <f t="shared" si="0"/>
        <v>25</v>
      </c>
      <c r="J16">
        <v>60025</v>
      </c>
      <c r="K16">
        <v>1206</v>
      </c>
      <c r="L16">
        <v>6</v>
      </c>
      <c r="M16">
        <v>2</v>
      </c>
      <c r="N16">
        <v>0</v>
      </c>
      <c r="O16" t="s">
        <v>25</v>
      </c>
      <c r="P16">
        <v>3</v>
      </c>
      <c r="Q16">
        <v>0</v>
      </c>
      <c r="T16">
        <v>2</v>
      </c>
      <c r="V16" t="s">
        <v>47</v>
      </c>
    </row>
    <row r="17" spans="1:22" x14ac:dyDescent="0.45">
      <c r="A17" t="str">
        <f>"10361373"</f>
        <v>10361373</v>
      </c>
      <c r="B17" t="s">
        <v>22</v>
      </c>
      <c r="C17" s="1">
        <v>43630</v>
      </c>
      <c r="D17">
        <v>224900</v>
      </c>
      <c r="E17" t="s">
        <v>23</v>
      </c>
      <c r="F17">
        <v>1922</v>
      </c>
      <c r="G17">
        <v>72</v>
      </c>
      <c r="H17" t="s">
        <v>48</v>
      </c>
      <c r="I17" t="str">
        <f t="shared" si="0"/>
        <v>25</v>
      </c>
      <c r="J17">
        <v>60025</v>
      </c>
      <c r="K17">
        <v>2239</v>
      </c>
      <c r="L17">
        <v>6</v>
      </c>
      <c r="M17">
        <v>2</v>
      </c>
      <c r="N17">
        <v>0</v>
      </c>
      <c r="P17">
        <v>3</v>
      </c>
      <c r="Q17">
        <v>0</v>
      </c>
      <c r="T17">
        <v>4</v>
      </c>
      <c r="V17" t="s">
        <v>27</v>
      </c>
    </row>
    <row r="18" spans="1:22" x14ac:dyDescent="0.45">
      <c r="A18" t="str">
        <f>"10667197"</f>
        <v>10667197</v>
      </c>
      <c r="B18" t="s">
        <v>22</v>
      </c>
      <c r="C18" s="1">
        <v>43942</v>
      </c>
      <c r="D18">
        <v>225000</v>
      </c>
      <c r="E18" t="s">
        <v>23</v>
      </c>
      <c r="F18">
        <v>1960</v>
      </c>
      <c r="G18">
        <v>437</v>
      </c>
      <c r="H18" t="s">
        <v>49</v>
      </c>
      <c r="I18" t="str">
        <f t="shared" si="0"/>
        <v>25</v>
      </c>
      <c r="J18">
        <v>60025</v>
      </c>
      <c r="K18">
        <v>0</v>
      </c>
      <c r="L18">
        <v>5</v>
      </c>
      <c r="M18">
        <v>1</v>
      </c>
      <c r="N18">
        <v>0</v>
      </c>
      <c r="O18" t="s">
        <v>25</v>
      </c>
      <c r="P18">
        <v>2</v>
      </c>
      <c r="Q18">
        <v>0</v>
      </c>
      <c r="R18" t="s">
        <v>26</v>
      </c>
      <c r="S18">
        <v>2</v>
      </c>
    </row>
    <row r="19" spans="1:22" x14ac:dyDescent="0.45">
      <c r="A19" t="str">
        <f>"10608376"</f>
        <v>10608376</v>
      </c>
      <c r="B19" t="s">
        <v>22</v>
      </c>
      <c r="C19" s="1">
        <v>43951</v>
      </c>
      <c r="D19">
        <v>225000</v>
      </c>
      <c r="E19" t="s">
        <v>23</v>
      </c>
      <c r="F19">
        <v>1962</v>
      </c>
      <c r="G19">
        <v>446</v>
      </c>
      <c r="H19" t="s">
        <v>50</v>
      </c>
      <c r="I19" t="str">
        <f t="shared" si="0"/>
        <v>25</v>
      </c>
      <c r="J19">
        <v>60025</v>
      </c>
      <c r="K19">
        <v>1551</v>
      </c>
      <c r="L19">
        <v>6</v>
      </c>
      <c r="M19">
        <v>1</v>
      </c>
      <c r="N19">
        <v>1</v>
      </c>
      <c r="O19" t="s">
        <v>25</v>
      </c>
      <c r="P19">
        <v>3</v>
      </c>
      <c r="Q19">
        <v>0</v>
      </c>
      <c r="R19" t="s">
        <v>26</v>
      </c>
      <c r="S19">
        <v>2</v>
      </c>
    </row>
    <row r="20" spans="1:22" x14ac:dyDescent="0.45">
      <c r="A20" t="str">
        <f>"10659098"</f>
        <v>10659098</v>
      </c>
      <c r="B20" t="s">
        <v>22</v>
      </c>
      <c r="C20" s="1">
        <v>43948</v>
      </c>
      <c r="D20">
        <v>225000</v>
      </c>
      <c r="E20" t="s">
        <v>23</v>
      </c>
      <c r="F20">
        <v>1958</v>
      </c>
      <c r="G20">
        <v>2749</v>
      </c>
      <c r="H20" t="s">
        <v>51</v>
      </c>
      <c r="I20" t="str">
        <f t="shared" si="0"/>
        <v>25</v>
      </c>
      <c r="J20">
        <v>60025</v>
      </c>
      <c r="K20">
        <v>2330</v>
      </c>
      <c r="L20">
        <v>7</v>
      </c>
      <c r="M20">
        <v>1</v>
      </c>
      <c r="N20">
        <v>1</v>
      </c>
      <c r="O20" t="s">
        <v>25</v>
      </c>
      <c r="P20">
        <v>3</v>
      </c>
      <c r="Q20">
        <v>0</v>
      </c>
      <c r="T20">
        <v>3</v>
      </c>
      <c r="U20">
        <v>1165</v>
      </c>
      <c r="V20" t="s">
        <v>27</v>
      </c>
    </row>
    <row r="21" spans="1:22" x14ac:dyDescent="0.45">
      <c r="A21" t="str">
        <f>"10344944"</f>
        <v>10344944</v>
      </c>
      <c r="B21" t="s">
        <v>22</v>
      </c>
      <c r="C21" s="1">
        <v>43712</v>
      </c>
      <c r="D21">
        <v>225000</v>
      </c>
      <c r="E21" t="s">
        <v>23</v>
      </c>
      <c r="F21">
        <v>1956</v>
      </c>
      <c r="G21">
        <v>318</v>
      </c>
      <c r="H21" t="s">
        <v>52</v>
      </c>
      <c r="I21" t="str">
        <f t="shared" si="0"/>
        <v>25</v>
      </c>
      <c r="J21">
        <v>60025</v>
      </c>
      <c r="K21">
        <v>850</v>
      </c>
      <c r="L21">
        <v>7</v>
      </c>
      <c r="M21">
        <v>2</v>
      </c>
      <c r="N21">
        <v>0</v>
      </c>
      <c r="O21" t="s">
        <v>25</v>
      </c>
      <c r="P21">
        <v>3</v>
      </c>
      <c r="Q21">
        <v>0</v>
      </c>
      <c r="R21" t="s">
        <v>35</v>
      </c>
      <c r="S21">
        <v>2</v>
      </c>
    </row>
    <row r="22" spans="1:22" x14ac:dyDescent="0.45">
      <c r="A22" t="str">
        <f>"10759681"</f>
        <v>10759681</v>
      </c>
      <c r="B22" t="s">
        <v>22</v>
      </c>
      <c r="C22" s="1">
        <v>44077</v>
      </c>
      <c r="D22">
        <v>227500</v>
      </c>
      <c r="E22" t="s">
        <v>23</v>
      </c>
      <c r="F22">
        <v>1955</v>
      </c>
      <c r="G22">
        <v>4526</v>
      </c>
      <c r="H22" t="s">
        <v>53</v>
      </c>
      <c r="I22" t="str">
        <f t="shared" si="0"/>
        <v>25</v>
      </c>
      <c r="J22">
        <v>60025</v>
      </c>
      <c r="K22">
        <v>1683</v>
      </c>
      <c r="L22">
        <v>6</v>
      </c>
      <c r="M22">
        <v>2</v>
      </c>
      <c r="N22">
        <v>0</v>
      </c>
      <c r="O22" t="s">
        <v>25</v>
      </c>
      <c r="P22">
        <v>3</v>
      </c>
      <c r="Q22">
        <v>0</v>
      </c>
      <c r="R22" t="s">
        <v>26</v>
      </c>
      <c r="S22">
        <v>1</v>
      </c>
    </row>
    <row r="23" spans="1:22" x14ac:dyDescent="0.45">
      <c r="A23" t="str">
        <f>"10801594"</f>
        <v>10801594</v>
      </c>
      <c r="B23" t="s">
        <v>22</v>
      </c>
      <c r="C23" s="1">
        <v>44113</v>
      </c>
      <c r="D23">
        <v>228000</v>
      </c>
      <c r="E23" t="s">
        <v>23</v>
      </c>
      <c r="F23">
        <v>1958</v>
      </c>
      <c r="G23">
        <v>318</v>
      </c>
      <c r="H23" t="s">
        <v>39</v>
      </c>
      <c r="I23" t="str">
        <f t="shared" si="0"/>
        <v>25</v>
      </c>
      <c r="J23">
        <v>60025</v>
      </c>
      <c r="K23">
        <v>0</v>
      </c>
      <c r="L23">
        <v>6</v>
      </c>
      <c r="M23">
        <v>1</v>
      </c>
      <c r="N23">
        <v>1</v>
      </c>
      <c r="O23" t="s">
        <v>25</v>
      </c>
      <c r="P23">
        <v>3</v>
      </c>
      <c r="Q23">
        <v>0</v>
      </c>
      <c r="R23" t="s">
        <v>35</v>
      </c>
      <c r="S23">
        <v>1.5</v>
      </c>
      <c r="T23">
        <v>3</v>
      </c>
      <c r="V23" t="s">
        <v>27</v>
      </c>
    </row>
    <row r="24" spans="1:22" x14ac:dyDescent="0.45">
      <c r="A24" t="str">
        <f>"10602540"</f>
        <v>10602540</v>
      </c>
      <c r="B24" t="s">
        <v>22</v>
      </c>
      <c r="C24" s="1">
        <v>43868</v>
      </c>
      <c r="D24">
        <v>230000</v>
      </c>
      <c r="E24" t="s">
        <v>23</v>
      </c>
      <c r="F24">
        <v>1962</v>
      </c>
      <c r="G24">
        <v>504</v>
      </c>
      <c r="H24" t="s">
        <v>39</v>
      </c>
      <c r="I24" t="str">
        <f t="shared" si="0"/>
        <v>25</v>
      </c>
      <c r="J24">
        <v>60025</v>
      </c>
      <c r="K24">
        <v>1120</v>
      </c>
      <c r="L24">
        <v>7</v>
      </c>
      <c r="M24">
        <v>1</v>
      </c>
      <c r="N24">
        <v>0</v>
      </c>
      <c r="O24" t="s">
        <v>25</v>
      </c>
      <c r="P24">
        <v>3</v>
      </c>
      <c r="Q24">
        <v>0</v>
      </c>
      <c r="R24" t="s">
        <v>26</v>
      </c>
      <c r="S24">
        <v>1</v>
      </c>
      <c r="V24" t="s">
        <v>27</v>
      </c>
    </row>
    <row r="25" spans="1:22" x14ac:dyDescent="0.45">
      <c r="A25" t="str">
        <f>"10523130"</f>
        <v>10523130</v>
      </c>
      <c r="B25" t="s">
        <v>22</v>
      </c>
      <c r="C25" s="1">
        <v>43796</v>
      </c>
      <c r="D25">
        <v>230000</v>
      </c>
      <c r="E25" t="s">
        <v>23</v>
      </c>
      <c r="F25">
        <v>1958</v>
      </c>
      <c r="G25">
        <v>523</v>
      </c>
      <c r="H25" t="s">
        <v>43</v>
      </c>
      <c r="I25" t="str">
        <f t="shared" si="0"/>
        <v>25</v>
      </c>
      <c r="J25">
        <v>60025</v>
      </c>
      <c r="K25">
        <v>1290</v>
      </c>
      <c r="L25">
        <v>7</v>
      </c>
      <c r="M25">
        <v>1</v>
      </c>
      <c r="N25">
        <v>1</v>
      </c>
      <c r="O25" t="s">
        <v>25</v>
      </c>
      <c r="P25">
        <v>3</v>
      </c>
      <c r="Q25">
        <v>0</v>
      </c>
      <c r="R25" t="s">
        <v>26</v>
      </c>
      <c r="S25">
        <v>1</v>
      </c>
      <c r="V25" t="s">
        <v>27</v>
      </c>
    </row>
    <row r="26" spans="1:22" x14ac:dyDescent="0.45">
      <c r="A26" t="str">
        <f>"10578755"</f>
        <v>10578755</v>
      </c>
      <c r="B26" t="s">
        <v>22</v>
      </c>
      <c r="C26" s="1">
        <v>43896</v>
      </c>
      <c r="D26">
        <v>230000</v>
      </c>
      <c r="E26" t="s">
        <v>23</v>
      </c>
      <c r="F26">
        <v>1955</v>
      </c>
      <c r="G26">
        <v>4531</v>
      </c>
      <c r="H26" t="s">
        <v>53</v>
      </c>
      <c r="I26" t="str">
        <f t="shared" si="0"/>
        <v>25</v>
      </c>
      <c r="J26">
        <v>60025</v>
      </c>
      <c r="K26">
        <v>1435</v>
      </c>
      <c r="L26">
        <v>6</v>
      </c>
      <c r="M26">
        <v>2</v>
      </c>
      <c r="N26">
        <v>0</v>
      </c>
      <c r="O26" t="s">
        <v>25</v>
      </c>
      <c r="P26">
        <v>3</v>
      </c>
      <c r="Q26">
        <v>0</v>
      </c>
      <c r="R26" t="s">
        <v>26</v>
      </c>
      <c r="S26">
        <v>1</v>
      </c>
    </row>
    <row r="27" spans="1:22" x14ac:dyDescent="0.45">
      <c r="A27" t="str">
        <f>"10665584"</f>
        <v>10665584</v>
      </c>
      <c r="B27" t="s">
        <v>22</v>
      </c>
      <c r="C27" s="1">
        <v>44008</v>
      </c>
      <c r="D27">
        <v>230000</v>
      </c>
      <c r="E27" t="s">
        <v>23</v>
      </c>
      <c r="F27">
        <v>1959</v>
      </c>
      <c r="G27">
        <v>2732</v>
      </c>
      <c r="H27" t="s">
        <v>54</v>
      </c>
      <c r="I27" t="str">
        <f t="shared" si="0"/>
        <v>25</v>
      </c>
      <c r="J27">
        <v>60025</v>
      </c>
      <c r="K27">
        <v>1232</v>
      </c>
      <c r="L27">
        <v>6</v>
      </c>
      <c r="M27">
        <v>1</v>
      </c>
      <c r="N27">
        <v>1</v>
      </c>
      <c r="O27" t="s">
        <v>25</v>
      </c>
      <c r="P27">
        <v>3</v>
      </c>
      <c r="Q27">
        <v>0</v>
      </c>
      <c r="R27" t="s">
        <v>35</v>
      </c>
      <c r="S27">
        <v>2</v>
      </c>
      <c r="V27" t="s">
        <v>27</v>
      </c>
    </row>
    <row r="28" spans="1:22" x14ac:dyDescent="0.45">
      <c r="A28" t="str">
        <f>"10675545"</f>
        <v>10675545</v>
      </c>
      <c r="B28" t="s">
        <v>22</v>
      </c>
      <c r="C28" s="1">
        <v>43962</v>
      </c>
      <c r="D28">
        <v>230000</v>
      </c>
      <c r="E28" t="s">
        <v>23</v>
      </c>
      <c r="F28">
        <v>1955</v>
      </c>
      <c r="G28">
        <v>3419</v>
      </c>
      <c r="H28" t="s">
        <v>55</v>
      </c>
      <c r="I28" t="str">
        <f t="shared" si="0"/>
        <v>25</v>
      </c>
      <c r="J28">
        <v>60026</v>
      </c>
      <c r="K28">
        <v>981</v>
      </c>
      <c r="L28">
        <v>7</v>
      </c>
      <c r="M28">
        <v>1</v>
      </c>
      <c r="N28">
        <v>0</v>
      </c>
      <c r="O28" t="s">
        <v>25</v>
      </c>
      <c r="P28">
        <v>3</v>
      </c>
      <c r="Q28">
        <v>0</v>
      </c>
      <c r="R28" t="s">
        <v>26</v>
      </c>
      <c r="S28">
        <v>1</v>
      </c>
    </row>
    <row r="29" spans="1:22" x14ac:dyDescent="0.45">
      <c r="A29" t="str">
        <f>"10751227"</f>
        <v>10751227</v>
      </c>
      <c r="B29" t="s">
        <v>22</v>
      </c>
      <c r="C29" s="1">
        <v>44049</v>
      </c>
      <c r="D29">
        <v>230000</v>
      </c>
      <c r="E29" t="s">
        <v>23</v>
      </c>
      <c r="F29">
        <v>1948</v>
      </c>
      <c r="G29">
        <v>206</v>
      </c>
      <c r="H29" t="s">
        <v>56</v>
      </c>
      <c r="I29" t="str">
        <f t="shared" si="0"/>
        <v>25</v>
      </c>
      <c r="J29">
        <v>60025</v>
      </c>
      <c r="K29">
        <v>1000</v>
      </c>
      <c r="L29">
        <v>4</v>
      </c>
      <c r="M29">
        <v>1</v>
      </c>
      <c r="N29">
        <v>1</v>
      </c>
      <c r="O29" t="s">
        <v>25</v>
      </c>
      <c r="P29">
        <v>2</v>
      </c>
      <c r="Q29">
        <v>0</v>
      </c>
      <c r="R29" t="s">
        <v>26</v>
      </c>
      <c r="S29">
        <v>1</v>
      </c>
      <c r="V29" t="s">
        <v>27</v>
      </c>
    </row>
    <row r="30" spans="1:22" x14ac:dyDescent="0.45">
      <c r="A30" t="str">
        <f>"10680922"</f>
        <v>10680922</v>
      </c>
      <c r="B30" t="s">
        <v>22</v>
      </c>
      <c r="C30" s="1">
        <v>44041</v>
      </c>
      <c r="D30">
        <v>234000</v>
      </c>
      <c r="E30" t="s">
        <v>23</v>
      </c>
      <c r="F30">
        <v>1959</v>
      </c>
      <c r="G30">
        <v>3109</v>
      </c>
      <c r="H30" t="s">
        <v>28</v>
      </c>
      <c r="I30" t="str">
        <f t="shared" si="0"/>
        <v>25</v>
      </c>
      <c r="J30">
        <v>60025</v>
      </c>
      <c r="K30">
        <v>1287</v>
      </c>
      <c r="L30">
        <v>6</v>
      </c>
      <c r="M30">
        <v>1</v>
      </c>
      <c r="N30">
        <v>1</v>
      </c>
      <c r="O30" t="s">
        <v>25</v>
      </c>
      <c r="P30">
        <v>3</v>
      </c>
      <c r="Q30">
        <v>0</v>
      </c>
      <c r="R30" t="s">
        <v>35</v>
      </c>
      <c r="S30">
        <v>1</v>
      </c>
    </row>
    <row r="31" spans="1:22" x14ac:dyDescent="0.45">
      <c r="A31" t="str">
        <f>"10878629"</f>
        <v>10878629</v>
      </c>
      <c r="B31" t="s">
        <v>22</v>
      </c>
      <c r="C31" s="1">
        <v>44186</v>
      </c>
      <c r="D31">
        <v>235000</v>
      </c>
      <c r="E31" t="s">
        <v>23</v>
      </c>
      <c r="F31">
        <v>1958</v>
      </c>
      <c r="G31">
        <v>3310</v>
      </c>
      <c r="H31" t="s">
        <v>57</v>
      </c>
      <c r="I31" t="str">
        <f t="shared" si="0"/>
        <v>25</v>
      </c>
      <c r="J31">
        <v>60025</v>
      </c>
      <c r="K31">
        <v>1210</v>
      </c>
      <c r="L31">
        <v>7</v>
      </c>
      <c r="M31">
        <v>1</v>
      </c>
      <c r="N31">
        <v>1</v>
      </c>
      <c r="O31" t="s">
        <v>25</v>
      </c>
      <c r="P31">
        <v>4</v>
      </c>
      <c r="Q31">
        <v>0</v>
      </c>
      <c r="R31" t="s">
        <v>26</v>
      </c>
      <c r="S31">
        <v>1</v>
      </c>
      <c r="V31" t="s">
        <v>27</v>
      </c>
    </row>
    <row r="32" spans="1:22" x14ac:dyDescent="0.45">
      <c r="A32" t="str">
        <f>"10595823"</f>
        <v>10595823</v>
      </c>
      <c r="B32" t="s">
        <v>22</v>
      </c>
      <c r="C32" s="1">
        <v>43861</v>
      </c>
      <c r="D32">
        <v>240000</v>
      </c>
      <c r="E32" t="s">
        <v>37</v>
      </c>
      <c r="F32">
        <v>1958</v>
      </c>
      <c r="G32">
        <v>34</v>
      </c>
      <c r="H32" t="s">
        <v>58</v>
      </c>
      <c r="I32" t="str">
        <f t="shared" si="0"/>
        <v>25</v>
      </c>
      <c r="J32">
        <v>60025</v>
      </c>
      <c r="K32">
        <v>1463</v>
      </c>
      <c r="L32">
        <v>6</v>
      </c>
      <c r="M32">
        <v>2</v>
      </c>
      <c r="N32">
        <v>0</v>
      </c>
      <c r="O32" t="s">
        <v>25</v>
      </c>
      <c r="P32">
        <v>3</v>
      </c>
      <c r="Q32">
        <v>0</v>
      </c>
      <c r="R32" t="s">
        <v>35</v>
      </c>
      <c r="S32">
        <v>2.1</v>
      </c>
    </row>
    <row r="33" spans="1:22" x14ac:dyDescent="0.45">
      <c r="A33" t="str">
        <f>"10315693"</f>
        <v>10315693</v>
      </c>
      <c r="B33" t="s">
        <v>22</v>
      </c>
      <c r="C33" s="1">
        <v>43712</v>
      </c>
      <c r="D33">
        <v>240000</v>
      </c>
      <c r="E33" t="s">
        <v>23</v>
      </c>
      <c r="F33">
        <v>1956</v>
      </c>
      <c r="G33">
        <v>4631</v>
      </c>
      <c r="H33" t="s">
        <v>53</v>
      </c>
      <c r="I33" t="str">
        <f t="shared" si="0"/>
        <v>25</v>
      </c>
      <c r="J33">
        <v>60025</v>
      </c>
      <c r="K33">
        <v>1206</v>
      </c>
      <c r="L33">
        <v>5</v>
      </c>
      <c r="M33">
        <v>2</v>
      </c>
      <c r="N33">
        <v>0</v>
      </c>
      <c r="P33">
        <v>3</v>
      </c>
      <c r="Q33">
        <v>0</v>
      </c>
      <c r="R33" t="s">
        <v>26</v>
      </c>
      <c r="S33">
        <v>1</v>
      </c>
      <c r="T33">
        <v>2</v>
      </c>
    </row>
    <row r="34" spans="1:22" x14ac:dyDescent="0.45">
      <c r="A34" t="str">
        <f>"10627879"</f>
        <v>10627879</v>
      </c>
      <c r="B34" t="s">
        <v>22</v>
      </c>
      <c r="C34" s="1">
        <v>43931</v>
      </c>
      <c r="D34">
        <v>240250</v>
      </c>
      <c r="E34" t="s">
        <v>37</v>
      </c>
      <c r="F34">
        <v>1967</v>
      </c>
      <c r="G34">
        <v>3040</v>
      </c>
      <c r="H34" t="s">
        <v>34</v>
      </c>
      <c r="I34" t="str">
        <f t="shared" si="0"/>
        <v>25</v>
      </c>
      <c r="J34">
        <v>60025</v>
      </c>
      <c r="K34">
        <v>1027</v>
      </c>
      <c r="L34">
        <v>8</v>
      </c>
      <c r="M34">
        <v>2</v>
      </c>
      <c r="N34">
        <v>0</v>
      </c>
      <c r="P34">
        <v>3</v>
      </c>
      <c r="Q34">
        <v>0</v>
      </c>
      <c r="R34" t="s">
        <v>26</v>
      </c>
      <c r="S34">
        <v>1</v>
      </c>
    </row>
    <row r="35" spans="1:22" x14ac:dyDescent="0.45">
      <c r="A35" t="str">
        <f>"10294884"</f>
        <v>10294884</v>
      </c>
      <c r="B35" t="s">
        <v>22</v>
      </c>
      <c r="C35" s="1">
        <v>43588</v>
      </c>
      <c r="D35">
        <v>242900</v>
      </c>
      <c r="E35" t="s">
        <v>23</v>
      </c>
      <c r="F35">
        <v>1958</v>
      </c>
      <c r="G35">
        <v>435</v>
      </c>
      <c r="H35" t="s">
        <v>43</v>
      </c>
      <c r="I35" t="str">
        <f t="shared" si="0"/>
        <v>25</v>
      </c>
      <c r="J35">
        <v>60025</v>
      </c>
      <c r="K35">
        <v>1210</v>
      </c>
      <c r="L35">
        <v>6</v>
      </c>
      <c r="M35">
        <v>1</v>
      </c>
      <c r="N35">
        <v>1</v>
      </c>
      <c r="O35" t="s">
        <v>25</v>
      </c>
      <c r="P35">
        <v>4</v>
      </c>
      <c r="Q35">
        <v>0</v>
      </c>
      <c r="R35" t="s">
        <v>26</v>
      </c>
      <c r="S35">
        <v>1</v>
      </c>
    </row>
    <row r="36" spans="1:22" x14ac:dyDescent="0.45">
      <c r="A36" t="str">
        <f>"10911896"</f>
        <v>10911896</v>
      </c>
      <c r="B36" t="s">
        <v>22</v>
      </c>
      <c r="C36" s="1">
        <v>44204</v>
      </c>
      <c r="D36">
        <v>245000</v>
      </c>
      <c r="E36" t="s">
        <v>23</v>
      </c>
      <c r="F36">
        <v>1956</v>
      </c>
      <c r="G36">
        <v>1424</v>
      </c>
      <c r="H36" t="s">
        <v>59</v>
      </c>
      <c r="I36" t="str">
        <f t="shared" si="0"/>
        <v>25</v>
      </c>
      <c r="J36">
        <v>60025</v>
      </c>
      <c r="K36">
        <v>1206</v>
      </c>
      <c r="L36">
        <v>6</v>
      </c>
      <c r="M36">
        <v>2</v>
      </c>
      <c r="N36">
        <v>0</v>
      </c>
      <c r="P36">
        <v>3</v>
      </c>
      <c r="Q36">
        <v>0</v>
      </c>
      <c r="R36" t="s">
        <v>26</v>
      </c>
      <c r="S36">
        <v>1</v>
      </c>
    </row>
    <row r="37" spans="1:22" x14ac:dyDescent="0.45">
      <c r="A37" t="str">
        <f>"10669909"</f>
        <v>10669909</v>
      </c>
      <c r="B37" t="s">
        <v>22</v>
      </c>
      <c r="C37" s="1">
        <v>43965</v>
      </c>
      <c r="D37">
        <v>249000</v>
      </c>
      <c r="E37" t="s">
        <v>23</v>
      </c>
      <c r="F37">
        <v>1956</v>
      </c>
      <c r="G37">
        <v>4725</v>
      </c>
      <c r="H37" t="s">
        <v>53</v>
      </c>
      <c r="I37" t="str">
        <f t="shared" si="0"/>
        <v>25</v>
      </c>
      <c r="J37">
        <v>60025</v>
      </c>
      <c r="K37">
        <v>1506</v>
      </c>
      <c r="L37">
        <v>7</v>
      </c>
      <c r="M37">
        <v>2</v>
      </c>
      <c r="N37">
        <v>0</v>
      </c>
      <c r="O37" t="s">
        <v>25</v>
      </c>
      <c r="P37">
        <v>3</v>
      </c>
      <c r="Q37">
        <v>0</v>
      </c>
      <c r="R37" t="s">
        <v>35</v>
      </c>
      <c r="S37">
        <v>3</v>
      </c>
      <c r="V37" t="s">
        <v>27</v>
      </c>
    </row>
    <row r="38" spans="1:22" x14ac:dyDescent="0.45">
      <c r="A38" t="str">
        <f>"10541553"</f>
        <v>10541553</v>
      </c>
      <c r="B38" t="s">
        <v>22</v>
      </c>
      <c r="C38" s="1">
        <v>43768</v>
      </c>
      <c r="D38">
        <v>250000</v>
      </c>
      <c r="E38" t="s">
        <v>60</v>
      </c>
      <c r="F38">
        <v>1956</v>
      </c>
      <c r="G38">
        <v>911</v>
      </c>
      <c r="H38" t="s">
        <v>61</v>
      </c>
      <c r="I38" t="str">
        <f t="shared" si="0"/>
        <v>25</v>
      </c>
      <c r="J38">
        <v>60025</v>
      </c>
      <c r="K38">
        <v>1177</v>
      </c>
      <c r="L38">
        <v>7</v>
      </c>
      <c r="M38">
        <v>2</v>
      </c>
      <c r="N38">
        <v>0</v>
      </c>
      <c r="O38" t="s">
        <v>25</v>
      </c>
      <c r="P38">
        <v>3</v>
      </c>
      <c r="Q38">
        <v>0</v>
      </c>
      <c r="R38" t="s">
        <v>26</v>
      </c>
      <c r="S38">
        <v>1</v>
      </c>
    </row>
    <row r="39" spans="1:22" x14ac:dyDescent="0.45">
      <c r="A39" t="str">
        <f>"10615567"</f>
        <v>10615567</v>
      </c>
      <c r="B39" t="s">
        <v>22</v>
      </c>
      <c r="C39" s="1">
        <v>43889</v>
      </c>
      <c r="D39">
        <v>250000</v>
      </c>
      <c r="E39" t="s">
        <v>23</v>
      </c>
      <c r="F39">
        <v>1962</v>
      </c>
      <c r="G39">
        <v>3405</v>
      </c>
      <c r="H39" t="s">
        <v>24</v>
      </c>
      <c r="I39" t="str">
        <f t="shared" si="0"/>
        <v>25</v>
      </c>
      <c r="J39">
        <v>60025</v>
      </c>
      <c r="K39">
        <v>1175</v>
      </c>
      <c r="L39">
        <v>6</v>
      </c>
      <c r="M39">
        <v>2</v>
      </c>
      <c r="N39">
        <v>0</v>
      </c>
      <c r="O39" t="s">
        <v>25</v>
      </c>
      <c r="P39">
        <v>3</v>
      </c>
      <c r="Q39">
        <v>0</v>
      </c>
      <c r="R39" t="s">
        <v>26</v>
      </c>
      <c r="S39">
        <v>1.5</v>
      </c>
      <c r="T39">
        <v>2</v>
      </c>
      <c r="V39" t="s">
        <v>27</v>
      </c>
    </row>
    <row r="40" spans="1:22" x14ac:dyDescent="0.45">
      <c r="A40" t="str">
        <f>"10654258"</f>
        <v>10654258</v>
      </c>
      <c r="B40" t="s">
        <v>22</v>
      </c>
      <c r="C40" s="1">
        <v>44019</v>
      </c>
      <c r="D40">
        <v>250000</v>
      </c>
      <c r="E40" t="s">
        <v>23</v>
      </c>
      <c r="F40">
        <v>1958</v>
      </c>
      <c r="G40">
        <v>609</v>
      </c>
      <c r="H40" t="s">
        <v>62</v>
      </c>
      <c r="I40" t="str">
        <f t="shared" si="0"/>
        <v>25</v>
      </c>
      <c r="J40">
        <v>60025</v>
      </c>
      <c r="K40">
        <v>957</v>
      </c>
      <c r="L40">
        <v>6</v>
      </c>
      <c r="M40">
        <v>2</v>
      </c>
      <c r="N40">
        <v>0</v>
      </c>
      <c r="O40" t="s">
        <v>41</v>
      </c>
      <c r="P40">
        <v>2</v>
      </c>
      <c r="Q40">
        <v>2</v>
      </c>
      <c r="R40" t="s">
        <v>26</v>
      </c>
      <c r="S40">
        <v>1</v>
      </c>
      <c r="U40">
        <v>900</v>
      </c>
      <c r="V40" t="s">
        <v>27</v>
      </c>
    </row>
    <row r="41" spans="1:22" x14ac:dyDescent="0.45">
      <c r="A41" t="str">
        <f>"10453871"</f>
        <v>10453871</v>
      </c>
      <c r="B41" t="s">
        <v>22</v>
      </c>
      <c r="C41" s="1">
        <v>43741</v>
      </c>
      <c r="D41">
        <v>250000</v>
      </c>
      <c r="E41" t="s">
        <v>23</v>
      </c>
      <c r="F41">
        <v>1956</v>
      </c>
      <c r="G41">
        <v>4732</v>
      </c>
      <c r="H41" t="s">
        <v>53</v>
      </c>
      <c r="I41" t="str">
        <f t="shared" si="0"/>
        <v>25</v>
      </c>
      <c r="J41">
        <v>60025</v>
      </c>
      <c r="K41">
        <v>1206</v>
      </c>
      <c r="L41">
        <v>8</v>
      </c>
      <c r="M41">
        <v>2</v>
      </c>
      <c r="N41">
        <v>0</v>
      </c>
      <c r="O41" t="s">
        <v>25</v>
      </c>
      <c r="P41">
        <v>3</v>
      </c>
      <c r="Q41">
        <v>0</v>
      </c>
      <c r="T41">
        <v>2</v>
      </c>
    </row>
    <row r="42" spans="1:22" x14ac:dyDescent="0.45">
      <c r="A42" t="str">
        <f>"10508650"</f>
        <v>10508650</v>
      </c>
      <c r="B42" t="s">
        <v>22</v>
      </c>
      <c r="C42" s="1">
        <v>43777</v>
      </c>
      <c r="D42">
        <v>250000</v>
      </c>
      <c r="E42" t="s">
        <v>23</v>
      </c>
      <c r="F42">
        <v>1952</v>
      </c>
      <c r="G42">
        <v>220</v>
      </c>
      <c r="H42" t="s">
        <v>63</v>
      </c>
      <c r="I42" t="str">
        <f t="shared" si="0"/>
        <v>25</v>
      </c>
      <c r="J42">
        <v>60025</v>
      </c>
      <c r="K42">
        <v>0</v>
      </c>
      <c r="L42">
        <v>4</v>
      </c>
      <c r="M42">
        <v>1</v>
      </c>
      <c r="N42">
        <v>0</v>
      </c>
      <c r="O42" t="s">
        <v>25</v>
      </c>
      <c r="P42">
        <v>2</v>
      </c>
      <c r="Q42">
        <v>0</v>
      </c>
    </row>
    <row r="43" spans="1:22" x14ac:dyDescent="0.45">
      <c r="A43" t="str">
        <f>"10346612"</f>
        <v>10346612</v>
      </c>
      <c r="B43" t="s">
        <v>22</v>
      </c>
      <c r="C43" s="1">
        <v>43677</v>
      </c>
      <c r="D43">
        <v>250000</v>
      </c>
      <c r="E43" t="s">
        <v>23</v>
      </c>
      <c r="F43">
        <v>1946</v>
      </c>
      <c r="G43">
        <v>812</v>
      </c>
      <c r="H43" t="s">
        <v>62</v>
      </c>
      <c r="I43" t="str">
        <f t="shared" si="0"/>
        <v>25</v>
      </c>
      <c r="J43">
        <v>60025</v>
      </c>
      <c r="K43">
        <v>1498</v>
      </c>
      <c r="L43">
        <v>7</v>
      </c>
      <c r="M43">
        <v>1</v>
      </c>
      <c r="N43">
        <v>0</v>
      </c>
      <c r="O43" t="s">
        <v>25</v>
      </c>
      <c r="P43">
        <v>3</v>
      </c>
      <c r="Q43">
        <v>0</v>
      </c>
      <c r="R43" t="s">
        <v>35</v>
      </c>
      <c r="S43">
        <v>2.5</v>
      </c>
      <c r="T43">
        <v>2</v>
      </c>
      <c r="U43">
        <v>0</v>
      </c>
      <c r="V43" t="s">
        <v>27</v>
      </c>
    </row>
    <row r="44" spans="1:22" x14ac:dyDescent="0.45">
      <c r="A44" t="str">
        <f>"10395486"</f>
        <v>10395486</v>
      </c>
      <c r="B44" t="s">
        <v>22</v>
      </c>
      <c r="C44" s="1">
        <v>43854</v>
      </c>
      <c r="D44">
        <v>250000</v>
      </c>
      <c r="E44" t="s">
        <v>64</v>
      </c>
      <c r="F44">
        <v>1961</v>
      </c>
      <c r="G44">
        <v>1</v>
      </c>
      <c r="H44" t="s">
        <v>65</v>
      </c>
      <c r="I44" t="str">
        <f t="shared" si="0"/>
        <v>25</v>
      </c>
      <c r="J44">
        <v>60025</v>
      </c>
      <c r="K44">
        <v>1092</v>
      </c>
      <c r="L44">
        <v>7</v>
      </c>
      <c r="M44">
        <v>2</v>
      </c>
      <c r="N44">
        <v>0</v>
      </c>
      <c r="O44" t="s">
        <v>41</v>
      </c>
      <c r="P44">
        <v>3</v>
      </c>
      <c r="Q44">
        <v>0</v>
      </c>
      <c r="R44" t="s">
        <v>35</v>
      </c>
      <c r="S44">
        <v>2</v>
      </c>
      <c r="V44" t="s">
        <v>36</v>
      </c>
    </row>
    <row r="45" spans="1:22" x14ac:dyDescent="0.45">
      <c r="A45" t="str">
        <f>"09981814"</f>
        <v>09981814</v>
      </c>
      <c r="B45" t="s">
        <v>22</v>
      </c>
      <c r="C45" s="1">
        <v>43545</v>
      </c>
      <c r="D45">
        <v>250000</v>
      </c>
      <c r="E45" t="s">
        <v>23</v>
      </c>
      <c r="F45">
        <v>1948</v>
      </c>
      <c r="G45">
        <v>2720</v>
      </c>
      <c r="H45" t="s">
        <v>48</v>
      </c>
      <c r="I45" t="str">
        <f t="shared" si="0"/>
        <v>25</v>
      </c>
      <c r="J45">
        <v>60025</v>
      </c>
      <c r="K45">
        <v>2028</v>
      </c>
      <c r="L45">
        <v>7</v>
      </c>
      <c r="M45">
        <v>2</v>
      </c>
      <c r="N45">
        <v>0</v>
      </c>
      <c r="O45" t="s">
        <v>25</v>
      </c>
      <c r="P45">
        <v>3</v>
      </c>
      <c r="Q45">
        <v>0</v>
      </c>
      <c r="T45">
        <v>3</v>
      </c>
      <c r="V45" t="s">
        <v>27</v>
      </c>
    </row>
    <row r="46" spans="1:22" x14ac:dyDescent="0.45">
      <c r="A46" t="str">
        <f>"10625219"</f>
        <v>10625219</v>
      </c>
      <c r="B46" t="s">
        <v>22</v>
      </c>
      <c r="C46" s="1">
        <v>43899</v>
      </c>
      <c r="D46">
        <v>252000</v>
      </c>
      <c r="E46" t="s">
        <v>60</v>
      </c>
      <c r="F46">
        <v>1943</v>
      </c>
      <c r="G46">
        <v>1901</v>
      </c>
      <c r="H46" t="s">
        <v>66</v>
      </c>
      <c r="I46" t="str">
        <f t="shared" si="0"/>
        <v>25</v>
      </c>
      <c r="J46">
        <v>60025</v>
      </c>
      <c r="K46">
        <v>0</v>
      </c>
      <c r="L46">
        <v>5</v>
      </c>
      <c r="M46">
        <v>2</v>
      </c>
      <c r="N46">
        <v>0</v>
      </c>
      <c r="O46" t="s">
        <v>25</v>
      </c>
      <c r="P46">
        <v>3</v>
      </c>
      <c r="Q46">
        <v>0</v>
      </c>
      <c r="R46" t="s">
        <v>26</v>
      </c>
      <c r="S46">
        <v>2</v>
      </c>
      <c r="V46" t="s">
        <v>33</v>
      </c>
    </row>
    <row r="47" spans="1:22" x14ac:dyDescent="0.45">
      <c r="A47" t="str">
        <f>"09991979"</f>
        <v>09991979</v>
      </c>
      <c r="B47" t="s">
        <v>22</v>
      </c>
      <c r="C47" s="1">
        <v>43700</v>
      </c>
      <c r="D47">
        <v>252000</v>
      </c>
      <c r="E47" t="s">
        <v>60</v>
      </c>
      <c r="F47">
        <v>1956</v>
      </c>
      <c r="G47">
        <v>4626</v>
      </c>
      <c r="H47" t="s">
        <v>53</v>
      </c>
      <c r="I47" t="str">
        <f t="shared" si="0"/>
        <v>25</v>
      </c>
      <c r="J47">
        <v>60025</v>
      </c>
      <c r="K47">
        <v>2420</v>
      </c>
      <c r="L47">
        <v>9</v>
      </c>
      <c r="M47">
        <v>3</v>
      </c>
      <c r="N47">
        <v>0</v>
      </c>
      <c r="O47" t="s">
        <v>25</v>
      </c>
      <c r="P47">
        <v>4</v>
      </c>
      <c r="Q47">
        <v>0</v>
      </c>
      <c r="R47" t="s">
        <v>26</v>
      </c>
      <c r="S47">
        <v>1</v>
      </c>
      <c r="T47">
        <v>2</v>
      </c>
      <c r="V47" t="s">
        <v>67</v>
      </c>
    </row>
    <row r="48" spans="1:22" x14ac:dyDescent="0.45">
      <c r="A48" t="str">
        <f>"10677006"</f>
        <v>10677006</v>
      </c>
      <c r="B48" t="s">
        <v>22</v>
      </c>
      <c r="C48" s="1">
        <v>43994</v>
      </c>
      <c r="D48">
        <v>254900</v>
      </c>
      <c r="E48" t="s">
        <v>60</v>
      </c>
      <c r="F48">
        <v>1960</v>
      </c>
      <c r="G48">
        <v>3323</v>
      </c>
      <c r="H48" t="s">
        <v>57</v>
      </c>
      <c r="I48" t="str">
        <f t="shared" si="0"/>
        <v>25</v>
      </c>
      <c r="J48">
        <v>60025</v>
      </c>
      <c r="K48">
        <v>1887</v>
      </c>
      <c r="L48">
        <v>8</v>
      </c>
      <c r="M48">
        <v>2</v>
      </c>
      <c r="N48">
        <v>0</v>
      </c>
      <c r="O48" t="s">
        <v>25</v>
      </c>
      <c r="P48">
        <v>4</v>
      </c>
      <c r="Q48">
        <v>0</v>
      </c>
      <c r="R48" t="s">
        <v>35</v>
      </c>
      <c r="S48">
        <v>2.5</v>
      </c>
    </row>
    <row r="49" spans="1:22" x14ac:dyDescent="0.45">
      <c r="A49" t="str">
        <f>"10509113"</f>
        <v>10509113</v>
      </c>
      <c r="B49" t="s">
        <v>22</v>
      </c>
      <c r="C49" s="1">
        <v>43790</v>
      </c>
      <c r="D49">
        <v>255000</v>
      </c>
      <c r="E49" t="s">
        <v>23</v>
      </c>
      <c r="F49">
        <v>1958</v>
      </c>
      <c r="G49">
        <v>336</v>
      </c>
      <c r="H49" t="s">
        <v>62</v>
      </c>
      <c r="I49" t="str">
        <f t="shared" si="0"/>
        <v>25</v>
      </c>
      <c r="J49">
        <v>60025</v>
      </c>
      <c r="K49">
        <v>1600</v>
      </c>
      <c r="L49">
        <v>6</v>
      </c>
      <c r="M49">
        <v>1</v>
      </c>
      <c r="N49">
        <v>1</v>
      </c>
      <c r="O49" t="s">
        <v>25</v>
      </c>
      <c r="P49">
        <v>3</v>
      </c>
      <c r="Q49">
        <v>0</v>
      </c>
      <c r="R49" t="s">
        <v>26</v>
      </c>
      <c r="S49">
        <v>2.5</v>
      </c>
      <c r="V49" t="s">
        <v>27</v>
      </c>
    </row>
    <row r="50" spans="1:22" x14ac:dyDescent="0.45">
      <c r="A50" t="str">
        <f>"10482875"</f>
        <v>10482875</v>
      </c>
      <c r="B50" t="s">
        <v>22</v>
      </c>
      <c r="C50" s="1">
        <v>43805</v>
      </c>
      <c r="D50">
        <v>257000</v>
      </c>
      <c r="E50" t="s">
        <v>23</v>
      </c>
      <c r="F50">
        <v>1960</v>
      </c>
      <c r="G50">
        <v>3413</v>
      </c>
      <c r="H50" t="s">
        <v>28</v>
      </c>
      <c r="I50" t="str">
        <f t="shared" si="0"/>
        <v>25</v>
      </c>
      <c r="J50">
        <v>60025</v>
      </c>
      <c r="K50">
        <v>1662</v>
      </c>
      <c r="L50">
        <v>8</v>
      </c>
      <c r="M50">
        <v>2</v>
      </c>
      <c r="N50">
        <v>0</v>
      </c>
      <c r="O50" t="s">
        <v>25</v>
      </c>
      <c r="P50">
        <v>3</v>
      </c>
      <c r="Q50">
        <v>0</v>
      </c>
      <c r="R50" t="s">
        <v>35</v>
      </c>
      <c r="S50">
        <v>2</v>
      </c>
      <c r="V50" t="s">
        <v>27</v>
      </c>
    </row>
    <row r="51" spans="1:22" x14ac:dyDescent="0.45">
      <c r="A51" t="str">
        <f>"10410957"</f>
        <v>10410957</v>
      </c>
      <c r="B51" t="s">
        <v>22</v>
      </c>
      <c r="C51" s="1">
        <v>43713</v>
      </c>
      <c r="D51">
        <v>258000</v>
      </c>
      <c r="E51" t="s">
        <v>23</v>
      </c>
      <c r="F51">
        <v>1946</v>
      </c>
      <c r="G51">
        <v>745</v>
      </c>
      <c r="H51" t="s">
        <v>68</v>
      </c>
      <c r="I51" t="str">
        <f t="shared" si="0"/>
        <v>25</v>
      </c>
      <c r="J51">
        <v>60025</v>
      </c>
      <c r="K51">
        <v>1578</v>
      </c>
      <c r="L51">
        <v>6</v>
      </c>
      <c r="M51">
        <v>1</v>
      </c>
      <c r="N51">
        <v>1</v>
      </c>
      <c r="O51" t="s">
        <v>25</v>
      </c>
      <c r="P51">
        <v>2</v>
      </c>
      <c r="Q51">
        <v>0</v>
      </c>
      <c r="R51" t="s">
        <v>26</v>
      </c>
      <c r="S51">
        <v>1</v>
      </c>
      <c r="V51" t="s">
        <v>27</v>
      </c>
    </row>
    <row r="52" spans="1:22" x14ac:dyDescent="0.45">
      <c r="A52" t="str">
        <f>"10894974"</f>
        <v>10894974</v>
      </c>
      <c r="B52" t="s">
        <v>22</v>
      </c>
      <c r="C52" s="1">
        <v>44134</v>
      </c>
      <c r="D52">
        <v>258500</v>
      </c>
      <c r="E52" t="s">
        <v>23</v>
      </c>
      <c r="F52">
        <v>1961</v>
      </c>
      <c r="G52">
        <v>438</v>
      </c>
      <c r="H52" t="s">
        <v>39</v>
      </c>
      <c r="I52" t="str">
        <f t="shared" si="0"/>
        <v>25</v>
      </c>
      <c r="J52">
        <v>60025</v>
      </c>
      <c r="K52">
        <v>1073</v>
      </c>
      <c r="L52">
        <v>6</v>
      </c>
      <c r="M52">
        <v>2</v>
      </c>
      <c r="N52">
        <v>0</v>
      </c>
      <c r="P52">
        <v>3</v>
      </c>
      <c r="Q52">
        <v>0</v>
      </c>
      <c r="R52" t="s">
        <v>35</v>
      </c>
      <c r="S52">
        <v>1.5</v>
      </c>
      <c r="V52" t="s">
        <v>27</v>
      </c>
    </row>
    <row r="53" spans="1:22" x14ac:dyDescent="0.45">
      <c r="A53" t="str">
        <f>"10691864"</f>
        <v>10691864</v>
      </c>
      <c r="B53" t="s">
        <v>22</v>
      </c>
      <c r="C53" s="1">
        <v>44022</v>
      </c>
      <c r="D53">
        <v>259000</v>
      </c>
      <c r="E53" t="s">
        <v>60</v>
      </c>
      <c r="F53">
        <v>1951</v>
      </c>
      <c r="G53">
        <v>239</v>
      </c>
      <c r="H53" t="s">
        <v>52</v>
      </c>
      <c r="I53" t="str">
        <f t="shared" si="0"/>
        <v>25</v>
      </c>
      <c r="J53">
        <v>60025</v>
      </c>
      <c r="K53">
        <v>1526</v>
      </c>
      <c r="L53">
        <v>8</v>
      </c>
      <c r="M53">
        <v>2</v>
      </c>
      <c r="N53">
        <v>0</v>
      </c>
      <c r="O53" t="s">
        <v>25</v>
      </c>
      <c r="P53">
        <v>4</v>
      </c>
      <c r="Q53">
        <v>0</v>
      </c>
      <c r="V53" t="s">
        <v>33</v>
      </c>
    </row>
    <row r="54" spans="1:22" x14ac:dyDescent="0.45">
      <c r="A54" t="str">
        <f>"10809460"</f>
        <v>10809460</v>
      </c>
      <c r="B54" t="s">
        <v>22</v>
      </c>
      <c r="C54" s="1">
        <v>44096</v>
      </c>
      <c r="D54">
        <v>260000</v>
      </c>
      <c r="E54" t="s">
        <v>23</v>
      </c>
      <c r="F54">
        <v>1958</v>
      </c>
      <c r="G54">
        <v>426</v>
      </c>
      <c r="H54" t="s">
        <v>43</v>
      </c>
      <c r="I54" t="str">
        <f t="shared" si="0"/>
        <v>25</v>
      </c>
      <c r="J54">
        <v>60025</v>
      </c>
      <c r="K54">
        <v>1156</v>
      </c>
      <c r="L54">
        <v>6</v>
      </c>
      <c r="M54">
        <v>1</v>
      </c>
      <c r="N54">
        <v>1</v>
      </c>
      <c r="O54" t="s">
        <v>25</v>
      </c>
      <c r="P54">
        <v>3</v>
      </c>
      <c r="Q54">
        <v>0</v>
      </c>
      <c r="R54" t="s">
        <v>26</v>
      </c>
      <c r="S54">
        <v>2.5</v>
      </c>
      <c r="V54" t="s">
        <v>27</v>
      </c>
    </row>
    <row r="55" spans="1:22" x14ac:dyDescent="0.45">
      <c r="A55" t="str">
        <f>"10878587"</f>
        <v>10878587</v>
      </c>
      <c r="B55" t="s">
        <v>22</v>
      </c>
      <c r="C55" s="1">
        <v>44166</v>
      </c>
      <c r="D55">
        <v>260000</v>
      </c>
      <c r="E55" t="s">
        <v>31</v>
      </c>
      <c r="F55">
        <v>1960</v>
      </c>
      <c r="G55">
        <v>237</v>
      </c>
      <c r="H55" t="s">
        <v>69</v>
      </c>
      <c r="I55" t="str">
        <f t="shared" si="0"/>
        <v>25</v>
      </c>
      <c r="J55">
        <v>60025</v>
      </c>
      <c r="K55">
        <v>1263</v>
      </c>
      <c r="L55">
        <v>5</v>
      </c>
      <c r="M55">
        <v>1</v>
      </c>
      <c r="N55">
        <v>1</v>
      </c>
      <c r="O55" t="s">
        <v>25</v>
      </c>
      <c r="P55">
        <v>3</v>
      </c>
      <c r="Q55">
        <v>0</v>
      </c>
      <c r="R55" t="s">
        <v>35</v>
      </c>
      <c r="S55">
        <v>2</v>
      </c>
    </row>
    <row r="56" spans="1:22" x14ac:dyDescent="0.45">
      <c r="A56" t="str">
        <f>"09931627"</f>
        <v>09931627</v>
      </c>
      <c r="B56" t="s">
        <v>22</v>
      </c>
      <c r="C56" s="1">
        <v>43577</v>
      </c>
      <c r="D56">
        <v>260000</v>
      </c>
      <c r="E56" t="s">
        <v>31</v>
      </c>
      <c r="F56">
        <v>1959</v>
      </c>
      <c r="G56">
        <v>3103</v>
      </c>
      <c r="H56" t="s">
        <v>70</v>
      </c>
      <c r="I56" t="str">
        <f t="shared" si="0"/>
        <v>25</v>
      </c>
      <c r="J56">
        <v>60025</v>
      </c>
      <c r="K56">
        <v>1344</v>
      </c>
      <c r="L56">
        <v>8</v>
      </c>
      <c r="M56">
        <v>2</v>
      </c>
      <c r="N56">
        <v>0</v>
      </c>
      <c r="O56" t="s">
        <v>41</v>
      </c>
      <c r="P56">
        <v>3</v>
      </c>
      <c r="Q56">
        <v>0</v>
      </c>
      <c r="R56" t="s">
        <v>26</v>
      </c>
      <c r="S56">
        <v>2</v>
      </c>
      <c r="V56" t="s">
        <v>71</v>
      </c>
    </row>
    <row r="57" spans="1:22" x14ac:dyDescent="0.45">
      <c r="A57" t="str">
        <f>"10311242"</f>
        <v>10311242</v>
      </c>
      <c r="B57" t="s">
        <v>22</v>
      </c>
      <c r="C57" s="1">
        <v>43724</v>
      </c>
      <c r="D57">
        <v>260500</v>
      </c>
      <c r="E57" t="s">
        <v>37</v>
      </c>
      <c r="F57">
        <v>1958</v>
      </c>
      <c r="G57">
        <v>2528</v>
      </c>
      <c r="H57" t="s">
        <v>72</v>
      </c>
      <c r="I57" t="str">
        <f t="shared" si="0"/>
        <v>25</v>
      </c>
      <c r="J57">
        <v>60025</v>
      </c>
      <c r="K57">
        <v>1319</v>
      </c>
      <c r="L57">
        <v>7</v>
      </c>
      <c r="M57">
        <v>2</v>
      </c>
      <c r="N57">
        <v>0</v>
      </c>
      <c r="O57" t="s">
        <v>41</v>
      </c>
      <c r="P57">
        <v>3</v>
      </c>
      <c r="Q57">
        <v>0</v>
      </c>
      <c r="R57" t="s">
        <v>35</v>
      </c>
      <c r="S57">
        <v>2</v>
      </c>
      <c r="T57">
        <v>2</v>
      </c>
      <c r="V57" t="s">
        <v>36</v>
      </c>
    </row>
    <row r="58" spans="1:22" x14ac:dyDescent="0.45">
      <c r="A58" t="str">
        <f>"10718955"</f>
        <v>10718955</v>
      </c>
      <c r="B58" t="s">
        <v>22</v>
      </c>
      <c r="C58" s="1">
        <v>44012</v>
      </c>
      <c r="D58">
        <v>261000</v>
      </c>
      <c r="E58" t="s">
        <v>37</v>
      </c>
      <c r="F58">
        <v>1967</v>
      </c>
      <c r="G58">
        <v>3122</v>
      </c>
      <c r="H58" t="s">
        <v>34</v>
      </c>
      <c r="I58" t="str">
        <f t="shared" si="0"/>
        <v>25</v>
      </c>
      <c r="J58">
        <v>60025</v>
      </c>
      <c r="K58">
        <v>1430</v>
      </c>
      <c r="L58">
        <v>8</v>
      </c>
      <c r="M58">
        <v>2</v>
      </c>
      <c r="N58">
        <v>0</v>
      </c>
      <c r="O58" t="s">
        <v>41</v>
      </c>
      <c r="P58">
        <v>3</v>
      </c>
      <c r="Q58">
        <v>0</v>
      </c>
      <c r="R58" t="s">
        <v>35</v>
      </c>
      <c r="S58">
        <v>2</v>
      </c>
    </row>
    <row r="59" spans="1:22" x14ac:dyDescent="0.45">
      <c r="A59" t="str">
        <f>"10776169"</f>
        <v>10776169</v>
      </c>
      <c r="B59" t="s">
        <v>22</v>
      </c>
      <c r="C59" s="1">
        <v>44126</v>
      </c>
      <c r="D59">
        <v>261500</v>
      </c>
      <c r="E59" t="s">
        <v>23</v>
      </c>
      <c r="F59">
        <v>1957</v>
      </c>
      <c r="G59">
        <v>241</v>
      </c>
      <c r="H59" t="s">
        <v>56</v>
      </c>
      <c r="I59" t="str">
        <f t="shared" si="0"/>
        <v>25</v>
      </c>
      <c r="J59">
        <v>60025</v>
      </c>
      <c r="K59">
        <v>1254</v>
      </c>
      <c r="L59">
        <v>7</v>
      </c>
      <c r="M59">
        <v>2</v>
      </c>
      <c r="N59">
        <v>0</v>
      </c>
      <c r="O59" t="s">
        <v>41</v>
      </c>
      <c r="P59">
        <v>3</v>
      </c>
      <c r="Q59">
        <v>0</v>
      </c>
      <c r="R59" t="s">
        <v>35</v>
      </c>
      <c r="S59">
        <v>2</v>
      </c>
      <c r="V59" t="s">
        <v>27</v>
      </c>
    </row>
    <row r="60" spans="1:22" x14ac:dyDescent="0.45">
      <c r="A60" t="str">
        <f>"10125201"</f>
        <v>10125201</v>
      </c>
      <c r="B60" t="s">
        <v>22</v>
      </c>
      <c r="C60" s="1">
        <v>43553</v>
      </c>
      <c r="D60">
        <v>262000</v>
      </c>
      <c r="E60" t="s">
        <v>23</v>
      </c>
      <c r="F60">
        <v>1958</v>
      </c>
      <c r="G60">
        <v>135</v>
      </c>
      <c r="H60" t="s">
        <v>73</v>
      </c>
      <c r="I60" t="str">
        <f t="shared" si="0"/>
        <v>25</v>
      </c>
      <c r="J60">
        <v>60025</v>
      </c>
      <c r="K60">
        <v>1242</v>
      </c>
      <c r="L60">
        <v>7</v>
      </c>
      <c r="M60">
        <v>2</v>
      </c>
      <c r="N60">
        <v>1</v>
      </c>
      <c r="O60" t="s">
        <v>25</v>
      </c>
      <c r="P60">
        <v>3</v>
      </c>
      <c r="Q60">
        <v>0</v>
      </c>
      <c r="T60">
        <v>2</v>
      </c>
      <c r="V60" t="s">
        <v>27</v>
      </c>
    </row>
    <row r="61" spans="1:22" x14ac:dyDescent="0.45">
      <c r="A61" t="str">
        <f>"10761533"</f>
        <v>10761533</v>
      </c>
      <c r="B61" t="s">
        <v>22</v>
      </c>
      <c r="C61" s="1">
        <v>44004</v>
      </c>
      <c r="D61">
        <v>265000</v>
      </c>
      <c r="E61" t="s">
        <v>74</v>
      </c>
      <c r="F61">
        <v>1955</v>
      </c>
      <c r="G61">
        <v>25</v>
      </c>
      <c r="H61" t="s">
        <v>65</v>
      </c>
      <c r="I61" t="str">
        <f t="shared" si="0"/>
        <v>25</v>
      </c>
      <c r="J61">
        <v>60025</v>
      </c>
      <c r="K61">
        <v>1888</v>
      </c>
      <c r="L61">
        <v>10</v>
      </c>
      <c r="M61">
        <v>1</v>
      </c>
      <c r="N61">
        <v>1</v>
      </c>
      <c r="O61" t="s">
        <v>25</v>
      </c>
      <c r="P61">
        <v>3</v>
      </c>
      <c r="Q61">
        <v>0</v>
      </c>
      <c r="R61" t="s">
        <v>35</v>
      </c>
      <c r="S61">
        <v>2</v>
      </c>
      <c r="V61" t="s">
        <v>36</v>
      </c>
    </row>
    <row r="62" spans="1:22" x14ac:dyDescent="0.45">
      <c r="A62" t="str">
        <f>"10859156"</f>
        <v>10859156</v>
      </c>
      <c r="B62" t="s">
        <v>22</v>
      </c>
      <c r="C62" s="1">
        <v>44103</v>
      </c>
      <c r="D62">
        <v>265000</v>
      </c>
      <c r="E62" t="s">
        <v>23</v>
      </c>
      <c r="F62">
        <v>1959</v>
      </c>
      <c r="G62">
        <v>535</v>
      </c>
      <c r="H62" t="s">
        <v>40</v>
      </c>
      <c r="I62" t="str">
        <f t="shared" si="0"/>
        <v>25</v>
      </c>
      <c r="J62">
        <v>60025</v>
      </c>
      <c r="K62">
        <v>1300</v>
      </c>
      <c r="L62">
        <v>6</v>
      </c>
      <c r="M62">
        <v>1</v>
      </c>
      <c r="N62">
        <v>1</v>
      </c>
      <c r="O62" t="s">
        <v>25</v>
      </c>
      <c r="P62">
        <v>3</v>
      </c>
      <c r="Q62">
        <v>0</v>
      </c>
      <c r="R62" t="s">
        <v>26</v>
      </c>
      <c r="S62">
        <v>1</v>
      </c>
      <c r="V62" t="s">
        <v>27</v>
      </c>
    </row>
    <row r="63" spans="1:22" x14ac:dyDescent="0.45">
      <c r="A63" t="str">
        <f>"10300033"</f>
        <v>10300033</v>
      </c>
      <c r="B63" t="s">
        <v>22</v>
      </c>
      <c r="C63" s="1">
        <v>43552</v>
      </c>
      <c r="D63">
        <v>265000</v>
      </c>
      <c r="E63" t="s">
        <v>31</v>
      </c>
      <c r="F63">
        <v>1953</v>
      </c>
      <c r="G63">
        <v>237</v>
      </c>
      <c r="H63" t="s">
        <v>75</v>
      </c>
      <c r="I63" t="str">
        <f t="shared" si="0"/>
        <v>25</v>
      </c>
      <c r="J63">
        <v>60025</v>
      </c>
      <c r="K63">
        <v>1278</v>
      </c>
      <c r="L63">
        <v>6</v>
      </c>
      <c r="M63">
        <v>1</v>
      </c>
      <c r="N63">
        <v>0</v>
      </c>
      <c r="P63">
        <v>3</v>
      </c>
      <c r="Q63">
        <v>0</v>
      </c>
      <c r="R63" t="s">
        <v>35</v>
      </c>
      <c r="S63">
        <v>2.5</v>
      </c>
      <c r="V63" t="s">
        <v>33</v>
      </c>
    </row>
    <row r="64" spans="1:22" x14ac:dyDescent="0.45">
      <c r="A64" t="str">
        <f>"10619416"</f>
        <v>10619416</v>
      </c>
      <c r="B64" t="s">
        <v>22</v>
      </c>
      <c r="C64" s="1">
        <v>43879</v>
      </c>
      <c r="D64">
        <v>265000</v>
      </c>
      <c r="E64" t="s">
        <v>60</v>
      </c>
      <c r="F64">
        <v>1943</v>
      </c>
      <c r="G64">
        <v>3603</v>
      </c>
      <c r="H64" t="s">
        <v>76</v>
      </c>
      <c r="I64" t="str">
        <f t="shared" si="0"/>
        <v>25</v>
      </c>
      <c r="J64">
        <v>60025</v>
      </c>
      <c r="K64">
        <v>1813</v>
      </c>
      <c r="L64">
        <v>6</v>
      </c>
      <c r="M64">
        <v>2</v>
      </c>
      <c r="N64">
        <v>0</v>
      </c>
      <c r="O64" t="s">
        <v>25</v>
      </c>
      <c r="P64">
        <v>3</v>
      </c>
      <c r="Q64">
        <v>0</v>
      </c>
      <c r="R64" t="s">
        <v>35</v>
      </c>
      <c r="S64">
        <v>2</v>
      </c>
    </row>
    <row r="65" spans="1:22" x14ac:dyDescent="0.45">
      <c r="A65" t="str">
        <f>"10279756"</f>
        <v>10279756</v>
      </c>
      <c r="B65" t="s">
        <v>22</v>
      </c>
      <c r="C65" s="1">
        <v>43567</v>
      </c>
      <c r="D65">
        <v>265000</v>
      </c>
      <c r="E65" t="s">
        <v>23</v>
      </c>
      <c r="F65">
        <v>1953</v>
      </c>
      <c r="G65">
        <v>123</v>
      </c>
      <c r="H65" t="s">
        <v>77</v>
      </c>
      <c r="I65" t="str">
        <f t="shared" si="0"/>
        <v>25</v>
      </c>
      <c r="J65">
        <v>60025</v>
      </c>
      <c r="K65">
        <v>0</v>
      </c>
      <c r="L65">
        <v>4</v>
      </c>
      <c r="M65">
        <v>1</v>
      </c>
      <c r="N65">
        <v>0</v>
      </c>
      <c r="O65" t="s">
        <v>41</v>
      </c>
      <c r="P65">
        <v>2</v>
      </c>
      <c r="Q65">
        <v>0</v>
      </c>
      <c r="R65" t="s">
        <v>35</v>
      </c>
      <c r="S65">
        <v>1</v>
      </c>
    </row>
    <row r="66" spans="1:22" x14ac:dyDescent="0.45">
      <c r="A66" t="str">
        <f>"10765669"</f>
        <v>10765669</v>
      </c>
      <c r="B66" t="s">
        <v>22</v>
      </c>
      <c r="C66" s="1">
        <v>44098</v>
      </c>
      <c r="D66">
        <v>265000</v>
      </c>
      <c r="E66" t="s">
        <v>23</v>
      </c>
      <c r="F66">
        <v>1959</v>
      </c>
      <c r="G66">
        <v>3435</v>
      </c>
      <c r="H66" t="s">
        <v>28</v>
      </c>
      <c r="I66" t="str">
        <f t="shared" ref="I66:I129" si="1">"25"</f>
        <v>25</v>
      </c>
      <c r="J66">
        <v>60025</v>
      </c>
      <c r="K66">
        <v>1060</v>
      </c>
      <c r="L66">
        <v>6</v>
      </c>
      <c r="M66">
        <v>2</v>
      </c>
      <c r="N66">
        <v>0</v>
      </c>
      <c r="O66" t="s">
        <v>25</v>
      </c>
      <c r="P66">
        <v>3</v>
      </c>
      <c r="Q66">
        <v>0</v>
      </c>
      <c r="R66" t="s">
        <v>26</v>
      </c>
      <c r="S66">
        <v>1</v>
      </c>
    </row>
    <row r="67" spans="1:22" x14ac:dyDescent="0.45">
      <c r="A67" t="str">
        <f>"10481692"</f>
        <v>10481692</v>
      </c>
      <c r="B67" t="s">
        <v>22</v>
      </c>
      <c r="C67" s="1">
        <v>43762</v>
      </c>
      <c r="D67">
        <v>265000</v>
      </c>
      <c r="E67" t="s">
        <v>31</v>
      </c>
      <c r="F67">
        <v>1953</v>
      </c>
      <c r="G67">
        <v>3403</v>
      </c>
      <c r="H67" t="s">
        <v>76</v>
      </c>
      <c r="I67" t="str">
        <f t="shared" si="1"/>
        <v>25</v>
      </c>
      <c r="J67">
        <v>60025</v>
      </c>
      <c r="K67">
        <v>1122</v>
      </c>
      <c r="L67">
        <v>9</v>
      </c>
      <c r="M67">
        <v>2</v>
      </c>
      <c r="N67">
        <v>0</v>
      </c>
      <c r="O67" t="s">
        <v>25</v>
      </c>
      <c r="P67">
        <v>3</v>
      </c>
      <c r="Q67">
        <v>0</v>
      </c>
      <c r="R67" t="s">
        <v>35</v>
      </c>
      <c r="S67">
        <v>1</v>
      </c>
      <c r="T67">
        <v>6</v>
      </c>
      <c r="V67" t="s">
        <v>33</v>
      </c>
    </row>
    <row r="68" spans="1:22" x14ac:dyDescent="0.45">
      <c r="A68" t="str">
        <f>"10472767"</f>
        <v>10472767</v>
      </c>
      <c r="B68" t="s">
        <v>22</v>
      </c>
      <c r="C68" s="1">
        <v>43829</v>
      </c>
      <c r="D68">
        <v>265000</v>
      </c>
      <c r="E68" t="s">
        <v>37</v>
      </c>
      <c r="F68">
        <v>1960</v>
      </c>
      <c r="G68">
        <v>4721</v>
      </c>
      <c r="H68" t="s">
        <v>55</v>
      </c>
      <c r="I68" t="str">
        <f t="shared" si="1"/>
        <v>25</v>
      </c>
      <c r="J68">
        <v>60025</v>
      </c>
      <c r="K68">
        <v>1250</v>
      </c>
      <c r="L68">
        <v>7</v>
      </c>
      <c r="M68">
        <v>1</v>
      </c>
      <c r="N68">
        <v>1</v>
      </c>
      <c r="O68" t="s">
        <v>25</v>
      </c>
      <c r="P68">
        <v>3</v>
      </c>
      <c r="Q68">
        <v>0</v>
      </c>
      <c r="R68" t="s">
        <v>35</v>
      </c>
      <c r="S68">
        <v>2</v>
      </c>
      <c r="V68" t="s">
        <v>36</v>
      </c>
    </row>
    <row r="69" spans="1:22" x14ac:dyDescent="0.45">
      <c r="A69" t="str">
        <f>"10440613"</f>
        <v>10440613</v>
      </c>
      <c r="B69" t="s">
        <v>22</v>
      </c>
      <c r="C69" s="1">
        <v>43822</v>
      </c>
      <c r="D69">
        <v>265000</v>
      </c>
      <c r="E69" t="s">
        <v>23</v>
      </c>
      <c r="F69">
        <v>1958</v>
      </c>
      <c r="G69">
        <v>1112</v>
      </c>
      <c r="H69" t="s">
        <v>78</v>
      </c>
      <c r="I69" t="str">
        <f t="shared" si="1"/>
        <v>25</v>
      </c>
      <c r="J69">
        <v>60025</v>
      </c>
      <c r="K69">
        <v>1424</v>
      </c>
      <c r="L69">
        <v>6</v>
      </c>
      <c r="M69">
        <v>1</v>
      </c>
      <c r="N69">
        <v>0</v>
      </c>
      <c r="O69" t="s">
        <v>25</v>
      </c>
      <c r="P69">
        <v>3</v>
      </c>
      <c r="Q69">
        <v>0</v>
      </c>
      <c r="T69">
        <v>2</v>
      </c>
    </row>
    <row r="70" spans="1:22" x14ac:dyDescent="0.45">
      <c r="A70" t="str">
        <f>"10662432"</f>
        <v>10662432</v>
      </c>
      <c r="B70" t="s">
        <v>22</v>
      </c>
      <c r="C70" s="1">
        <v>44043</v>
      </c>
      <c r="D70">
        <v>265000</v>
      </c>
      <c r="E70" t="s">
        <v>60</v>
      </c>
      <c r="F70">
        <v>1955</v>
      </c>
      <c r="G70">
        <v>323</v>
      </c>
      <c r="H70" t="s">
        <v>79</v>
      </c>
      <c r="I70" t="str">
        <f t="shared" si="1"/>
        <v>25</v>
      </c>
      <c r="J70">
        <v>60025</v>
      </c>
      <c r="K70">
        <v>1310</v>
      </c>
      <c r="L70">
        <v>7</v>
      </c>
      <c r="M70">
        <v>2</v>
      </c>
      <c r="N70">
        <v>0</v>
      </c>
      <c r="O70" t="s">
        <v>25</v>
      </c>
      <c r="P70">
        <v>3</v>
      </c>
      <c r="Q70">
        <v>0</v>
      </c>
      <c r="R70" t="s">
        <v>35</v>
      </c>
      <c r="S70">
        <v>1</v>
      </c>
      <c r="V70" t="s">
        <v>33</v>
      </c>
    </row>
    <row r="71" spans="1:22" x14ac:dyDescent="0.45">
      <c r="A71" t="str">
        <f>"10306103"</f>
        <v>10306103</v>
      </c>
      <c r="B71" t="s">
        <v>22</v>
      </c>
      <c r="C71" s="1">
        <v>43615</v>
      </c>
      <c r="D71">
        <v>265000</v>
      </c>
      <c r="E71" t="s">
        <v>23</v>
      </c>
      <c r="F71">
        <v>1962</v>
      </c>
      <c r="G71">
        <v>430</v>
      </c>
      <c r="H71" t="s">
        <v>50</v>
      </c>
      <c r="I71" t="str">
        <f t="shared" si="1"/>
        <v>25</v>
      </c>
      <c r="J71">
        <v>60025</v>
      </c>
      <c r="K71">
        <v>1600</v>
      </c>
      <c r="L71">
        <v>7</v>
      </c>
      <c r="M71">
        <v>2</v>
      </c>
      <c r="N71">
        <v>0</v>
      </c>
      <c r="P71">
        <v>3</v>
      </c>
      <c r="Q71">
        <v>0</v>
      </c>
      <c r="R71" t="s">
        <v>26</v>
      </c>
      <c r="S71">
        <v>1</v>
      </c>
    </row>
    <row r="72" spans="1:22" x14ac:dyDescent="0.45">
      <c r="A72" t="str">
        <f>"10257070"</f>
        <v>10257070</v>
      </c>
      <c r="B72" t="s">
        <v>22</v>
      </c>
      <c r="C72" s="1">
        <v>43563</v>
      </c>
      <c r="D72">
        <v>266500</v>
      </c>
      <c r="E72" t="s">
        <v>23</v>
      </c>
      <c r="F72">
        <v>1958</v>
      </c>
      <c r="G72">
        <v>341</v>
      </c>
      <c r="H72" t="s">
        <v>43</v>
      </c>
      <c r="I72" t="str">
        <f t="shared" si="1"/>
        <v>25</v>
      </c>
      <c r="J72">
        <v>60025</v>
      </c>
      <c r="K72">
        <v>1350</v>
      </c>
      <c r="L72">
        <v>7</v>
      </c>
      <c r="M72">
        <v>1</v>
      </c>
      <c r="N72">
        <v>1</v>
      </c>
      <c r="O72" t="s">
        <v>25</v>
      </c>
      <c r="P72">
        <v>3</v>
      </c>
      <c r="Q72">
        <v>0</v>
      </c>
      <c r="R72" t="s">
        <v>26</v>
      </c>
      <c r="S72">
        <v>1</v>
      </c>
      <c r="T72">
        <v>4</v>
      </c>
      <c r="U72">
        <v>0</v>
      </c>
    </row>
    <row r="73" spans="1:22" x14ac:dyDescent="0.45">
      <c r="A73" t="str">
        <f>"10300605"</f>
        <v>10300605</v>
      </c>
      <c r="B73" t="s">
        <v>22</v>
      </c>
      <c r="C73" s="1">
        <v>43560</v>
      </c>
      <c r="D73">
        <v>269000</v>
      </c>
      <c r="E73" t="s">
        <v>23</v>
      </c>
      <c r="F73">
        <v>1955</v>
      </c>
      <c r="G73">
        <v>651</v>
      </c>
      <c r="H73" t="s">
        <v>80</v>
      </c>
      <c r="I73" t="str">
        <f t="shared" si="1"/>
        <v>25</v>
      </c>
      <c r="J73">
        <v>60025</v>
      </c>
      <c r="K73">
        <v>1190</v>
      </c>
      <c r="L73">
        <v>6</v>
      </c>
      <c r="M73">
        <v>1</v>
      </c>
      <c r="N73">
        <v>1</v>
      </c>
      <c r="O73" t="s">
        <v>41</v>
      </c>
      <c r="P73">
        <v>2</v>
      </c>
      <c r="Q73">
        <v>0</v>
      </c>
      <c r="R73" t="s">
        <v>26</v>
      </c>
      <c r="S73">
        <v>2</v>
      </c>
      <c r="V73" t="s">
        <v>27</v>
      </c>
    </row>
    <row r="74" spans="1:22" x14ac:dyDescent="0.45">
      <c r="A74" t="str">
        <f>"10768805"</f>
        <v>10768805</v>
      </c>
      <c r="B74" t="s">
        <v>22</v>
      </c>
      <c r="C74" s="1">
        <v>44074</v>
      </c>
      <c r="D74">
        <v>269900</v>
      </c>
      <c r="E74" t="s">
        <v>23</v>
      </c>
      <c r="F74">
        <v>1948</v>
      </c>
      <c r="G74">
        <v>1751</v>
      </c>
      <c r="H74" t="s">
        <v>81</v>
      </c>
      <c r="I74" t="str">
        <f t="shared" si="1"/>
        <v>25</v>
      </c>
      <c r="J74">
        <v>60025</v>
      </c>
      <c r="K74">
        <v>750</v>
      </c>
      <c r="L74">
        <v>5</v>
      </c>
      <c r="M74">
        <v>1</v>
      </c>
      <c r="N74">
        <v>0</v>
      </c>
      <c r="O74" t="s">
        <v>25</v>
      </c>
      <c r="P74">
        <v>2</v>
      </c>
      <c r="Q74">
        <v>0</v>
      </c>
      <c r="R74" t="s">
        <v>35</v>
      </c>
      <c r="S74">
        <v>1</v>
      </c>
      <c r="U74">
        <v>650</v>
      </c>
      <c r="V74" t="s">
        <v>27</v>
      </c>
    </row>
    <row r="75" spans="1:22" x14ac:dyDescent="0.45">
      <c r="A75" t="str">
        <f>"10904620"</f>
        <v>10904620</v>
      </c>
      <c r="B75" t="s">
        <v>22</v>
      </c>
      <c r="C75" s="1">
        <v>44158</v>
      </c>
      <c r="D75">
        <v>270000</v>
      </c>
      <c r="E75" t="s">
        <v>23</v>
      </c>
      <c r="F75">
        <v>1960</v>
      </c>
      <c r="G75">
        <v>321</v>
      </c>
      <c r="H75" t="s">
        <v>39</v>
      </c>
      <c r="I75" t="str">
        <f t="shared" si="1"/>
        <v>25</v>
      </c>
      <c r="J75">
        <v>60025</v>
      </c>
      <c r="K75">
        <v>0</v>
      </c>
      <c r="L75">
        <v>6</v>
      </c>
      <c r="M75">
        <v>2</v>
      </c>
      <c r="N75">
        <v>0</v>
      </c>
      <c r="O75" t="s">
        <v>25</v>
      </c>
      <c r="P75">
        <v>3</v>
      </c>
      <c r="Q75">
        <v>0</v>
      </c>
      <c r="R75" t="s">
        <v>26</v>
      </c>
      <c r="S75">
        <v>1</v>
      </c>
      <c r="V75" t="s">
        <v>27</v>
      </c>
    </row>
    <row r="76" spans="1:22" x14ac:dyDescent="0.45">
      <c r="A76" t="str">
        <f>"10905024"</f>
        <v>10905024</v>
      </c>
      <c r="B76" t="s">
        <v>22</v>
      </c>
      <c r="C76" s="1">
        <v>44172</v>
      </c>
      <c r="D76">
        <v>270000</v>
      </c>
      <c r="E76" t="s">
        <v>23</v>
      </c>
      <c r="F76">
        <v>1953</v>
      </c>
      <c r="G76">
        <v>624</v>
      </c>
      <c r="H76" t="s">
        <v>80</v>
      </c>
      <c r="I76" t="str">
        <f t="shared" si="1"/>
        <v>25</v>
      </c>
      <c r="J76">
        <v>60025</v>
      </c>
      <c r="K76">
        <v>1134</v>
      </c>
      <c r="L76">
        <v>6</v>
      </c>
      <c r="M76">
        <v>1</v>
      </c>
      <c r="N76">
        <v>0</v>
      </c>
      <c r="O76" t="s">
        <v>25</v>
      </c>
      <c r="P76">
        <v>3</v>
      </c>
      <c r="Q76">
        <v>0</v>
      </c>
      <c r="R76" t="s">
        <v>35</v>
      </c>
      <c r="S76">
        <v>1</v>
      </c>
      <c r="U76">
        <v>1200</v>
      </c>
      <c r="V76" t="s">
        <v>27</v>
      </c>
    </row>
    <row r="77" spans="1:22" x14ac:dyDescent="0.45">
      <c r="A77" t="str">
        <f>"10541333"</f>
        <v>10541333</v>
      </c>
      <c r="B77" t="s">
        <v>22</v>
      </c>
      <c r="C77" s="1">
        <v>43802</v>
      </c>
      <c r="D77">
        <v>270000</v>
      </c>
      <c r="E77" t="s">
        <v>37</v>
      </c>
      <c r="F77">
        <v>1960</v>
      </c>
      <c r="G77">
        <v>231</v>
      </c>
      <c r="H77" t="s">
        <v>69</v>
      </c>
      <c r="I77" t="str">
        <f t="shared" si="1"/>
        <v>25</v>
      </c>
      <c r="J77">
        <v>60025</v>
      </c>
      <c r="K77">
        <v>1263</v>
      </c>
      <c r="L77">
        <v>7</v>
      </c>
      <c r="M77">
        <v>2</v>
      </c>
      <c r="N77">
        <v>0</v>
      </c>
      <c r="O77" t="s">
        <v>41</v>
      </c>
      <c r="P77">
        <v>3</v>
      </c>
      <c r="Q77">
        <v>0</v>
      </c>
      <c r="R77" t="s">
        <v>35</v>
      </c>
      <c r="S77">
        <v>2</v>
      </c>
      <c r="V77" t="s">
        <v>71</v>
      </c>
    </row>
    <row r="78" spans="1:22" x14ac:dyDescent="0.45">
      <c r="A78" t="str">
        <f>"10480496"</f>
        <v>10480496</v>
      </c>
      <c r="B78" t="s">
        <v>22</v>
      </c>
      <c r="C78" s="1">
        <v>44008</v>
      </c>
      <c r="D78">
        <v>270000</v>
      </c>
      <c r="E78" t="s">
        <v>37</v>
      </c>
      <c r="F78">
        <v>1960</v>
      </c>
      <c r="G78">
        <v>23</v>
      </c>
      <c r="H78" t="s">
        <v>69</v>
      </c>
      <c r="I78" t="str">
        <f t="shared" si="1"/>
        <v>25</v>
      </c>
      <c r="J78">
        <v>60025</v>
      </c>
      <c r="K78">
        <v>1248</v>
      </c>
      <c r="L78">
        <v>7</v>
      </c>
      <c r="M78">
        <v>2</v>
      </c>
      <c r="N78">
        <v>0</v>
      </c>
      <c r="P78">
        <v>3</v>
      </c>
      <c r="Q78">
        <v>0</v>
      </c>
      <c r="R78" t="s">
        <v>26</v>
      </c>
      <c r="S78">
        <v>3</v>
      </c>
    </row>
    <row r="79" spans="1:22" x14ac:dyDescent="0.45">
      <c r="A79" t="str">
        <f>"09815634"</f>
        <v>09815634</v>
      </c>
      <c r="B79" t="s">
        <v>22</v>
      </c>
      <c r="C79" s="1">
        <v>43528</v>
      </c>
      <c r="D79">
        <v>270000</v>
      </c>
      <c r="E79" t="s">
        <v>23</v>
      </c>
      <c r="F79">
        <v>1956</v>
      </c>
      <c r="G79">
        <v>3405</v>
      </c>
      <c r="H79" t="s">
        <v>82</v>
      </c>
      <c r="I79" t="str">
        <f t="shared" si="1"/>
        <v>25</v>
      </c>
      <c r="J79">
        <v>60025</v>
      </c>
      <c r="K79">
        <v>0</v>
      </c>
      <c r="L79">
        <v>7</v>
      </c>
      <c r="M79">
        <v>2</v>
      </c>
      <c r="N79">
        <v>0</v>
      </c>
      <c r="O79" t="s">
        <v>25</v>
      </c>
      <c r="P79">
        <v>3</v>
      </c>
      <c r="Q79">
        <v>0</v>
      </c>
      <c r="R79" t="s">
        <v>26</v>
      </c>
      <c r="S79">
        <v>1</v>
      </c>
      <c r="V79" t="s">
        <v>27</v>
      </c>
    </row>
    <row r="80" spans="1:22" x14ac:dyDescent="0.45">
      <c r="A80" t="str">
        <f>"10262041"</f>
        <v>10262041</v>
      </c>
      <c r="B80" t="s">
        <v>22</v>
      </c>
      <c r="C80" s="1">
        <v>43560</v>
      </c>
      <c r="D80">
        <v>273500</v>
      </c>
      <c r="E80" t="s">
        <v>23</v>
      </c>
      <c r="F80">
        <v>1958</v>
      </c>
      <c r="G80">
        <v>229</v>
      </c>
      <c r="H80" t="s">
        <v>73</v>
      </c>
      <c r="I80" t="str">
        <f t="shared" si="1"/>
        <v>25</v>
      </c>
      <c r="J80">
        <v>60025</v>
      </c>
      <c r="K80">
        <v>1200</v>
      </c>
      <c r="L80">
        <v>6</v>
      </c>
      <c r="M80">
        <v>1</v>
      </c>
      <c r="N80">
        <v>1</v>
      </c>
      <c r="O80" t="s">
        <v>25</v>
      </c>
      <c r="P80">
        <v>3</v>
      </c>
      <c r="Q80">
        <v>0</v>
      </c>
      <c r="R80" t="s">
        <v>26</v>
      </c>
      <c r="S80">
        <v>1</v>
      </c>
    </row>
    <row r="81" spans="1:22" x14ac:dyDescent="0.45">
      <c r="A81" t="str">
        <f>"10561092"</f>
        <v>10561092</v>
      </c>
      <c r="B81" t="s">
        <v>22</v>
      </c>
      <c r="C81" s="1">
        <v>44028</v>
      </c>
      <c r="D81">
        <v>274000</v>
      </c>
      <c r="E81" t="s">
        <v>23</v>
      </c>
      <c r="F81">
        <v>1959</v>
      </c>
      <c r="G81">
        <v>3107</v>
      </c>
      <c r="H81" t="s">
        <v>83</v>
      </c>
      <c r="I81" t="str">
        <f t="shared" si="1"/>
        <v>25</v>
      </c>
      <c r="J81">
        <v>60025</v>
      </c>
      <c r="K81">
        <v>0</v>
      </c>
      <c r="L81">
        <v>6</v>
      </c>
      <c r="M81">
        <v>2</v>
      </c>
      <c r="N81">
        <v>0</v>
      </c>
      <c r="O81" t="s">
        <v>25</v>
      </c>
      <c r="P81">
        <v>3</v>
      </c>
      <c r="Q81">
        <v>0</v>
      </c>
      <c r="R81" t="s">
        <v>26</v>
      </c>
      <c r="S81">
        <v>1.5</v>
      </c>
    </row>
    <row r="82" spans="1:22" x14ac:dyDescent="0.45">
      <c r="A82" t="str">
        <f>"10090079"</f>
        <v>10090079</v>
      </c>
      <c r="B82" t="s">
        <v>22</v>
      </c>
      <c r="C82" s="1">
        <v>43560</v>
      </c>
      <c r="D82">
        <v>275000</v>
      </c>
      <c r="E82" t="s">
        <v>37</v>
      </c>
      <c r="F82">
        <v>1961</v>
      </c>
      <c r="G82">
        <v>2646</v>
      </c>
      <c r="H82" t="s">
        <v>54</v>
      </c>
      <c r="I82" t="str">
        <f t="shared" si="1"/>
        <v>25</v>
      </c>
      <c r="J82">
        <v>60025</v>
      </c>
      <c r="K82">
        <v>1259</v>
      </c>
      <c r="L82">
        <v>7</v>
      </c>
      <c r="M82">
        <v>1</v>
      </c>
      <c r="N82">
        <v>1</v>
      </c>
      <c r="O82" t="s">
        <v>41</v>
      </c>
      <c r="P82">
        <v>3</v>
      </c>
      <c r="Q82">
        <v>0</v>
      </c>
      <c r="R82" t="s">
        <v>35</v>
      </c>
      <c r="S82">
        <v>2</v>
      </c>
      <c r="V82" t="s">
        <v>36</v>
      </c>
    </row>
    <row r="83" spans="1:22" x14ac:dyDescent="0.45">
      <c r="A83" t="str">
        <f>"10534663"</f>
        <v>10534663</v>
      </c>
      <c r="B83" t="s">
        <v>22</v>
      </c>
      <c r="C83" s="1">
        <v>43768</v>
      </c>
      <c r="D83">
        <v>275000</v>
      </c>
      <c r="E83" t="s">
        <v>23</v>
      </c>
      <c r="F83">
        <v>1959</v>
      </c>
      <c r="G83">
        <v>1900</v>
      </c>
      <c r="H83" t="s">
        <v>84</v>
      </c>
      <c r="I83" t="str">
        <f t="shared" si="1"/>
        <v>25</v>
      </c>
      <c r="J83">
        <v>60025</v>
      </c>
      <c r="K83">
        <v>1302</v>
      </c>
      <c r="L83">
        <v>6</v>
      </c>
      <c r="M83">
        <v>1</v>
      </c>
      <c r="N83">
        <v>1</v>
      </c>
      <c r="O83" t="s">
        <v>41</v>
      </c>
      <c r="P83">
        <v>2</v>
      </c>
      <c r="Q83">
        <v>0</v>
      </c>
      <c r="R83" t="s">
        <v>26</v>
      </c>
      <c r="S83">
        <v>2</v>
      </c>
      <c r="T83">
        <v>4</v>
      </c>
      <c r="V83" t="s">
        <v>27</v>
      </c>
    </row>
    <row r="84" spans="1:22" x14ac:dyDescent="0.45">
      <c r="A84" t="str">
        <f>"10595767"</f>
        <v>10595767</v>
      </c>
      <c r="B84" t="s">
        <v>22</v>
      </c>
      <c r="C84" s="1">
        <v>43910</v>
      </c>
      <c r="D84">
        <v>275000</v>
      </c>
      <c r="E84" t="s">
        <v>23</v>
      </c>
      <c r="F84">
        <v>1955</v>
      </c>
      <c r="G84">
        <v>1521</v>
      </c>
      <c r="H84" t="s">
        <v>85</v>
      </c>
      <c r="I84" t="str">
        <f t="shared" si="1"/>
        <v>25</v>
      </c>
      <c r="J84">
        <v>60025</v>
      </c>
      <c r="K84">
        <v>1446</v>
      </c>
      <c r="L84">
        <v>6</v>
      </c>
      <c r="M84">
        <v>1</v>
      </c>
      <c r="N84">
        <v>0</v>
      </c>
      <c r="P84">
        <v>3</v>
      </c>
      <c r="Q84">
        <v>0</v>
      </c>
      <c r="R84" t="s">
        <v>35</v>
      </c>
      <c r="S84">
        <v>2.5</v>
      </c>
      <c r="V84" t="s">
        <v>27</v>
      </c>
    </row>
    <row r="85" spans="1:22" x14ac:dyDescent="0.45">
      <c r="A85" t="str">
        <f>"10818822"</f>
        <v>10818822</v>
      </c>
      <c r="B85" t="s">
        <v>22</v>
      </c>
      <c r="C85" s="1">
        <v>44124</v>
      </c>
      <c r="D85">
        <v>275013</v>
      </c>
      <c r="E85" t="s">
        <v>23</v>
      </c>
      <c r="F85">
        <v>1957</v>
      </c>
      <c r="G85">
        <v>1719</v>
      </c>
      <c r="H85" t="s">
        <v>34</v>
      </c>
      <c r="I85" t="str">
        <f t="shared" si="1"/>
        <v>25</v>
      </c>
      <c r="J85">
        <v>60025</v>
      </c>
      <c r="K85">
        <v>1281</v>
      </c>
      <c r="L85">
        <v>5</v>
      </c>
      <c r="M85">
        <v>2</v>
      </c>
      <c r="N85">
        <v>0</v>
      </c>
      <c r="O85" t="s">
        <v>41</v>
      </c>
      <c r="P85">
        <v>2</v>
      </c>
      <c r="Q85">
        <v>0</v>
      </c>
      <c r="R85" t="s">
        <v>26</v>
      </c>
      <c r="S85">
        <v>1.5</v>
      </c>
      <c r="V85" t="s">
        <v>27</v>
      </c>
    </row>
    <row r="86" spans="1:22" x14ac:dyDescent="0.45">
      <c r="A86" t="str">
        <f>"10637446"</f>
        <v>10637446</v>
      </c>
      <c r="B86" t="s">
        <v>22</v>
      </c>
      <c r="C86" s="1">
        <v>44006</v>
      </c>
      <c r="D86">
        <v>275412</v>
      </c>
      <c r="E86" t="s">
        <v>60</v>
      </c>
      <c r="F86">
        <v>1956</v>
      </c>
      <c r="G86">
        <v>2412</v>
      </c>
      <c r="H86" t="s">
        <v>86</v>
      </c>
      <c r="I86" t="str">
        <f t="shared" si="1"/>
        <v>25</v>
      </c>
      <c r="J86">
        <v>60025</v>
      </c>
      <c r="K86">
        <v>1436</v>
      </c>
      <c r="L86">
        <v>9</v>
      </c>
      <c r="M86">
        <v>1</v>
      </c>
      <c r="N86">
        <v>1</v>
      </c>
      <c r="O86" t="s">
        <v>25</v>
      </c>
      <c r="P86">
        <v>3</v>
      </c>
      <c r="Q86">
        <v>0</v>
      </c>
      <c r="R86" t="s">
        <v>26</v>
      </c>
      <c r="S86">
        <v>1</v>
      </c>
      <c r="V86" t="s">
        <v>67</v>
      </c>
    </row>
    <row r="87" spans="1:22" x14ac:dyDescent="0.45">
      <c r="A87" t="str">
        <f>"10143786"</f>
        <v>10143786</v>
      </c>
      <c r="B87" t="s">
        <v>22</v>
      </c>
      <c r="C87" s="1">
        <v>43616</v>
      </c>
      <c r="D87">
        <v>278000</v>
      </c>
      <c r="E87" t="s">
        <v>60</v>
      </c>
      <c r="F87">
        <v>1943</v>
      </c>
      <c r="G87">
        <v>203</v>
      </c>
      <c r="H87" t="s">
        <v>87</v>
      </c>
      <c r="I87" t="str">
        <f t="shared" si="1"/>
        <v>25</v>
      </c>
      <c r="J87">
        <v>60025</v>
      </c>
      <c r="K87">
        <v>1813</v>
      </c>
      <c r="L87">
        <v>7</v>
      </c>
      <c r="M87">
        <v>2</v>
      </c>
      <c r="N87">
        <v>0</v>
      </c>
      <c r="O87" t="s">
        <v>25</v>
      </c>
      <c r="P87">
        <v>4</v>
      </c>
      <c r="Q87">
        <v>0</v>
      </c>
      <c r="R87" t="s">
        <v>35</v>
      </c>
      <c r="S87">
        <v>2</v>
      </c>
    </row>
    <row r="88" spans="1:22" x14ac:dyDescent="0.45">
      <c r="A88" t="str">
        <f>"10759846"</f>
        <v>10759846</v>
      </c>
      <c r="B88" t="s">
        <v>22</v>
      </c>
      <c r="C88" s="1">
        <v>44146</v>
      </c>
      <c r="D88">
        <v>278500</v>
      </c>
      <c r="E88" t="s">
        <v>37</v>
      </c>
      <c r="F88">
        <v>1958</v>
      </c>
      <c r="G88">
        <v>504</v>
      </c>
      <c r="H88" t="s">
        <v>88</v>
      </c>
      <c r="I88" t="str">
        <f t="shared" si="1"/>
        <v>25</v>
      </c>
      <c r="J88">
        <v>60025</v>
      </c>
      <c r="K88">
        <v>0</v>
      </c>
      <c r="L88">
        <v>7</v>
      </c>
      <c r="M88">
        <v>2</v>
      </c>
      <c r="N88">
        <v>1</v>
      </c>
      <c r="O88" t="s">
        <v>41</v>
      </c>
      <c r="P88">
        <v>3</v>
      </c>
      <c r="Q88">
        <v>0</v>
      </c>
      <c r="R88" t="s">
        <v>26</v>
      </c>
      <c r="S88">
        <v>1</v>
      </c>
    </row>
    <row r="89" spans="1:22" x14ac:dyDescent="0.45">
      <c r="A89" t="str">
        <f>"10395018"</f>
        <v>10395018</v>
      </c>
      <c r="B89" t="s">
        <v>22</v>
      </c>
      <c r="C89" s="1">
        <v>43647</v>
      </c>
      <c r="D89">
        <v>280000</v>
      </c>
      <c r="E89" t="s">
        <v>23</v>
      </c>
      <c r="F89">
        <v>1954</v>
      </c>
      <c r="G89">
        <v>320</v>
      </c>
      <c r="H89" t="s">
        <v>89</v>
      </c>
      <c r="I89" t="str">
        <f t="shared" si="1"/>
        <v>25</v>
      </c>
      <c r="J89">
        <v>60025</v>
      </c>
      <c r="K89">
        <v>1040</v>
      </c>
      <c r="L89">
        <v>5</v>
      </c>
      <c r="M89">
        <v>1</v>
      </c>
      <c r="N89">
        <v>0</v>
      </c>
      <c r="O89" t="s">
        <v>25</v>
      </c>
      <c r="P89">
        <v>3</v>
      </c>
      <c r="Q89">
        <v>0</v>
      </c>
      <c r="R89" t="s">
        <v>35</v>
      </c>
      <c r="S89">
        <v>2</v>
      </c>
    </row>
    <row r="90" spans="1:22" x14ac:dyDescent="0.45">
      <c r="A90" t="str">
        <f>"10172861"</f>
        <v>10172861</v>
      </c>
      <c r="B90" t="s">
        <v>22</v>
      </c>
      <c r="C90" s="1">
        <v>43601</v>
      </c>
      <c r="D90">
        <v>280000</v>
      </c>
      <c r="E90" t="s">
        <v>60</v>
      </c>
      <c r="F90">
        <v>1953</v>
      </c>
      <c r="G90">
        <v>326</v>
      </c>
      <c r="H90" t="s">
        <v>63</v>
      </c>
      <c r="I90" t="str">
        <f t="shared" si="1"/>
        <v>25</v>
      </c>
      <c r="J90">
        <v>60025</v>
      </c>
      <c r="K90">
        <v>1200</v>
      </c>
      <c r="L90">
        <v>8</v>
      </c>
      <c r="M90">
        <v>2</v>
      </c>
      <c r="N90">
        <v>0</v>
      </c>
      <c r="O90" t="s">
        <v>25</v>
      </c>
      <c r="P90">
        <v>4</v>
      </c>
      <c r="Q90">
        <v>0</v>
      </c>
      <c r="R90" t="s">
        <v>35</v>
      </c>
      <c r="S90">
        <v>2</v>
      </c>
      <c r="U90">
        <v>0</v>
      </c>
      <c r="V90" t="s">
        <v>33</v>
      </c>
    </row>
    <row r="91" spans="1:22" x14ac:dyDescent="0.45">
      <c r="A91" t="str">
        <f>"10688305"</f>
        <v>10688305</v>
      </c>
      <c r="B91" t="s">
        <v>22</v>
      </c>
      <c r="C91" s="1">
        <v>44040</v>
      </c>
      <c r="D91">
        <v>280000</v>
      </c>
      <c r="E91" t="s">
        <v>23</v>
      </c>
      <c r="F91">
        <v>1953</v>
      </c>
      <c r="G91">
        <v>2110</v>
      </c>
      <c r="H91" t="s">
        <v>90</v>
      </c>
      <c r="I91" t="str">
        <f t="shared" si="1"/>
        <v>25</v>
      </c>
      <c r="J91">
        <v>60025</v>
      </c>
      <c r="K91">
        <v>886</v>
      </c>
      <c r="L91">
        <v>5</v>
      </c>
      <c r="M91">
        <v>2</v>
      </c>
      <c r="N91">
        <v>0</v>
      </c>
      <c r="O91" t="s">
        <v>41</v>
      </c>
      <c r="P91">
        <v>2</v>
      </c>
      <c r="Q91">
        <v>0</v>
      </c>
      <c r="R91" t="s">
        <v>26</v>
      </c>
      <c r="S91">
        <v>1</v>
      </c>
    </row>
    <row r="92" spans="1:22" x14ac:dyDescent="0.45">
      <c r="A92" t="str">
        <f>"10385210"</f>
        <v>10385210</v>
      </c>
      <c r="B92" t="s">
        <v>22</v>
      </c>
      <c r="C92" s="1">
        <v>43804</v>
      </c>
      <c r="D92">
        <v>280000</v>
      </c>
      <c r="E92" t="s">
        <v>60</v>
      </c>
      <c r="F92">
        <v>1950</v>
      </c>
      <c r="G92">
        <v>2235</v>
      </c>
      <c r="H92" t="s">
        <v>91</v>
      </c>
      <c r="I92" t="str">
        <f t="shared" si="1"/>
        <v>25</v>
      </c>
      <c r="J92">
        <v>60025</v>
      </c>
      <c r="K92">
        <v>1800</v>
      </c>
      <c r="L92">
        <v>7</v>
      </c>
      <c r="M92">
        <v>2</v>
      </c>
      <c r="N92">
        <v>0</v>
      </c>
      <c r="O92" t="s">
        <v>25</v>
      </c>
      <c r="P92">
        <v>3</v>
      </c>
      <c r="Q92">
        <v>0</v>
      </c>
      <c r="R92" t="s">
        <v>35</v>
      </c>
      <c r="S92">
        <v>2</v>
      </c>
      <c r="T92">
        <v>3</v>
      </c>
    </row>
    <row r="93" spans="1:22" x14ac:dyDescent="0.45">
      <c r="A93" t="str">
        <f>"10398511"</f>
        <v>10398511</v>
      </c>
      <c r="B93" t="s">
        <v>22</v>
      </c>
      <c r="C93" s="1">
        <v>43735</v>
      </c>
      <c r="D93">
        <v>284000</v>
      </c>
      <c r="E93" t="s">
        <v>23</v>
      </c>
      <c r="F93">
        <v>1953</v>
      </c>
      <c r="G93">
        <v>710</v>
      </c>
      <c r="H93" t="s">
        <v>80</v>
      </c>
      <c r="I93" t="str">
        <f t="shared" si="1"/>
        <v>25</v>
      </c>
      <c r="J93">
        <v>60025</v>
      </c>
      <c r="K93">
        <v>1134</v>
      </c>
      <c r="L93">
        <v>6</v>
      </c>
      <c r="M93">
        <v>1</v>
      </c>
      <c r="N93">
        <v>0</v>
      </c>
      <c r="O93" t="s">
        <v>25</v>
      </c>
      <c r="P93">
        <v>3</v>
      </c>
      <c r="Q93">
        <v>0</v>
      </c>
      <c r="R93" t="s">
        <v>35</v>
      </c>
      <c r="S93">
        <v>2</v>
      </c>
      <c r="V93" t="s">
        <v>27</v>
      </c>
    </row>
    <row r="94" spans="1:22" x14ac:dyDescent="0.45">
      <c r="A94" t="str">
        <f>"10256106"</f>
        <v>10256106</v>
      </c>
      <c r="B94" t="s">
        <v>22</v>
      </c>
      <c r="C94" s="1">
        <v>43539</v>
      </c>
      <c r="D94">
        <v>285000</v>
      </c>
      <c r="E94" t="s">
        <v>23</v>
      </c>
      <c r="F94">
        <v>1959</v>
      </c>
      <c r="G94">
        <v>535</v>
      </c>
      <c r="H94" t="s">
        <v>43</v>
      </c>
      <c r="I94" t="str">
        <f t="shared" si="1"/>
        <v>25</v>
      </c>
      <c r="J94">
        <v>60025</v>
      </c>
      <c r="K94">
        <v>1658</v>
      </c>
      <c r="L94">
        <v>8</v>
      </c>
      <c r="M94">
        <v>2</v>
      </c>
      <c r="N94">
        <v>0</v>
      </c>
      <c r="O94" t="s">
        <v>25</v>
      </c>
      <c r="P94">
        <v>3</v>
      </c>
      <c r="Q94">
        <v>0</v>
      </c>
      <c r="R94" t="s">
        <v>26</v>
      </c>
      <c r="S94">
        <v>1</v>
      </c>
      <c r="U94">
        <v>0</v>
      </c>
      <c r="V94" t="s">
        <v>27</v>
      </c>
    </row>
    <row r="95" spans="1:22" x14ac:dyDescent="0.45">
      <c r="A95" t="str">
        <f>"10722022"</f>
        <v>10722022</v>
      </c>
      <c r="B95" t="s">
        <v>22</v>
      </c>
      <c r="C95" s="1">
        <v>44029</v>
      </c>
      <c r="D95">
        <v>286000</v>
      </c>
      <c r="E95" t="s">
        <v>23</v>
      </c>
      <c r="F95">
        <v>1960</v>
      </c>
      <c r="G95">
        <v>331</v>
      </c>
      <c r="H95" t="s">
        <v>39</v>
      </c>
      <c r="I95" t="str">
        <f t="shared" si="1"/>
        <v>25</v>
      </c>
      <c r="J95">
        <v>60025</v>
      </c>
      <c r="K95">
        <v>1200</v>
      </c>
      <c r="L95">
        <v>6</v>
      </c>
      <c r="M95">
        <v>2</v>
      </c>
      <c r="N95">
        <v>0</v>
      </c>
      <c r="O95" t="s">
        <v>25</v>
      </c>
      <c r="P95">
        <v>3</v>
      </c>
      <c r="Q95">
        <v>0</v>
      </c>
      <c r="R95" t="s">
        <v>26</v>
      </c>
      <c r="S95">
        <v>1</v>
      </c>
      <c r="V95" t="s">
        <v>27</v>
      </c>
    </row>
    <row r="96" spans="1:22" x14ac:dyDescent="0.45">
      <c r="A96" t="str">
        <f>"10589575"</f>
        <v>10589575</v>
      </c>
      <c r="B96" t="s">
        <v>22</v>
      </c>
      <c r="C96" s="1">
        <v>43882</v>
      </c>
      <c r="D96">
        <v>286176</v>
      </c>
      <c r="E96" t="s">
        <v>23</v>
      </c>
      <c r="F96">
        <v>1961</v>
      </c>
      <c r="G96">
        <v>613</v>
      </c>
      <c r="H96" t="s">
        <v>92</v>
      </c>
      <c r="I96" t="str">
        <f t="shared" si="1"/>
        <v>25</v>
      </c>
      <c r="J96">
        <v>60025</v>
      </c>
      <c r="K96">
        <v>1400</v>
      </c>
      <c r="L96">
        <v>6</v>
      </c>
      <c r="M96">
        <v>1</v>
      </c>
      <c r="N96">
        <v>1</v>
      </c>
      <c r="O96" t="s">
        <v>25</v>
      </c>
      <c r="P96">
        <v>2</v>
      </c>
      <c r="Q96">
        <v>0</v>
      </c>
      <c r="R96" t="s">
        <v>35</v>
      </c>
      <c r="S96">
        <v>1</v>
      </c>
      <c r="V96" t="s">
        <v>27</v>
      </c>
    </row>
    <row r="97" spans="1:22" x14ac:dyDescent="0.45">
      <c r="A97" t="str">
        <f>"10523048"</f>
        <v>10523048</v>
      </c>
      <c r="B97" t="s">
        <v>22</v>
      </c>
      <c r="C97" s="1">
        <v>43805</v>
      </c>
      <c r="D97">
        <v>287000</v>
      </c>
      <c r="E97" t="s">
        <v>23</v>
      </c>
      <c r="F97">
        <v>1960</v>
      </c>
      <c r="G97">
        <v>2535</v>
      </c>
      <c r="H97" t="s">
        <v>93</v>
      </c>
      <c r="I97" t="str">
        <f t="shared" si="1"/>
        <v>25</v>
      </c>
      <c r="J97">
        <v>60025</v>
      </c>
      <c r="K97">
        <v>1450</v>
      </c>
      <c r="L97">
        <v>9</v>
      </c>
      <c r="M97">
        <v>2</v>
      </c>
      <c r="N97">
        <v>0</v>
      </c>
      <c r="O97" t="s">
        <v>25</v>
      </c>
      <c r="P97">
        <v>3</v>
      </c>
      <c r="Q97">
        <v>0</v>
      </c>
      <c r="R97" t="s">
        <v>35</v>
      </c>
      <c r="S97">
        <v>2</v>
      </c>
      <c r="U97">
        <v>1100</v>
      </c>
      <c r="V97" t="s">
        <v>27</v>
      </c>
    </row>
    <row r="98" spans="1:22" x14ac:dyDescent="0.45">
      <c r="A98" t="str">
        <f>"10345205"</f>
        <v>10345205</v>
      </c>
      <c r="B98" t="s">
        <v>22</v>
      </c>
      <c r="C98" s="1">
        <v>43753</v>
      </c>
      <c r="D98">
        <v>289000</v>
      </c>
      <c r="E98" t="s">
        <v>23</v>
      </c>
      <c r="F98">
        <v>1956</v>
      </c>
      <c r="G98">
        <v>306</v>
      </c>
      <c r="H98" t="s">
        <v>56</v>
      </c>
      <c r="I98" t="str">
        <f t="shared" si="1"/>
        <v>25</v>
      </c>
      <c r="J98">
        <v>60025</v>
      </c>
      <c r="K98">
        <v>1110</v>
      </c>
      <c r="L98">
        <v>8</v>
      </c>
      <c r="M98">
        <v>1</v>
      </c>
      <c r="N98">
        <v>1</v>
      </c>
      <c r="O98" t="s">
        <v>41</v>
      </c>
      <c r="P98">
        <v>3</v>
      </c>
      <c r="Q98">
        <v>1</v>
      </c>
      <c r="T98">
        <v>2</v>
      </c>
      <c r="V98" t="s">
        <v>27</v>
      </c>
    </row>
    <row r="99" spans="1:22" x14ac:dyDescent="0.45">
      <c r="A99" t="str">
        <f>"10855063"</f>
        <v>10855063</v>
      </c>
      <c r="B99" t="s">
        <v>22</v>
      </c>
      <c r="C99" s="1">
        <v>44141</v>
      </c>
      <c r="D99">
        <v>290000</v>
      </c>
      <c r="E99" t="s">
        <v>23</v>
      </c>
      <c r="F99">
        <v>1957</v>
      </c>
      <c r="G99">
        <v>619</v>
      </c>
      <c r="H99" t="s">
        <v>94</v>
      </c>
      <c r="I99" t="str">
        <f t="shared" si="1"/>
        <v>25</v>
      </c>
      <c r="J99">
        <v>60025</v>
      </c>
      <c r="K99">
        <v>1388</v>
      </c>
      <c r="L99">
        <v>6</v>
      </c>
      <c r="M99">
        <v>1</v>
      </c>
      <c r="N99">
        <v>0</v>
      </c>
      <c r="O99" t="s">
        <v>25</v>
      </c>
      <c r="P99">
        <v>3</v>
      </c>
      <c r="Q99">
        <v>0</v>
      </c>
      <c r="R99" t="s">
        <v>26</v>
      </c>
      <c r="S99">
        <v>1</v>
      </c>
      <c r="V99" t="s">
        <v>27</v>
      </c>
    </row>
    <row r="100" spans="1:22" x14ac:dyDescent="0.45">
      <c r="A100" t="str">
        <f>"10556920"</f>
        <v>10556920</v>
      </c>
      <c r="B100" t="s">
        <v>22</v>
      </c>
      <c r="C100" s="1">
        <v>43854</v>
      </c>
      <c r="D100">
        <v>290000</v>
      </c>
      <c r="E100" t="s">
        <v>37</v>
      </c>
      <c r="F100">
        <v>1958</v>
      </c>
      <c r="G100">
        <v>210</v>
      </c>
      <c r="H100" t="s">
        <v>95</v>
      </c>
      <c r="I100" t="str">
        <f t="shared" si="1"/>
        <v>25</v>
      </c>
      <c r="J100">
        <v>60025</v>
      </c>
      <c r="K100">
        <v>1225</v>
      </c>
      <c r="L100">
        <v>7</v>
      </c>
      <c r="M100">
        <v>2</v>
      </c>
      <c r="N100">
        <v>0</v>
      </c>
      <c r="O100" t="s">
        <v>25</v>
      </c>
      <c r="P100">
        <v>3</v>
      </c>
      <c r="Q100">
        <v>0</v>
      </c>
      <c r="R100" t="s">
        <v>26</v>
      </c>
      <c r="S100">
        <v>2</v>
      </c>
    </row>
    <row r="101" spans="1:22" x14ac:dyDescent="0.45">
      <c r="A101" t="str">
        <f>"10338946"</f>
        <v>10338946</v>
      </c>
      <c r="B101" t="s">
        <v>22</v>
      </c>
      <c r="C101" s="1">
        <v>43644</v>
      </c>
      <c r="D101">
        <v>290000</v>
      </c>
      <c r="E101" t="s">
        <v>60</v>
      </c>
      <c r="F101">
        <v>1960</v>
      </c>
      <c r="G101">
        <v>105</v>
      </c>
      <c r="H101" t="s">
        <v>96</v>
      </c>
      <c r="I101" t="str">
        <f t="shared" si="1"/>
        <v>25</v>
      </c>
      <c r="J101">
        <v>60025</v>
      </c>
      <c r="K101">
        <v>1344</v>
      </c>
      <c r="L101">
        <v>6</v>
      </c>
      <c r="M101">
        <v>2</v>
      </c>
      <c r="N101">
        <v>0</v>
      </c>
      <c r="O101" t="s">
        <v>41</v>
      </c>
      <c r="P101">
        <v>3</v>
      </c>
      <c r="Q101">
        <v>0</v>
      </c>
      <c r="R101" t="s">
        <v>26</v>
      </c>
      <c r="S101">
        <v>1.5</v>
      </c>
      <c r="U101">
        <v>0</v>
      </c>
    </row>
    <row r="102" spans="1:22" x14ac:dyDescent="0.45">
      <c r="A102" t="str">
        <f>"10550130"</f>
        <v>10550130</v>
      </c>
      <c r="B102" t="s">
        <v>22</v>
      </c>
      <c r="C102" s="1">
        <v>44014</v>
      </c>
      <c r="D102">
        <v>290000</v>
      </c>
      <c r="E102" t="s">
        <v>60</v>
      </c>
      <c r="F102" t="s">
        <v>29</v>
      </c>
      <c r="G102">
        <v>3115</v>
      </c>
      <c r="H102" t="s">
        <v>97</v>
      </c>
      <c r="I102" t="str">
        <f t="shared" si="1"/>
        <v>25</v>
      </c>
      <c r="J102">
        <v>60025</v>
      </c>
      <c r="K102">
        <v>1400</v>
      </c>
      <c r="L102">
        <v>6</v>
      </c>
      <c r="M102">
        <v>2</v>
      </c>
      <c r="N102">
        <v>0</v>
      </c>
      <c r="O102" t="s">
        <v>25</v>
      </c>
      <c r="P102">
        <v>3</v>
      </c>
      <c r="Q102">
        <v>0</v>
      </c>
      <c r="R102" t="s">
        <v>35</v>
      </c>
      <c r="S102">
        <v>1</v>
      </c>
      <c r="V102" t="s">
        <v>33</v>
      </c>
    </row>
    <row r="103" spans="1:22" x14ac:dyDescent="0.45">
      <c r="A103" t="str">
        <f>"10894402"</f>
        <v>10894402</v>
      </c>
      <c r="B103" t="s">
        <v>22</v>
      </c>
      <c r="C103" s="1">
        <v>44174</v>
      </c>
      <c r="D103">
        <v>291000</v>
      </c>
      <c r="E103" t="s">
        <v>23</v>
      </c>
      <c r="F103">
        <v>1962</v>
      </c>
      <c r="G103">
        <v>342</v>
      </c>
      <c r="H103" t="s">
        <v>39</v>
      </c>
      <c r="I103" t="str">
        <f t="shared" si="1"/>
        <v>25</v>
      </c>
      <c r="J103">
        <v>60025</v>
      </c>
      <c r="K103">
        <v>1675</v>
      </c>
      <c r="L103">
        <v>9</v>
      </c>
      <c r="M103">
        <v>3</v>
      </c>
      <c r="N103">
        <v>0</v>
      </c>
      <c r="O103" t="s">
        <v>25</v>
      </c>
      <c r="P103">
        <v>4</v>
      </c>
      <c r="Q103">
        <v>0</v>
      </c>
      <c r="R103" t="s">
        <v>35</v>
      </c>
      <c r="S103">
        <v>2</v>
      </c>
    </row>
    <row r="104" spans="1:22" x14ac:dyDescent="0.45">
      <c r="A104" t="str">
        <f>"10751329"</f>
        <v>10751329</v>
      </c>
      <c r="B104" t="s">
        <v>22</v>
      </c>
      <c r="C104" s="1">
        <v>44173</v>
      </c>
      <c r="D104">
        <v>292000</v>
      </c>
      <c r="E104" t="s">
        <v>98</v>
      </c>
      <c r="F104">
        <v>1942</v>
      </c>
      <c r="G104">
        <v>614</v>
      </c>
      <c r="H104" t="s">
        <v>99</v>
      </c>
      <c r="I104" t="str">
        <f t="shared" si="1"/>
        <v>25</v>
      </c>
      <c r="J104">
        <v>60025</v>
      </c>
      <c r="K104">
        <v>0</v>
      </c>
      <c r="L104">
        <v>6</v>
      </c>
      <c r="M104">
        <v>1</v>
      </c>
      <c r="N104">
        <v>1</v>
      </c>
      <c r="O104" t="s">
        <v>25</v>
      </c>
      <c r="P104">
        <v>2</v>
      </c>
      <c r="Q104">
        <v>0</v>
      </c>
      <c r="R104" t="s">
        <v>26</v>
      </c>
      <c r="S104">
        <v>1</v>
      </c>
      <c r="V104" t="s">
        <v>27</v>
      </c>
    </row>
    <row r="105" spans="1:22" x14ac:dyDescent="0.45">
      <c r="A105" t="str">
        <f>"10290670"</f>
        <v>10290670</v>
      </c>
      <c r="B105" t="s">
        <v>22</v>
      </c>
      <c r="C105" s="1">
        <v>43567</v>
      </c>
      <c r="D105">
        <v>295000</v>
      </c>
      <c r="E105" t="s">
        <v>37</v>
      </c>
      <c r="F105">
        <v>1964</v>
      </c>
      <c r="G105">
        <v>401</v>
      </c>
      <c r="H105" t="s">
        <v>63</v>
      </c>
      <c r="I105" t="str">
        <f t="shared" si="1"/>
        <v>25</v>
      </c>
      <c r="J105">
        <v>60025</v>
      </c>
      <c r="K105">
        <v>1380</v>
      </c>
      <c r="L105">
        <v>7</v>
      </c>
      <c r="M105">
        <v>2</v>
      </c>
      <c r="N105">
        <v>0</v>
      </c>
      <c r="O105" t="s">
        <v>25</v>
      </c>
      <c r="P105">
        <v>3</v>
      </c>
      <c r="Q105">
        <v>0</v>
      </c>
      <c r="R105" t="s">
        <v>26</v>
      </c>
      <c r="S105">
        <v>2</v>
      </c>
    </row>
    <row r="106" spans="1:22" x14ac:dyDescent="0.45">
      <c r="A106" t="str">
        <f>"10161300"</f>
        <v>10161300</v>
      </c>
      <c r="B106" t="s">
        <v>22</v>
      </c>
      <c r="C106" s="1">
        <v>43539</v>
      </c>
      <c r="D106">
        <v>295000</v>
      </c>
      <c r="E106" t="s">
        <v>23</v>
      </c>
      <c r="F106">
        <v>1952</v>
      </c>
      <c r="G106">
        <v>1826</v>
      </c>
      <c r="H106" t="s">
        <v>100</v>
      </c>
      <c r="I106" t="str">
        <f t="shared" si="1"/>
        <v>25</v>
      </c>
      <c r="J106">
        <v>60025</v>
      </c>
      <c r="K106">
        <v>0</v>
      </c>
      <c r="L106">
        <v>7</v>
      </c>
      <c r="M106">
        <v>2</v>
      </c>
      <c r="N106">
        <v>0</v>
      </c>
      <c r="O106" t="s">
        <v>25</v>
      </c>
      <c r="P106">
        <v>3</v>
      </c>
      <c r="Q106">
        <v>0</v>
      </c>
      <c r="R106" t="s">
        <v>26</v>
      </c>
      <c r="S106">
        <v>1</v>
      </c>
      <c r="V106" t="s">
        <v>27</v>
      </c>
    </row>
    <row r="107" spans="1:22" x14ac:dyDescent="0.45">
      <c r="A107" t="str">
        <f>"10447428"</f>
        <v>10447428</v>
      </c>
      <c r="B107" t="s">
        <v>22</v>
      </c>
      <c r="C107" s="1">
        <v>43670</v>
      </c>
      <c r="D107">
        <v>295000</v>
      </c>
      <c r="E107" t="s">
        <v>23</v>
      </c>
      <c r="F107">
        <v>1958</v>
      </c>
      <c r="G107">
        <v>1213</v>
      </c>
      <c r="H107" t="s">
        <v>101</v>
      </c>
      <c r="I107" t="str">
        <f t="shared" si="1"/>
        <v>25</v>
      </c>
      <c r="J107">
        <v>60025</v>
      </c>
      <c r="K107">
        <v>0</v>
      </c>
      <c r="L107">
        <v>7</v>
      </c>
      <c r="M107">
        <v>1</v>
      </c>
      <c r="N107">
        <v>0</v>
      </c>
      <c r="O107" t="s">
        <v>25</v>
      </c>
      <c r="P107">
        <v>3</v>
      </c>
      <c r="Q107">
        <v>0</v>
      </c>
      <c r="R107" t="s">
        <v>26</v>
      </c>
      <c r="S107">
        <v>2</v>
      </c>
      <c r="V107" t="s">
        <v>27</v>
      </c>
    </row>
    <row r="108" spans="1:22" x14ac:dyDescent="0.45">
      <c r="A108" t="str">
        <f>"10741584"</f>
        <v>10741584</v>
      </c>
      <c r="B108" t="s">
        <v>22</v>
      </c>
      <c r="C108" s="1">
        <v>44033</v>
      </c>
      <c r="D108">
        <v>295000</v>
      </c>
      <c r="E108" t="s">
        <v>23</v>
      </c>
      <c r="F108">
        <v>1951</v>
      </c>
      <c r="G108">
        <v>235</v>
      </c>
      <c r="H108" t="s">
        <v>87</v>
      </c>
      <c r="I108" t="str">
        <f t="shared" si="1"/>
        <v>25</v>
      </c>
      <c r="J108">
        <v>60025</v>
      </c>
      <c r="K108">
        <v>1200</v>
      </c>
      <c r="L108">
        <v>5</v>
      </c>
      <c r="M108">
        <v>1</v>
      </c>
      <c r="N108">
        <v>0</v>
      </c>
      <c r="O108" t="s">
        <v>25</v>
      </c>
      <c r="P108">
        <v>2</v>
      </c>
      <c r="Q108">
        <v>0</v>
      </c>
      <c r="R108" t="s">
        <v>35</v>
      </c>
      <c r="S108">
        <v>1</v>
      </c>
    </row>
    <row r="109" spans="1:22" x14ac:dyDescent="0.45">
      <c r="A109" t="str">
        <f>"10512132"</f>
        <v>10512132</v>
      </c>
      <c r="B109" t="s">
        <v>22</v>
      </c>
      <c r="C109" s="1">
        <v>43935</v>
      </c>
      <c r="D109">
        <v>295000</v>
      </c>
      <c r="E109" t="s">
        <v>37</v>
      </c>
      <c r="F109">
        <v>1957</v>
      </c>
      <c r="G109">
        <v>337</v>
      </c>
      <c r="H109" t="s">
        <v>55</v>
      </c>
      <c r="I109" t="str">
        <f t="shared" si="1"/>
        <v>25</v>
      </c>
      <c r="J109">
        <v>60025</v>
      </c>
      <c r="K109">
        <v>1395</v>
      </c>
      <c r="L109">
        <v>7</v>
      </c>
      <c r="M109">
        <v>2</v>
      </c>
      <c r="N109">
        <v>1</v>
      </c>
      <c r="O109" t="s">
        <v>41</v>
      </c>
      <c r="P109">
        <v>3</v>
      </c>
      <c r="Q109">
        <v>0</v>
      </c>
      <c r="R109" t="s">
        <v>35</v>
      </c>
      <c r="S109">
        <v>2.5</v>
      </c>
      <c r="T109">
        <v>4</v>
      </c>
      <c r="V109" t="s">
        <v>36</v>
      </c>
    </row>
    <row r="110" spans="1:22" x14ac:dyDescent="0.45">
      <c r="A110" t="str">
        <f>"10560116"</f>
        <v>10560116</v>
      </c>
      <c r="B110" t="s">
        <v>22</v>
      </c>
      <c r="C110" s="1">
        <v>43861</v>
      </c>
      <c r="D110">
        <v>296000</v>
      </c>
      <c r="E110" t="s">
        <v>37</v>
      </c>
      <c r="F110">
        <v>1958</v>
      </c>
      <c r="G110">
        <v>3231</v>
      </c>
      <c r="H110" t="s">
        <v>28</v>
      </c>
      <c r="I110" t="str">
        <f t="shared" si="1"/>
        <v>25</v>
      </c>
      <c r="J110">
        <v>60025</v>
      </c>
      <c r="K110">
        <v>1430</v>
      </c>
      <c r="L110">
        <v>7</v>
      </c>
      <c r="M110">
        <v>2</v>
      </c>
      <c r="N110">
        <v>0</v>
      </c>
      <c r="O110" t="s">
        <v>25</v>
      </c>
      <c r="P110">
        <v>3</v>
      </c>
      <c r="Q110">
        <v>0</v>
      </c>
      <c r="R110" t="s">
        <v>26</v>
      </c>
      <c r="S110">
        <v>2.5</v>
      </c>
      <c r="V110" t="s">
        <v>71</v>
      </c>
    </row>
    <row r="111" spans="1:22" x14ac:dyDescent="0.45">
      <c r="A111" t="str">
        <f>"10776173"</f>
        <v>10776173</v>
      </c>
      <c r="B111" t="s">
        <v>22</v>
      </c>
      <c r="C111" s="1">
        <v>44083</v>
      </c>
      <c r="D111">
        <v>299000</v>
      </c>
      <c r="E111" t="s">
        <v>31</v>
      </c>
      <c r="F111">
        <v>1959</v>
      </c>
      <c r="G111">
        <v>27</v>
      </c>
      <c r="H111" t="s">
        <v>102</v>
      </c>
      <c r="I111" t="str">
        <f t="shared" si="1"/>
        <v>25</v>
      </c>
      <c r="J111">
        <v>60025</v>
      </c>
      <c r="K111">
        <v>1170</v>
      </c>
      <c r="L111">
        <v>7</v>
      </c>
      <c r="M111">
        <v>1</v>
      </c>
      <c r="N111">
        <v>1</v>
      </c>
      <c r="O111" t="s">
        <v>25</v>
      </c>
      <c r="P111">
        <v>3</v>
      </c>
      <c r="Q111">
        <v>0</v>
      </c>
      <c r="R111" t="s">
        <v>35</v>
      </c>
      <c r="S111">
        <v>2.5</v>
      </c>
      <c r="V111" t="s">
        <v>71</v>
      </c>
    </row>
    <row r="112" spans="1:22" x14ac:dyDescent="0.45">
      <c r="A112" t="str">
        <f>"10686820"</f>
        <v>10686820</v>
      </c>
      <c r="B112" t="s">
        <v>22</v>
      </c>
      <c r="C112" s="1">
        <v>44043</v>
      </c>
      <c r="D112">
        <v>299900</v>
      </c>
      <c r="E112" t="s">
        <v>60</v>
      </c>
      <c r="F112">
        <v>1948</v>
      </c>
      <c r="G112">
        <v>301</v>
      </c>
      <c r="H112" t="s">
        <v>52</v>
      </c>
      <c r="I112" t="str">
        <f t="shared" si="1"/>
        <v>25</v>
      </c>
      <c r="J112">
        <v>60025</v>
      </c>
      <c r="K112">
        <v>0</v>
      </c>
      <c r="L112">
        <v>8</v>
      </c>
      <c r="M112">
        <v>2</v>
      </c>
      <c r="N112">
        <v>0</v>
      </c>
      <c r="O112" t="s">
        <v>25</v>
      </c>
      <c r="P112">
        <v>4</v>
      </c>
      <c r="Q112">
        <v>0</v>
      </c>
      <c r="R112" t="s">
        <v>35</v>
      </c>
      <c r="S112">
        <v>2</v>
      </c>
    </row>
    <row r="113" spans="1:22" x14ac:dyDescent="0.45">
      <c r="A113" t="str">
        <f>"10673260"</f>
        <v>10673260</v>
      </c>
      <c r="B113" t="s">
        <v>22</v>
      </c>
      <c r="C113" s="1">
        <v>44049</v>
      </c>
      <c r="D113">
        <v>300000</v>
      </c>
      <c r="E113" t="s">
        <v>74</v>
      </c>
      <c r="F113">
        <v>1958</v>
      </c>
      <c r="G113">
        <v>221</v>
      </c>
      <c r="H113" t="s">
        <v>103</v>
      </c>
      <c r="I113" t="str">
        <f t="shared" si="1"/>
        <v>25</v>
      </c>
      <c r="J113">
        <v>60025</v>
      </c>
      <c r="K113">
        <v>0</v>
      </c>
      <c r="L113">
        <v>7</v>
      </c>
      <c r="M113">
        <v>2</v>
      </c>
      <c r="N113">
        <v>0</v>
      </c>
      <c r="O113" t="s">
        <v>41</v>
      </c>
      <c r="P113">
        <v>3</v>
      </c>
      <c r="Q113">
        <v>0</v>
      </c>
      <c r="R113" t="s">
        <v>26</v>
      </c>
      <c r="S113">
        <v>1</v>
      </c>
    </row>
    <row r="114" spans="1:22" x14ac:dyDescent="0.45">
      <c r="A114" t="str">
        <f>"10935934"</f>
        <v>10935934</v>
      </c>
      <c r="B114" t="s">
        <v>22</v>
      </c>
      <c r="C114" s="1">
        <v>44182</v>
      </c>
      <c r="D114">
        <v>300000</v>
      </c>
      <c r="E114" t="s">
        <v>37</v>
      </c>
      <c r="F114">
        <v>1959</v>
      </c>
      <c r="G114">
        <v>2915</v>
      </c>
      <c r="H114" t="s">
        <v>76</v>
      </c>
      <c r="I114" t="str">
        <f t="shared" si="1"/>
        <v>25</v>
      </c>
      <c r="J114">
        <v>60025</v>
      </c>
      <c r="K114">
        <v>1432</v>
      </c>
      <c r="L114">
        <v>8</v>
      </c>
      <c r="M114">
        <v>1</v>
      </c>
      <c r="N114">
        <v>1</v>
      </c>
      <c r="O114" t="s">
        <v>25</v>
      </c>
      <c r="P114">
        <v>3</v>
      </c>
      <c r="Q114">
        <v>0</v>
      </c>
      <c r="R114" t="s">
        <v>26</v>
      </c>
      <c r="S114">
        <v>1</v>
      </c>
      <c r="T114">
        <v>3</v>
      </c>
    </row>
    <row r="115" spans="1:22" x14ac:dyDescent="0.45">
      <c r="A115" t="str">
        <f>"10910056"</f>
        <v>10910056</v>
      </c>
      <c r="B115" t="s">
        <v>22</v>
      </c>
      <c r="C115" s="1">
        <v>44195</v>
      </c>
      <c r="D115">
        <v>300000</v>
      </c>
      <c r="E115" t="s">
        <v>23</v>
      </c>
      <c r="F115">
        <v>1958</v>
      </c>
      <c r="G115">
        <v>3401</v>
      </c>
      <c r="H115" t="s">
        <v>28</v>
      </c>
      <c r="I115" t="str">
        <f t="shared" si="1"/>
        <v>25</v>
      </c>
      <c r="J115">
        <v>60025</v>
      </c>
      <c r="K115">
        <v>2000</v>
      </c>
      <c r="L115">
        <v>8</v>
      </c>
      <c r="M115">
        <v>2</v>
      </c>
      <c r="N115">
        <v>0</v>
      </c>
      <c r="O115" t="s">
        <v>25</v>
      </c>
      <c r="P115">
        <v>4</v>
      </c>
      <c r="Q115">
        <v>0</v>
      </c>
      <c r="R115" t="s">
        <v>26</v>
      </c>
      <c r="S115">
        <v>1</v>
      </c>
      <c r="T115">
        <v>4</v>
      </c>
      <c r="V115" t="s">
        <v>27</v>
      </c>
    </row>
    <row r="116" spans="1:22" x14ac:dyDescent="0.45">
      <c r="A116" t="str">
        <f>"10259349"</f>
        <v>10259349</v>
      </c>
      <c r="B116" t="s">
        <v>22</v>
      </c>
      <c r="C116" s="1">
        <v>43623</v>
      </c>
      <c r="D116">
        <v>300000</v>
      </c>
      <c r="E116" t="s">
        <v>23</v>
      </c>
      <c r="F116">
        <v>1960</v>
      </c>
      <c r="G116">
        <v>1541</v>
      </c>
      <c r="H116" t="s">
        <v>104</v>
      </c>
      <c r="I116" t="str">
        <f t="shared" si="1"/>
        <v>25</v>
      </c>
      <c r="J116">
        <v>60025</v>
      </c>
      <c r="K116">
        <v>1424</v>
      </c>
      <c r="L116">
        <v>8</v>
      </c>
      <c r="M116">
        <v>2</v>
      </c>
      <c r="N116">
        <v>1</v>
      </c>
      <c r="O116" t="s">
        <v>41</v>
      </c>
      <c r="P116">
        <v>3</v>
      </c>
      <c r="Q116">
        <v>1</v>
      </c>
      <c r="R116" t="s">
        <v>26</v>
      </c>
      <c r="S116">
        <v>1</v>
      </c>
      <c r="V116" t="s">
        <v>27</v>
      </c>
    </row>
    <row r="117" spans="1:22" x14ac:dyDescent="0.45">
      <c r="A117" t="str">
        <f>"10294072"</f>
        <v>10294072</v>
      </c>
      <c r="B117" t="s">
        <v>22</v>
      </c>
      <c r="C117" s="1">
        <v>43591</v>
      </c>
      <c r="D117">
        <v>300000</v>
      </c>
      <c r="E117" t="s">
        <v>31</v>
      </c>
      <c r="F117">
        <v>1956</v>
      </c>
      <c r="G117">
        <v>2414</v>
      </c>
      <c r="H117" t="s">
        <v>105</v>
      </c>
      <c r="I117" t="str">
        <f t="shared" si="1"/>
        <v>25</v>
      </c>
      <c r="J117">
        <v>60025</v>
      </c>
      <c r="K117">
        <v>1358</v>
      </c>
      <c r="L117">
        <v>7</v>
      </c>
      <c r="M117">
        <v>2</v>
      </c>
      <c r="N117">
        <v>0</v>
      </c>
      <c r="O117" t="s">
        <v>41</v>
      </c>
      <c r="P117">
        <v>3</v>
      </c>
      <c r="Q117">
        <v>0</v>
      </c>
      <c r="T117">
        <v>2</v>
      </c>
      <c r="V117" t="s">
        <v>71</v>
      </c>
    </row>
    <row r="118" spans="1:22" x14ac:dyDescent="0.45">
      <c r="A118" t="str">
        <f>"10731756"</f>
        <v>10731756</v>
      </c>
      <c r="B118" t="s">
        <v>22</v>
      </c>
      <c r="C118" s="1">
        <v>44032</v>
      </c>
      <c r="D118">
        <v>300200</v>
      </c>
      <c r="E118" t="s">
        <v>23</v>
      </c>
      <c r="F118">
        <v>1960</v>
      </c>
      <c r="G118">
        <v>3102</v>
      </c>
      <c r="H118" t="s">
        <v>28</v>
      </c>
      <c r="I118" t="str">
        <f t="shared" si="1"/>
        <v>25</v>
      </c>
      <c r="J118">
        <v>60025</v>
      </c>
      <c r="K118">
        <v>1585</v>
      </c>
      <c r="L118">
        <v>7</v>
      </c>
      <c r="M118">
        <v>1</v>
      </c>
      <c r="N118">
        <v>1</v>
      </c>
      <c r="O118" t="s">
        <v>25</v>
      </c>
      <c r="P118">
        <v>3</v>
      </c>
      <c r="Q118">
        <v>0</v>
      </c>
      <c r="R118" t="s">
        <v>26</v>
      </c>
      <c r="S118">
        <v>2</v>
      </c>
      <c r="V118" t="s">
        <v>27</v>
      </c>
    </row>
    <row r="119" spans="1:22" x14ac:dyDescent="0.45">
      <c r="A119" t="str">
        <f>"10415186"</f>
        <v>10415186</v>
      </c>
      <c r="B119" t="s">
        <v>22</v>
      </c>
      <c r="C119" s="1">
        <v>43721</v>
      </c>
      <c r="D119">
        <v>303000</v>
      </c>
      <c r="E119" t="s">
        <v>31</v>
      </c>
      <c r="F119">
        <v>1943</v>
      </c>
      <c r="G119">
        <v>609</v>
      </c>
      <c r="H119" t="s">
        <v>106</v>
      </c>
      <c r="I119" t="str">
        <f t="shared" si="1"/>
        <v>25</v>
      </c>
      <c r="J119">
        <v>60025</v>
      </c>
      <c r="K119">
        <v>1655</v>
      </c>
      <c r="L119">
        <v>7</v>
      </c>
      <c r="M119">
        <v>1</v>
      </c>
      <c r="N119">
        <v>1</v>
      </c>
      <c r="O119" t="s">
        <v>25</v>
      </c>
      <c r="P119">
        <v>3</v>
      </c>
      <c r="Q119">
        <v>0</v>
      </c>
      <c r="R119" t="s">
        <v>35</v>
      </c>
      <c r="S119">
        <v>1</v>
      </c>
      <c r="T119">
        <v>3</v>
      </c>
      <c r="V119" t="s">
        <v>33</v>
      </c>
    </row>
    <row r="120" spans="1:22" x14ac:dyDescent="0.45">
      <c r="A120" t="str">
        <f>"10806607"</f>
        <v>10806607</v>
      </c>
      <c r="B120" t="s">
        <v>22</v>
      </c>
      <c r="C120" s="1">
        <v>44070</v>
      </c>
      <c r="D120">
        <v>305000</v>
      </c>
      <c r="E120" t="s">
        <v>60</v>
      </c>
      <c r="F120" t="s">
        <v>29</v>
      </c>
      <c r="G120">
        <v>909</v>
      </c>
      <c r="H120" t="s">
        <v>107</v>
      </c>
      <c r="I120" t="str">
        <f t="shared" si="1"/>
        <v>25</v>
      </c>
      <c r="J120">
        <v>60025</v>
      </c>
      <c r="K120">
        <v>2332</v>
      </c>
      <c r="L120">
        <v>10</v>
      </c>
      <c r="M120">
        <v>2</v>
      </c>
      <c r="N120">
        <v>1</v>
      </c>
      <c r="O120" t="s">
        <v>25</v>
      </c>
      <c r="P120">
        <v>5</v>
      </c>
      <c r="Q120">
        <v>0</v>
      </c>
      <c r="R120" t="s">
        <v>35</v>
      </c>
      <c r="S120">
        <v>1</v>
      </c>
    </row>
    <row r="121" spans="1:22" x14ac:dyDescent="0.45">
      <c r="A121" t="str">
        <f>"10427802"</f>
        <v>10427802</v>
      </c>
      <c r="B121" t="s">
        <v>22</v>
      </c>
      <c r="C121" s="1">
        <v>43677</v>
      </c>
      <c r="D121">
        <v>305000</v>
      </c>
      <c r="E121" t="s">
        <v>23</v>
      </c>
      <c r="F121">
        <v>1953</v>
      </c>
      <c r="G121">
        <v>649</v>
      </c>
      <c r="H121" t="s">
        <v>108</v>
      </c>
      <c r="I121" t="str">
        <f t="shared" si="1"/>
        <v>25</v>
      </c>
      <c r="J121">
        <v>60025</v>
      </c>
      <c r="K121">
        <v>1161</v>
      </c>
      <c r="L121">
        <v>7</v>
      </c>
      <c r="M121">
        <v>2</v>
      </c>
      <c r="N121">
        <v>0</v>
      </c>
      <c r="O121" t="s">
        <v>41</v>
      </c>
      <c r="P121">
        <v>4</v>
      </c>
      <c r="Q121">
        <v>0</v>
      </c>
      <c r="R121" t="s">
        <v>35</v>
      </c>
      <c r="S121">
        <v>2</v>
      </c>
    </row>
    <row r="122" spans="1:22" x14ac:dyDescent="0.45">
      <c r="A122" t="str">
        <f>"10669337"</f>
        <v>10669337</v>
      </c>
      <c r="B122" t="s">
        <v>22</v>
      </c>
      <c r="C122" s="1">
        <v>44054</v>
      </c>
      <c r="D122">
        <v>307000</v>
      </c>
      <c r="E122" t="s">
        <v>23</v>
      </c>
      <c r="F122">
        <v>1955</v>
      </c>
      <c r="G122">
        <v>4642</v>
      </c>
      <c r="H122" t="s">
        <v>109</v>
      </c>
      <c r="I122" t="str">
        <f t="shared" si="1"/>
        <v>25</v>
      </c>
      <c r="J122">
        <v>60025</v>
      </c>
      <c r="K122">
        <v>1892</v>
      </c>
      <c r="L122">
        <v>8</v>
      </c>
      <c r="M122">
        <v>2</v>
      </c>
      <c r="N122">
        <v>0</v>
      </c>
      <c r="O122" t="s">
        <v>25</v>
      </c>
      <c r="P122">
        <v>4</v>
      </c>
      <c r="Q122">
        <v>0</v>
      </c>
      <c r="R122" t="s">
        <v>26</v>
      </c>
      <c r="S122">
        <v>1</v>
      </c>
      <c r="V122" t="s">
        <v>27</v>
      </c>
    </row>
    <row r="123" spans="1:22" x14ac:dyDescent="0.45">
      <c r="A123" t="str">
        <f>"10094827"</f>
        <v>10094827</v>
      </c>
      <c r="B123" t="s">
        <v>22</v>
      </c>
      <c r="C123" s="1">
        <v>43476</v>
      </c>
      <c r="D123">
        <v>309000</v>
      </c>
      <c r="E123" t="s">
        <v>37</v>
      </c>
      <c r="F123">
        <v>1959</v>
      </c>
      <c r="G123">
        <v>422</v>
      </c>
      <c r="H123" t="s">
        <v>110</v>
      </c>
      <c r="I123" t="str">
        <f t="shared" si="1"/>
        <v>25</v>
      </c>
      <c r="J123">
        <v>60025</v>
      </c>
      <c r="K123">
        <v>1577</v>
      </c>
      <c r="L123">
        <v>7</v>
      </c>
      <c r="M123">
        <v>2</v>
      </c>
      <c r="N123">
        <v>0</v>
      </c>
      <c r="O123" t="s">
        <v>25</v>
      </c>
      <c r="P123">
        <v>3</v>
      </c>
      <c r="Q123">
        <v>0</v>
      </c>
      <c r="R123" t="s">
        <v>26</v>
      </c>
      <c r="S123">
        <v>2</v>
      </c>
    </row>
    <row r="124" spans="1:22" x14ac:dyDescent="0.45">
      <c r="A124" t="str">
        <f>"10322654"</f>
        <v>10322654</v>
      </c>
      <c r="B124" t="s">
        <v>22</v>
      </c>
      <c r="C124" s="1">
        <v>43616</v>
      </c>
      <c r="D124">
        <v>309000</v>
      </c>
      <c r="E124" t="s">
        <v>23</v>
      </c>
      <c r="F124">
        <v>1949</v>
      </c>
      <c r="G124">
        <v>100</v>
      </c>
      <c r="H124" t="s">
        <v>75</v>
      </c>
      <c r="I124" t="str">
        <f t="shared" si="1"/>
        <v>25</v>
      </c>
      <c r="J124">
        <v>60025</v>
      </c>
      <c r="K124">
        <v>1400</v>
      </c>
      <c r="L124">
        <v>7</v>
      </c>
      <c r="M124">
        <v>1</v>
      </c>
      <c r="N124">
        <v>1</v>
      </c>
      <c r="O124" t="s">
        <v>25</v>
      </c>
      <c r="P124">
        <v>3</v>
      </c>
      <c r="Q124">
        <v>0</v>
      </c>
      <c r="R124" t="s">
        <v>26</v>
      </c>
      <c r="S124">
        <v>1</v>
      </c>
      <c r="V124" t="s">
        <v>27</v>
      </c>
    </row>
    <row r="125" spans="1:22" x14ac:dyDescent="0.45">
      <c r="A125" t="str">
        <f>"10429686"</f>
        <v>10429686</v>
      </c>
      <c r="B125" t="s">
        <v>22</v>
      </c>
      <c r="C125" s="1">
        <v>43794</v>
      </c>
      <c r="D125">
        <v>310000</v>
      </c>
      <c r="E125" t="s">
        <v>23</v>
      </c>
      <c r="F125">
        <v>1953</v>
      </c>
      <c r="G125">
        <v>8</v>
      </c>
      <c r="H125" t="s">
        <v>87</v>
      </c>
      <c r="I125" t="str">
        <f t="shared" si="1"/>
        <v>25</v>
      </c>
      <c r="J125">
        <v>60025</v>
      </c>
      <c r="K125">
        <v>1207</v>
      </c>
      <c r="L125">
        <v>7</v>
      </c>
      <c r="M125">
        <v>2</v>
      </c>
      <c r="N125">
        <v>0</v>
      </c>
      <c r="O125" t="s">
        <v>41</v>
      </c>
      <c r="P125">
        <v>3</v>
      </c>
      <c r="Q125">
        <v>0</v>
      </c>
      <c r="R125" t="s">
        <v>35</v>
      </c>
      <c r="S125">
        <v>2</v>
      </c>
      <c r="V125" t="s">
        <v>27</v>
      </c>
    </row>
    <row r="126" spans="1:22" x14ac:dyDescent="0.45">
      <c r="A126" t="str">
        <f>"10547974"</f>
        <v>10547974</v>
      </c>
      <c r="B126" t="s">
        <v>22</v>
      </c>
      <c r="C126" s="1">
        <v>43908</v>
      </c>
      <c r="D126">
        <v>310000</v>
      </c>
      <c r="E126" t="s">
        <v>60</v>
      </c>
      <c r="F126">
        <v>1943</v>
      </c>
      <c r="G126">
        <v>3504</v>
      </c>
      <c r="H126" t="s">
        <v>111</v>
      </c>
      <c r="I126" t="str">
        <f t="shared" si="1"/>
        <v>25</v>
      </c>
      <c r="J126">
        <v>60025</v>
      </c>
      <c r="K126">
        <v>0</v>
      </c>
      <c r="L126">
        <v>8</v>
      </c>
      <c r="M126">
        <v>2</v>
      </c>
      <c r="N126">
        <v>0</v>
      </c>
      <c r="O126" t="s">
        <v>25</v>
      </c>
      <c r="P126">
        <v>3</v>
      </c>
      <c r="Q126">
        <v>0</v>
      </c>
      <c r="R126" t="s">
        <v>35</v>
      </c>
      <c r="S126">
        <v>1</v>
      </c>
      <c r="T126">
        <v>1</v>
      </c>
      <c r="V126" t="s">
        <v>33</v>
      </c>
    </row>
    <row r="127" spans="1:22" x14ac:dyDescent="0.45">
      <c r="A127" t="str">
        <f>"10351473"</f>
        <v>10351473</v>
      </c>
      <c r="B127" t="s">
        <v>22</v>
      </c>
      <c r="C127" s="1">
        <v>43656</v>
      </c>
      <c r="D127">
        <v>310250</v>
      </c>
      <c r="E127" t="s">
        <v>37</v>
      </c>
      <c r="F127">
        <v>1956</v>
      </c>
      <c r="G127">
        <v>411</v>
      </c>
      <c r="H127" t="s">
        <v>55</v>
      </c>
      <c r="I127" t="str">
        <f t="shared" si="1"/>
        <v>25</v>
      </c>
      <c r="J127">
        <v>60025</v>
      </c>
      <c r="K127">
        <v>0</v>
      </c>
      <c r="L127">
        <v>8</v>
      </c>
      <c r="M127">
        <v>1</v>
      </c>
      <c r="N127">
        <v>1</v>
      </c>
      <c r="O127" t="s">
        <v>25</v>
      </c>
      <c r="P127">
        <v>3</v>
      </c>
      <c r="Q127">
        <v>0</v>
      </c>
      <c r="T127">
        <v>4</v>
      </c>
      <c r="V127" t="s">
        <v>71</v>
      </c>
    </row>
    <row r="128" spans="1:22" x14ac:dyDescent="0.45">
      <c r="A128" t="str">
        <f>"10444687"</f>
        <v>10444687</v>
      </c>
      <c r="B128" t="s">
        <v>22</v>
      </c>
      <c r="C128" s="1">
        <v>43788</v>
      </c>
      <c r="D128">
        <v>311000</v>
      </c>
      <c r="E128" t="s">
        <v>23</v>
      </c>
      <c r="F128">
        <v>1972</v>
      </c>
      <c r="G128">
        <v>1431</v>
      </c>
      <c r="H128" t="s">
        <v>112</v>
      </c>
      <c r="I128" t="str">
        <f t="shared" si="1"/>
        <v>25</v>
      </c>
      <c r="J128">
        <v>60025</v>
      </c>
      <c r="K128">
        <v>1408</v>
      </c>
      <c r="L128">
        <v>9</v>
      </c>
      <c r="M128">
        <v>2</v>
      </c>
      <c r="N128">
        <v>0</v>
      </c>
      <c r="O128" t="s">
        <v>25</v>
      </c>
      <c r="P128">
        <v>2</v>
      </c>
      <c r="Q128">
        <v>1</v>
      </c>
      <c r="R128" t="s">
        <v>26</v>
      </c>
      <c r="S128">
        <v>2</v>
      </c>
      <c r="V128" t="s">
        <v>27</v>
      </c>
    </row>
    <row r="129" spans="1:22" x14ac:dyDescent="0.45">
      <c r="A129" t="str">
        <f>"10162829"</f>
        <v>10162829</v>
      </c>
      <c r="B129" t="s">
        <v>22</v>
      </c>
      <c r="C129" s="1">
        <v>43567</v>
      </c>
      <c r="D129">
        <v>314000</v>
      </c>
      <c r="E129" t="s">
        <v>31</v>
      </c>
      <c r="F129">
        <v>1958</v>
      </c>
      <c r="G129">
        <v>35</v>
      </c>
      <c r="H129" t="s">
        <v>113</v>
      </c>
      <c r="I129" t="str">
        <f t="shared" si="1"/>
        <v>25</v>
      </c>
      <c r="J129">
        <v>60025</v>
      </c>
      <c r="K129">
        <v>1291</v>
      </c>
      <c r="L129">
        <v>8</v>
      </c>
      <c r="M129">
        <v>1</v>
      </c>
      <c r="N129">
        <v>1</v>
      </c>
      <c r="O129" t="s">
        <v>41</v>
      </c>
      <c r="P129">
        <v>3</v>
      </c>
      <c r="Q129">
        <v>0</v>
      </c>
      <c r="R129" t="s">
        <v>26</v>
      </c>
      <c r="S129">
        <v>2.5</v>
      </c>
      <c r="V129" t="s">
        <v>71</v>
      </c>
    </row>
    <row r="130" spans="1:22" x14ac:dyDescent="0.45">
      <c r="A130" t="str">
        <f>"10123309"</f>
        <v>10123309</v>
      </c>
      <c r="B130" t="s">
        <v>22</v>
      </c>
      <c r="C130" s="1">
        <v>43551</v>
      </c>
      <c r="D130">
        <v>314000</v>
      </c>
      <c r="E130" t="s">
        <v>37</v>
      </c>
      <c r="F130">
        <v>1961</v>
      </c>
      <c r="G130">
        <v>33</v>
      </c>
      <c r="H130" t="s">
        <v>114</v>
      </c>
      <c r="I130" t="str">
        <f t="shared" ref="I130:I193" si="2">"25"</f>
        <v>25</v>
      </c>
      <c r="J130">
        <v>60025</v>
      </c>
      <c r="K130">
        <v>1294</v>
      </c>
      <c r="L130">
        <v>8</v>
      </c>
      <c r="M130">
        <v>2</v>
      </c>
      <c r="N130">
        <v>0</v>
      </c>
      <c r="O130" t="s">
        <v>41</v>
      </c>
      <c r="P130">
        <v>3</v>
      </c>
      <c r="Q130">
        <v>0</v>
      </c>
      <c r="T130">
        <v>2</v>
      </c>
    </row>
    <row r="131" spans="1:22" x14ac:dyDescent="0.45">
      <c r="A131" t="str">
        <f>"10840470"</f>
        <v>10840470</v>
      </c>
      <c r="B131" t="s">
        <v>22</v>
      </c>
      <c r="C131" s="1">
        <v>44123</v>
      </c>
      <c r="D131">
        <v>315000</v>
      </c>
      <c r="E131" t="s">
        <v>60</v>
      </c>
      <c r="F131">
        <v>1950</v>
      </c>
      <c r="G131">
        <v>2515</v>
      </c>
      <c r="H131" t="s">
        <v>115</v>
      </c>
      <c r="I131" t="str">
        <f t="shared" si="2"/>
        <v>25</v>
      </c>
      <c r="J131">
        <v>60025</v>
      </c>
      <c r="K131">
        <v>1580</v>
      </c>
      <c r="L131">
        <v>7</v>
      </c>
      <c r="M131">
        <v>1</v>
      </c>
      <c r="N131">
        <v>1</v>
      </c>
      <c r="O131" t="s">
        <v>25</v>
      </c>
      <c r="P131">
        <v>3</v>
      </c>
      <c r="Q131">
        <v>0</v>
      </c>
      <c r="R131" t="s">
        <v>26</v>
      </c>
      <c r="S131">
        <v>1</v>
      </c>
    </row>
    <row r="132" spans="1:22" x14ac:dyDescent="0.45">
      <c r="A132" t="str">
        <f>"10745324"</f>
        <v>10745324</v>
      </c>
      <c r="B132" t="s">
        <v>22</v>
      </c>
      <c r="C132" s="1">
        <v>44071</v>
      </c>
      <c r="D132">
        <v>315000</v>
      </c>
      <c r="E132" t="s">
        <v>60</v>
      </c>
      <c r="F132">
        <v>1943</v>
      </c>
      <c r="G132">
        <v>3503</v>
      </c>
      <c r="H132" t="s">
        <v>111</v>
      </c>
      <c r="I132" t="str">
        <f t="shared" si="2"/>
        <v>25</v>
      </c>
      <c r="J132">
        <v>60025</v>
      </c>
      <c r="K132">
        <v>1634</v>
      </c>
      <c r="L132">
        <v>9</v>
      </c>
      <c r="M132">
        <v>1</v>
      </c>
      <c r="N132">
        <v>1</v>
      </c>
      <c r="P132">
        <v>3</v>
      </c>
      <c r="Q132">
        <v>0</v>
      </c>
      <c r="R132" t="s">
        <v>26</v>
      </c>
      <c r="S132">
        <v>2</v>
      </c>
      <c r="V132" t="s">
        <v>33</v>
      </c>
    </row>
    <row r="133" spans="1:22" x14ac:dyDescent="0.45">
      <c r="A133" t="str">
        <f>"10906641"</f>
        <v>10906641</v>
      </c>
      <c r="B133" t="s">
        <v>22</v>
      </c>
      <c r="C133" s="1">
        <v>44194</v>
      </c>
      <c r="D133">
        <v>315000</v>
      </c>
      <c r="E133" t="s">
        <v>23</v>
      </c>
      <c r="F133">
        <v>1953</v>
      </c>
      <c r="G133">
        <v>628</v>
      </c>
      <c r="H133" t="s">
        <v>116</v>
      </c>
      <c r="I133" t="str">
        <f t="shared" si="2"/>
        <v>25</v>
      </c>
      <c r="J133">
        <v>60025</v>
      </c>
      <c r="K133">
        <v>1053</v>
      </c>
      <c r="L133">
        <v>6</v>
      </c>
      <c r="M133">
        <v>1</v>
      </c>
      <c r="N133">
        <v>0</v>
      </c>
      <c r="O133" t="s">
        <v>25</v>
      </c>
      <c r="P133">
        <v>3</v>
      </c>
      <c r="Q133">
        <v>0</v>
      </c>
      <c r="R133" t="s">
        <v>35</v>
      </c>
      <c r="S133">
        <v>2</v>
      </c>
    </row>
    <row r="134" spans="1:22" x14ac:dyDescent="0.45">
      <c r="A134" t="str">
        <f>"10449061"</f>
        <v>10449061</v>
      </c>
      <c r="B134" t="s">
        <v>22</v>
      </c>
      <c r="C134" s="1">
        <v>43767</v>
      </c>
      <c r="D134">
        <v>315000</v>
      </c>
      <c r="E134" t="s">
        <v>37</v>
      </c>
      <c r="F134">
        <v>1952</v>
      </c>
      <c r="G134">
        <v>307</v>
      </c>
      <c r="H134" t="s">
        <v>56</v>
      </c>
      <c r="I134" t="str">
        <f t="shared" si="2"/>
        <v>25</v>
      </c>
      <c r="J134">
        <v>60025</v>
      </c>
      <c r="K134">
        <v>0</v>
      </c>
      <c r="L134">
        <v>7</v>
      </c>
      <c r="M134">
        <v>2</v>
      </c>
      <c r="N134">
        <v>0</v>
      </c>
      <c r="O134" t="s">
        <v>41</v>
      </c>
      <c r="P134">
        <v>3</v>
      </c>
      <c r="Q134">
        <v>0</v>
      </c>
      <c r="R134" t="s">
        <v>35</v>
      </c>
      <c r="S134">
        <v>1</v>
      </c>
    </row>
    <row r="135" spans="1:22" x14ac:dyDescent="0.45">
      <c r="A135" t="str">
        <f>"10277171"</f>
        <v>10277171</v>
      </c>
      <c r="B135" t="s">
        <v>22</v>
      </c>
      <c r="C135" s="1">
        <v>43623</v>
      </c>
      <c r="D135">
        <v>315000</v>
      </c>
      <c r="E135" t="s">
        <v>31</v>
      </c>
      <c r="F135">
        <v>1937</v>
      </c>
      <c r="G135">
        <v>1769</v>
      </c>
      <c r="H135" t="s">
        <v>117</v>
      </c>
      <c r="I135" t="str">
        <f t="shared" si="2"/>
        <v>25</v>
      </c>
      <c r="J135">
        <v>60025</v>
      </c>
      <c r="K135">
        <v>1840</v>
      </c>
      <c r="L135">
        <v>9</v>
      </c>
      <c r="M135">
        <v>2</v>
      </c>
      <c r="N135">
        <v>0</v>
      </c>
      <c r="O135" t="s">
        <v>25</v>
      </c>
      <c r="P135">
        <v>4</v>
      </c>
      <c r="Q135">
        <v>0</v>
      </c>
      <c r="R135" t="s">
        <v>35</v>
      </c>
      <c r="S135">
        <v>2</v>
      </c>
    </row>
    <row r="136" spans="1:22" x14ac:dyDescent="0.45">
      <c r="A136" t="str">
        <f>"10501718"</f>
        <v>10501718</v>
      </c>
      <c r="B136" t="s">
        <v>22</v>
      </c>
      <c r="C136" s="1">
        <v>43784</v>
      </c>
      <c r="D136">
        <v>315000</v>
      </c>
      <c r="E136" t="s">
        <v>31</v>
      </c>
      <c r="F136">
        <v>1958</v>
      </c>
      <c r="G136">
        <v>3850</v>
      </c>
      <c r="H136" t="s">
        <v>115</v>
      </c>
      <c r="I136" t="str">
        <f t="shared" si="2"/>
        <v>25</v>
      </c>
      <c r="J136">
        <v>60025</v>
      </c>
      <c r="K136">
        <v>1500</v>
      </c>
      <c r="L136">
        <v>8</v>
      </c>
      <c r="M136">
        <v>2</v>
      </c>
      <c r="N136">
        <v>0</v>
      </c>
      <c r="O136" t="s">
        <v>41</v>
      </c>
      <c r="P136">
        <v>4</v>
      </c>
      <c r="Q136">
        <v>0</v>
      </c>
      <c r="R136" t="s">
        <v>35</v>
      </c>
      <c r="S136">
        <v>2</v>
      </c>
    </row>
    <row r="137" spans="1:22" x14ac:dyDescent="0.45">
      <c r="A137" t="str">
        <f>"10470064"</f>
        <v>10470064</v>
      </c>
      <c r="B137" t="s">
        <v>22</v>
      </c>
      <c r="C137" s="1">
        <v>43734</v>
      </c>
      <c r="D137">
        <v>315000</v>
      </c>
      <c r="E137" t="s">
        <v>37</v>
      </c>
      <c r="F137">
        <v>1959</v>
      </c>
      <c r="G137">
        <v>9</v>
      </c>
      <c r="H137" t="s">
        <v>69</v>
      </c>
      <c r="I137" t="str">
        <f t="shared" si="2"/>
        <v>25</v>
      </c>
      <c r="J137">
        <v>60025</v>
      </c>
      <c r="K137">
        <v>1581</v>
      </c>
      <c r="L137">
        <v>8</v>
      </c>
      <c r="M137">
        <v>2</v>
      </c>
      <c r="N137">
        <v>0</v>
      </c>
      <c r="O137" t="s">
        <v>41</v>
      </c>
      <c r="P137">
        <v>4</v>
      </c>
      <c r="Q137">
        <v>0</v>
      </c>
      <c r="R137" t="s">
        <v>35</v>
      </c>
      <c r="S137">
        <v>2</v>
      </c>
      <c r="V137" t="s">
        <v>71</v>
      </c>
    </row>
    <row r="138" spans="1:22" x14ac:dyDescent="0.45">
      <c r="A138" t="str">
        <f>"10138785"</f>
        <v>10138785</v>
      </c>
      <c r="B138" t="s">
        <v>22</v>
      </c>
      <c r="C138" s="1">
        <v>43531</v>
      </c>
      <c r="D138">
        <v>315000</v>
      </c>
      <c r="E138" t="s">
        <v>31</v>
      </c>
      <c r="F138">
        <v>1959</v>
      </c>
      <c r="G138">
        <v>241</v>
      </c>
      <c r="H138" t="s">
        <v>107</v>
      </c>
      <c r="I138" t="str">
        <f t="shared" si="2"/>
        <v>25</v>
      </c>
      <c r="J138">
        <v>60025</v>
      </c>
      <c r="K138">
        <v>1363</v>
      </c>
      <c r="L138">
        <v>7</v>
      </c>
      <c r="M138">
        <v>2</v>
      </c>
      <c r="N138">
        <v>0</v>
      </c>
      <c r="O138" t="s">
        <v>41</v>
      </c>
      <c r="P138">
        <v>3</v>
      </c>
      <c r="Q138">
        <v>0</v>
      </c>
      <c r="R138" t="s">
        <v>35</v>
      </c>
      <c r="S138">
        <v>2</v>
      </c>
      <c r="V138" t="s">
        <v>71</v>
      </c>
    </row>
    <row r="139" spans="1:22" x14ac:dyDescent="0.45">
      <c r="A139" t="str">
        <f>"10541946"</f>
        <v>10541946</v>
      </c>
      <c r="B139" t="s">
        <v>22</v>
      </c>
      <c r="C139" s="1">
        <v>43844</v>
      </c>
      <c r="D139">
        <v>315000</v>
      </c>
      <c r="E139" t="s">
        <v>37</v>
      </c>
      <c r="F139">
        <v>1958</v>
      </c>
      <c r="G139">
        <v>225</v>
      </c>
      <c r="H139" t="s">
        <v>103</v>
      </c>
      <c r="I139" t="str">
        <f t="shared" si="2"/>
        <v>25</v>
      </c>
      <c r="J139">
        <v>60025</v>
      </c>
      <c r="K139">
        <v>1250</v>
      </c>
      <c r="L139">
        <v>7</v>
      </c>
      <c r="M139">
        <v>2</v>
      </c>
      <c r="N139">
        <v>0</v>
      </c>
      <c r="O139" t="s">
        <v>25</v>
      </c>
      <c r="P139">
        <v>3</v>
      </c>
      <c r="Q139">
        <v>0</v>
      </c>
      <c r="R139" t="s">
        <v>35</v>
      </c>
      <c r="S139">
        <v>2</v>
      </c>
      <c r="V139" t="s">
        <v>71</v>
      </c>
    </row>
    <row r="140" spans="1:22" x14ac:dyDescent="0.45">
      <c r="A140" t="str">
        <f>"10507680"</f>
        <v>10507680</v>
      </c>
      <c r="B140" t="s">
        <v>22</v>
      </c>
      <c r="C140" s="1">
        <v>43896</v>
      </c>
      <c r="D140">
        <v>315000</v>
      </c>
      <c r="E140" t="s">
        <v>60</v>
      </c>
      <c r="F140">
        <v>1959</v>
      </c>
      <c r="G140">
        <v>518</v>
      </c>
      <c r="H140" t="s">
        <v>118</v>
      </c>
      <c r="I140" t="str">
        <f t="shared" si="2"/>
        <v>25</v>
      </c>
      <c r="J140">
        <v>60025</v>
      </c>
      <c r="K140">
        <v>1363</v>
      </c>
      <c r="L140">
        <v>6</v>
      </c>
      <c r="M140">
        <v>2</v>
      </c>
      <c r="N140">
        <v>0</v>
      </c>
      <c r="O140" t="s">
        <v>41</v>
      </c>
      <c r="P140">
        <v>3</v>
      </c>
      <c r="Q140">
        <v>0</v>
      </c>
      <c r="R140" t="s">
        <v>35</v>
      </c>
      <c r="S140">
        <v>2</v>
      </c>
      <c r="V140" t="s">
        <v>71</v>
      </c>
    </row>
    <row r="141" spans="1:22" x14ac:dyDescent="0.45">
      <c r="A141" t="str">
        <f>"10065095"</f>
        <v>10065095</v>
      </c>
      <c r="B141" t="s">
        <v>22</v>
      </c>
      <c r="C141" s="1">
        <v>43686</v>
      </c>
      <c r="D141">
        <v>315000</v>
      </c>
      <c r="E141" t="s">
        <v>60</v>
      </c>
      <c r="F141">
        <v>1941</v>
      </c>
      <c r="G141">
        <v>608</v>
      </c>
      <c r="H141" t="s">
        <v>119</v>
      </c>
      <c r="I141" t="str">
        <f t="shared" si="2"/>
        <v>25</v>
      </c>
      <c r="J141">
        <v>60025</v>
      </c>
      <c r="K141">
        <v>1600</v>
      </c>
      <c r="L141">
        <v>6</v>
      </c>
      <c r="M141">
        <v>2</v>
      </c>
      <c r="N141">
        <v>0</v>
      </c>
      <c r="O141" t="s">
        <v>25</v>
      </c>
      <c r="P141">
        <v>3</v>
      </c>
      <c r="Q141">
        <v>0</v>
      </c>
      <c r="R141" t="s">
        <v>35</v>
      </c>
      <c r="S141">
        <v>2</v>
      </c>
      <c r="V141" t="s">
        <v>33</v>
      </c>
    </row>
    <row r="142" spans="1:22" x14ac:dyDescent="0.45">
      <c r="A142" t="str">
        <f>"10097662"</f>
        <v>10097662</v>
      </c>
      <c r="B142" t="s">
        <v>22</v>
      </c>
      <c r="C142" s="1">
        <v>43578</v>
      </c>
      <c r="D142">
        <v>318000</v>
      </c>
      <c r="E142" t="s">
        <v>23</v>
      </c>
      <c r="F142">
        <v>1959</v>
      </c>
      <c r="G142">
        <v>315</v>
      </c>
      <c r="H142" t="s">
        <v>39</v>
      </c>
      <c r="I142" t="str">
        <f t="shared" si="2"/>
        <v>25</v>
      </c>
      <c r="J142">
        <v>60025</v>
      </c>
      <c r="K142">
        <v>2078</v>
      </c>
      <c r="L142">
        <v>8</v>
      </c>
      <c r="M142">
        <v>2</v>
      </c>
      <c r="N142">
        <v>0</v>
      </c>
      <c r="O142" t="s">
        <v>25</v>
      </c>
      <c r="P142">
        <v>4</v>
      </c>
      <c r="Q142">
        <v>0</v>
      </c>
      <c r="T142">
        <v>4</v>
      </c>
      <c r="V142" t="s">
        <v>27</v>
      </c>
    </row>
    <row r="143" spans="1:22" x14ac:dyDescent="0.45">
      <c r="A143" t="str">
        <f>"10259261"</f>
        <v>10259261</v>
      </c>
      <c r="B143" t="s">
        <v>22</v>
      </c>
      <c r="C143" s="1">
        <v>43558</v>
      </c>
      <c r="D143">
        <v>319900</v>
      </c>
      <c r="E143" t="s">
        <v>23</v>
      </c>
      <c r="F143">
        <v>1954</v>
      </c>
      <c r="G143">
        <v>2149</v>
      </c>
      <c r="H143" t="s">
        <v>120</v>
      </c>
      <c r="I143" t="str">
        <f t="shared" si="2"/>
        <v>25</v>
      </c>
      <c r="J143">
        <v>60025</v>
      </c>
      <c r="K143">
        <v>1600</v>
      </c>
      <c r="L143">
        <v>8</v>
      </c>
      <c r="M143">
        <v>2</v>
      </c>
      <c r="N143">
        <v>0</v>
      </c>
      <c r="O143" t="s">
        <v>41</v>
      </c>
      <c r="P143">
        <v>3</v>
      </c>
      <c r="Q143">
        <v>0</v>
      </c>
      <c r="R143" t="s">
        <v>35</v>
      </c>
      <c r="S143">
        <v>1</v>
      </c>
    </row>
    <row r="144" spans="1:22" x14ac:dyDescent="0.45">
      <c r="A144" t="str">
        <f>"10598123"</f>
        <v>10598123</v>
      </c>
      <c r="B144" t="s">
        <v>22</v>
      </c>
      <c r="C144" s="1">
        <v>43920</v>
      </c>
      <c r="D144">
        <v>319999</v>
      </c>
      <c r="E144" t="s">
        <v>23</v>
      </c>
      <c r="F144">
        <v>1973</v>
      </c>
      <c r="G144">
        <v>1449</v>
      </c>
      <c r="H144" t="s">
        <v>112</v>
      </c>
      <c r="I144" t="str">
        <f t="shared" si="2"/>
        <v>25</v>
      </c>
      <c r="J144">
        <v>60025</v>
      </c>
      <c r="K144">
        <v>1400</v>
      </c>
      <c r="L144">
        <v>6</v>
      </c>
      <c r="M144">
        <v>2</v>
      </c>
      <c r="N144">
        <v>0</v>
      </c>
      <c r="O144" t="s">
        <v>25</v>
      </c>
      <c r="P144">
        <v>2</v>
      </c>
      <c r="Q144">
        <v>0</v>
      </c>
      <c r="R144" t="s">
        <v>26</v>
      </c>
      <c r="S144">
        <v>2</v>
      </c>
    </row>
    <row r="145" spans="1:22" x14ac:dyDescent="0.45">
      <c r="A145" t="str">
        <f>"10413929"</f>
        <v>10413929</v>
      </c>
      <c r="B145" t="s">
        <v>22</v>
      </c>
      <c r="C145" s="1">
        <v>43700</v>
      </c>
      <c r="D145">
        <v>320000</v>
      </c>
      <c r="E145" t="s">
        <v>37</v>
      </c>
      <c r="F145">
        <v>1962</v>
      </c>
      <c r="G145">
        <v>929</v>
      </c>
      <c r="H145" t="s">
        <v>38</v>
      </c>
      <c r="I145" t="str">
        <f t="shared" si="2"/>
        <v>25</v>
      </c>
      <c r="J145">
        <v>60025</v>
      </c>
      <c r="K145">
        <v>1760</v>
      </c>
      <c r="L145">
        <v>8</v>
      </c>
      <c r="M145">
        <v>3</v>
      </c>
      <c r="N145">
        <v>0</v>
      </c>
      <c r="O145" t="s">
        <v>41</v>
      </c>
      <c r="P145">
        <v>4</v>
      </c>
      <c r="Q145">
        <v>0</v>
      </c>
      <c r="R145" t="s">
        <v>35</v>
      </c>
      <c r="S145">
        <v>2</v>
      </c>
    </row>
    <row r="146" spans="1:22" x14ac:dyDescent="0.45">
      <c r="A146" t="str">
        <f>"10836890"</f>
        <v>10836890</v>
      </c>
      <c r="B146" t="s">
        <v>22</v>
      </c>
      <c r="C146" s="1">
        <v>44187</v>
      </c>
      <c r="D146">
        <v>320000</v>
      </c>
      <c r="E146" t="s">
        <v>31</v>
      </c>
      <c r="F146">
        <v>1958</v>
      </c>
      <c r="G146">
        <v>220</v>
      </c>
      <c r="H146" t="s">
        <v>121</v>
      </c>
      <c r="I146" t="str">
        <f t="shared" si="2"/>
        <v>25</v>
      </c>
      <c r="J146">
        <v>60025</v>
      </c>
      <c r="K146">
        <v>0</v>
      </c>
      <c r="L146">
        <v>8</v>
      </c>
      <c r="M146">
        <v>2</v>
      </c>
      <c r="N146">
        <v>0</v>
      </c>
      <c r="O146" t="s">
        <v>41</v>
      </c>
      <c r="P146">
        <v>3</v>
      </c>
      <c r="Q146">
        <v>0</v>
      </c>
      <c r="R146" t="s">
        <v>35</v>
      </c>
      <c r="S146">
        <v>1.5</v>
      </c>
    </row>
    <row r="147" spans="1:22" x14ac:dyDescent="0.45">
      <c r="A147" t="str">
        <f>"10259962"</f>
        <v>10259962</v>
      </c>
      <c r="B147" t="s">
        <v>22</v>
      </c>
      <c r="C147" s="1">
        <v>43587</v>
      </c>
      <c r="D147">
        <v>320000</v>
      </c>
      <c r="E147" t="s">
        <v>74</v>
      </c>
      <c r="F147">
        <v>1958</v>
      </c>
      <c r="G147">
        <v>1019</v>
      </c>
      <c r="H147" t="s">
        <v>42</v>
      </c>
      <c r="I147" t="str">
        <f t="shared" si="2"/>
        <v>25</v>
      </c>
      <c r="J147">
        <v>60025</v>
      </c>
      <c r="K147">
        <v>1560</v>
      </c>
      <c r="L147">
        <v>8</v>
      </c>
      <c r="M147">
        <v>2</v>
      </c>
      <c r="N147">
        <v>0</v>
      </c>
      <c r="O147" t="s">
        <v>41</v>
      </c>
      <c r="P147">
        <v>3</v>
      </c>
      <c r="Q147">
        <v>0</v>
      </c>
      <c r="R147" t="s">
        <v>26</v>
      </c>
      <c r="S147">
        <v>1</v>
      </c>
      <c r="V147" t="s">
        <v>36</v>
      </c>
    </row>
    <row r="148" spans="1:22" x14ac:dyDescent="0.45">
      <c r="A148" t="str">
        <f>"10575522"</f>
        <v>10575522</v>
      </c>
      <c r="B148" t="s">
        <v>22</v>
      </c>
      <c r="C148" s="1">
        <v>43906</v>
      </c>
      <c r="D148">
        <v>320000</v>
      </c>
      <c r="E148" t="s">
        <v>31</v>
      </c>
      <c r="F148">
        <v>1958</v>
      </c>
      <c r="G148">
        <v>1324</v>
      </c>
      <c r="H148" t="s">
        <v>122</v>
      </c>
      <c r="I148" t="str">
        <f t="shared" si="2"/>
        <v>25</v>
      </c>
      <c r="J148">
        <v>60025</v>
      </c>
      <c r="K148">
        <v>1560</v>
      </c>
      <c r="L148">
        <v>7</v>
      </c>
      <c r="M148">
        <v>2</v>
      </c>
      <c r="N148">
        <v>0</v>
      </c>
      <c r="O148" t="s">
        <v>25</v>
      </c>
      <c r="P148">
        <v>3</v>
      </c>
      <c r="Q148">
        <v>0</v>
      </c>
      <c r="R148" t="s">
        <v>26</v>
      </c>
      <c r="S148">
        <v>2</v>
      </c>
      <c r="V148" t="s">
        <v>71</v>
      </c>
    </row>
    <row r="149" spans="1:22" x14ac:dyDescent="0.45">
      <c r="A149" t="str">
        <f>"10650742"</f>
        <v>10650742</v>
      </c>
      <c r="B149" t="s">
        <v>22</v>
      </c>
      <c r="C149" s="1">
        <v>43978</v>
      </c>
      <c r="D149">
        <v>320000</v>
      </c>
      <c r="E149" t="s">
        <v>60</v>
      </c>
      <c r="F149">
        <v>1949</v>
      </c>
      <c r="G149">
        <v>6</v>
      </c>
      <c r="H149" t="s">
        <v>123</v>
      </c>
      <c r="I149" t="str">
        <f t="shared" si="2"/>
        <v>25</v>
      </c>
      <c r="J149">
        <v>60025</v>
      </c>
      <c r="K149">
        <v>0</v>
      </c>
      <c r="L149">
        <v>9</v>
      </c>
      <c r="M149">
        <v>2</v>
      </c>
      <c r="N149">
        <v>0</v>
      </c>
      <c r="O149" t="s">
        <v>25</v>
      </c>
      <c r="P149">
        <v>4</v>
      </c>
      <c r="Q149">
        <v>0</v>
      </c>
      <c r="R149" t="s">
        <v>35</v>
      </c>
      <c r="S149">
        <v>1</v>
      </c>
      <c r="V149" t="s">
        <v>33</v>
      </c>
    </row>
    <row r="150" spans="1:22" x14ac:dyDescent="0.45">
      <c r="A150" t="str">
        <f>"10662126"</f>
        <v>10662126</v>
      </c>
      <c r="B150" t="s">
        <v>22</v>
      </c>
      <c r="C150" s="1">
        <v>43949</v>
      </c>
      <c r="D150">
        <v>322500</v>
      </c>
      <c r="E150" t="s">
        <v>23</v>
      </c>
      <c r="F150">
        <v>1955</v>
      </c>
      <c r="G150">
        <v>808</v>
      </c>
      <c r="H150" t="s">
        <v>124</v>
      </c>
      <c r="I150" t="str">
        <f t="shared" si="2"/>
        <v>25</v>
      </c>
      <c r="J150">
        <v>60025</v>
      </c>
      <c r="K150">
        <v>1376</v>
      </c>
      <c r="L150">
        <v>7</v>
      </c>
      <c r="M150">
        <v>1</v>
      </c>
      <c r="N150">
        <v>0</v>
      </c>
      <c r="O150" t="s">
        <v>25</v>
      </c>
      <c r="P150">
        <v>3</v>
      </c>
      <c r="Q150">
        <v>0</v>
      </c>
      <c r="R150" t="s">
        <v>26</v>
      </c>
      <c r="S150">
        <v>1.5</v>
      </c>
      <c r="V150" t="s">
        <v>27</v>
      </c>
    </row>
    <row r="151" spans="1:22" x14ac:dyDescent="0.45">
      <c r="A151" t="str">
        <f>"10159485"</f>
        <v>10159485</v>
      </c>
      <c r="B151" t="s">
        <v>22</v>
      </c>
      <c r="C151" s="1">
        <v>43594</v>
      </c>
      <c r="D151">
        <v>322500</v>
      </c>
      <c r="E151" t="s">
        <v>31</v>
      </c>
      <c r="F151">
        <v>1959</v>
      </c>
      <c r="G151">
        <v>3847</v>
      </c>
      <c r="H151" t="s">
        <v>125</v>
      </c>
      <c r="I151" t="str">
        <f t="shared" si="2"/>
        <v>25</v>
      </c>
      <c r="J151">
        <v>60025</v>
      </c>
      <c r="K151">
        <v>1537</v>
      </c>
      <c r="L151">
        <v>8</v>
      </c>
      <c r="M151">
        <v>2</v>
      </c>
      <c r="N151">
        <v>0</v>
      </c>
      <c r="O151" t="s">
        <v>41</v>
      </c>
      <c r="P151">
        <v>3</v>
      </c>
      <c r="Q151">
        <v>0</v>
      </c>
      <c r="R151" t="s">
        <v>26</v>
      </c>
      <c r="S151">
        <v>1</v>
      </c>
    </row>
    <row r="152" spans="1:22" x14ac:dyDescent="0.45">
      <c r="A152" t="str">
        <f>"10109465"</f>
        <v>10109465</v>
      </c>
      <c r="B152" t="s">
        <v>22</v>
      </c>
      <c r="C152" s="1">
        <v>43609</v>
      </c>
      <c r="D152">
        <v>324000</v>
      </c>
      <c r="E152" t="s">
        <v>23</v>
      </c>
      <c r="F152">
        <v>1957</v>
      </c>
      <c r="G152">
        <v>2437</v>
      </c>
      <c r="H152" t="s">
        <v>105</v>
      </c>
      <c r="I152" t="str">
        <f t="shared" si="2"/>
        <v>25</v>
      </c>
      <c r="J152">
        <v>60025</v>
      </c>
      <c r="K152">
        <v>1202</v>
      </c>
      <c r="L152">
        <v>7</v>
      </c>
      <c r="M152">
        <v>1</v>
      </c>
      <c r="N152">
        <v>1</v>
      </c>
      <c r="O152" t="s">
        <v>25</v>
      </c>
      <c r="P152">
        <v>3</v>
      </c>
      <c r="Q152">
        <v>0</v>
      </c>
      <c r="R152" t="s">
        <v>35</v>
      </c>
      <c r="S152">
        <v>2</v>
      </c>
      <c r="V152" t="s">
        <v>27</v>
      </c>
    </row>
    <row r="153" spans="1:22" x14ac:dyDescent="0.45">
      <c r="A153" t="str">
        <f>"10929166"</f>
        <v>10929166</v>
      </c>
      <c r="B153" t="s">
        <v>22</v>
      </c>
      <c r="C153" s="1">
        <v>44165</v>
      </c>
      <c r="D153">
        <v>325000</v>
      </c>
      <c r="E153" t="s">
        <v>23</v>
      </c>
      <c r="F153">
        <v>1957</v>
      </c>
      <c r="G153">
        <v>1416</v>
      </c>
      <c r="H153" t="s">
        <v>126</v>
      </c>
      <c r="I153" t="str">
        <f t="shared" si="2"/>
        <v>25</v>
      </c>
      <c r="J153">
        <v>60025</v>
      </c>
      <c r="K153">
        <v>0</v>
      </c>
      <c r="L153">
        <v>7</v>
      </c>
      <c r="M153">
        <v>1</v>
      </c>
      <c r="N153">
        <v>0</v>
      </c>
      <c r="O153" t="s">
        <v>25</v>
      </c>
      <c r="P153">
        <v>3</v>
      </c>
      <c r="Q153">
        <v>0</v>
      </c>
      <c r="R153" t="s">
        <v>26</v>
      </c>
      <c r="S153">
        <v>1</v>
      </c>
      <c r="V153" t="s">
        <v>27</v>
      </c>
    </row>
    <row r="154" spans="1:22" x14ac:dyDescent="0.45">
      <c r="A154" t="str">
        <f>"10263641"</f>
        <v>10263641</v>
      </c>
      <c r="B154" t="s">
        <v>22</v>
      </c>
      <c r="C154" s="1">
        <v>43598</v>
      </c>
      <c r="D154">
        <v>325000</v>
      </c>
      <c r="E154" t="s">
        <v>23</v>
      </c>
      <c r="F154">
        <v>1953</v>
      </c>
      <c r="G154">
        <v>1800</v>
      </c>
      <c r="H154" t="s">
        <v>127</v>
      </c>
      <c r="I154" t="str">
        <f t="shared" si="2"/>
        <v>25</v>
      </c>
      <c r="J154">
        <v>60025</v>
      </c>
      <c r="K154">
        <v>1500</v>
      </c>
      <c r="L154">
        <v>6</v>
      </c>
      <c r="M154">
        <v>2</v>
      </c>
      <c r="N154">
        <v>0</v>
      </c>
      <c r="O154" t="s">
        <v>25</v>
      </c>
      <c r="P154">
        <v>3</v>
      </c>
      <c r="Q154">
        <v>0</v>
      </c>
      <c r="R154" t="s">
        <v>26</v>
      </c>
      <c r="S154">
        <v>2</v>
      </c>
    </row>
    <row r="155" spans="1:22" x14ac:dyDescent="0.45">
      <c r="A155" t="str">
        <f>"10755685"</f>
        <v>10755685</v>
      </c>
      <c r="B155" t="s">
        <v>22</v>
      </c>
      <c r="C155" s="1">
        <v>44042</v>
      </c>
      <c r="D155">
        <v>325000</v>
      </c>
      <c r="E155" t="s">
        <v>31</v>
      </c>
      <c r="F155">
        <v>1951</v>
      </c>
      <c r="G155">
        <v>132</v>
      </c>
      <c r="H155" t="s">
        <v>56</v>
      </c>
      <c r="I155" t="str">
        <f t="shared" si="2"/>
        <v>25</v>
      </c>
      <c r="J155">
        <v>60025</v>
      </c>
      <c r="K155">
        <v>0</v>
      </c>
      <c r="L155">
        <v>9</v>
      </c>
      <c r="M155">
        <v>1</v>
      </c>
      <c r="N155">
        <v>0</v>
      </c>
      <c r="O155" t="s">
        <v>25</v>
      </c>
      <c r="P155">
        <v>4</v>
      </c>
      <c r="Q155">
        <v>0</v>
      </c>
      <c r="R155" t="s">
        <v>35</v>
      </c>
      <c r="S155">
        <v>1.5</v>
      </c>
      <c r="V155" t="s">
        <v>33</v>
      </c>
    </row>
    <row r="156" spans="1:22" x14ac:dyDescent="0.45">
      <c r="A156" t="str">
        <f>"10742446"</f>
        <v>10742446</v>
      </c>
      <c r="B156" t="s">
        <v>22</v>
      </c>
      <c r="C156" s="1">
        <v>44106</v>
      </c>
      <c r="D156">
        <v>325000</v>
      </c>
      <c r="E156" t="s">
        <v>23</v>
      </c>
      <c r="F156" t="s">
        <v>29</v>
      </c>
      <c r="G156">
        <v>1415</v>
      </c>
      <c r="H156" t="s">
        <v>112</v>
      </c>
      <c r="I156" t="str">
        <f t="shared" si="2"/>
        <v>25</v>
      </c>
      <c r="J156">
        <v>60025</v>
      </c>
      <c r="K156">
        <v>0</v>
      </c>
      <c r="L156">
        <v>7</v>
      </c>
      <c r="M156">
        <v>2</v>
      </c>
      <c r="N156">
        <v>0</v>
      </c>
      <c r="O156" t="s">
        <v>25</v>
      </c>
      <c r="P156">
        <v>2</v>
      </c>
      <c r="Q156">
        <v>0</v>
      </c>
      <c r="R156" t="s">
        <v>26</v>
      </c>
      <c r="S156">
        <v>2</v>
      </c>
    </row>
    <row r="157" spans="1:22" x14ac:dyDescent="0.45">
      <c r="A157" t="str">
        <f>"10172250"</f>
        <v>10172250</v>
      </c>
      <c r="B157" t="s">
        <v>22</v>
      </c>
      <c r="C157" s="1">
        <v>43573</v>
      </c>
      <c r="D157">
        <v>325000</v>
      </c>
      <c r="E157" t="s">
        <v>31</v>
      </c>
      <c r="F157">
        <v>1959</v>
      </c>
      <c r="G157">
        <v>3105</v>
      </c>
      <c r="H157" t="s">
        <v>34</v>
      </c>
      <c r="I157" t="str">
        <f t="shared" si="2"/>
        <v>25</v>
      </c>
      <c r="J157">
        <v>60025</v>
      </c>
      <c r="K157">
        <v>0</v>
      </c>
      <c r="L157">
        <v>7</v>
      </c>
      <c r="M157">
        <v>2</v>
      </c>
      <c r="N157">
        <v>0</v>
      </c>
      <c r="O157" t="s">
        <v>41</v>
      </c>
      <c r="P157">
        <v>3</v>
      </c>
      <c r="Q157">
        <v>0</v>
      </c>
      <c r="R157" t="s">
        <v>35</v>
      </c>
      <c r="S157">
        <v>2</v>
      </c>
      <c r="U157">
        <v>0</v>
      </c>
      <c r="V157" t="s">
        <v>36</v>
      </c>
    </row>
    <row r="158" spans="1:22" x14ac:dyDescent="0.45">
      <c r="A158" t="str">
        <f>"10370710"</f>
        <v>10370710</v>
      </c>
      <c r="B158" t="s">
        <v>22</v>
      </c>
      <c r="C158" s="1">
        <v>43707</v>
      </c>
      <c r="D158">
        <v>325000</v>
      </c>
      <c r="E158" t="s">
        <v>31</v>
      </c>
      <c r="F158">
        <v>1942</v>
      </c>
      <c r="G158">
        <v>810</v>
      </c>
      <c r="H158" t="s">
        <v>128</v>
      </c>
      <c r="I158" t="str">
        <f t="shared" si="2"/>
        <v>25</v>
      </c>
      <c r="J158">
        <v>60025</v>
      </c>
      <c r="K158">
        <v>0</v>
      </c>
      <c r="L158">
        <v>6</v>
      </c>
      <c r="M158">
        <v>1</v>
      </c>
      <c r="N158">
        <v>1</v>
      </c>
      <c r="O158" t="s">
        <v>25</v>
      </c>
      <c r="P158">
        <v>3</v>
      </c>
      <c r="Q158">
        <v>0</v>
      </c>
      <c r="R158" t="s">
        <v>35</v>
      </c>
      <c r="S158">
        <v>3</v>
      </c>
      <c r="V158" t="s">
        <v>33</v>
      </c>
    </row>
    <row r="159" spans="1:22" x14ac:dyDescent="0.45">
      <c r="A159" t="str">
        <f>"10075266"</f>
        <v>10075266</v>
      </c>
      <c r="B159" t="s">
        <v>22</v>
      </c>
      <c r="C159" s="1">
        <v>43602</v>
      </c>
      <c r="D159">
        <v>325000</v>
      </c>
      <c r="E159" t="s">
        <v>23</v>
      </c>
      <c r="F159">
        <v>1958</v>
      </c>
      <c r="G159">
        <v>2542</v>
      </c>
      <c r="H159" t="s">
        <v>129</v>
      </c>
      <c r="I159" t="str">
        <f t="shared" si="2"/>
        <v>25</v>
      </c>
      <c r="J159">
        <v>60025</v>
      </c>
      <c r="K159">
        <v>1100</v>
      </c>
      <c r="L159">
        <v>8</v>
      </c>
      <c r="M159">
        <v>2</v>
      </c>
      <c r="N159">
        <v>0</v>
      </c>
      <c r="O159" t="s">
        <v>41</v>
      </c>
      <c r="P159">
        <v>3</v>
      </c>
      <c r="Q159">
        <v>1</v>
      </c>
      <c r="R159" t="s">
        <v>35</v>
      </c>
      <c r="S159">
        <v>2</v>
      </c>
      <c r="V159" t="s">
        <v>27</v>
      </c>
    </row>
    <row r="160" spans="1:22" x14ac:dyDescent="0.45">
      <c r="A160" t="str">
        <f>"10647736"</f>
        <v>10647736</v>
      </c>
      <c r="B160" t="s">
        <v>22</v>
      </c>
      <c r="C160" s="1">
        <v>43963</v>
      </c>
      <c r="D160">
        <v>325000</v>
      </c>
      <c r="E160" t="s">
        <v>60</v>
      </c>
      <c r="F160">
        <v>1946</v>
      </c>
      <c r="G160">
        <v>7</v>
      </c>
      <c r="H160" t="s">
        <v>63</v>
      </c>
      <c r="I160" t="str">
        <f t="shared" si="2"/>
        <v>25</v>
      </c>
      <c r="J160">
        <v>60025</v>
      </c>
      <c r="K160">
        <v>1366</v>
      </c>
      <c r="L160">
        <v>8</v>
      </c>
      <c r="M160">
        <v>1</v>
      </c>
      <c r="N160">
        <v>1</v>
      </c>
      <c r="O160" t="s">
        <v>25</v>
      </c>
      <c r="P160">
        <v>3</v>
      </c>
      <c r="Q160">
        <v>0</v>
      </c>
      <c r="R160" t="s">
        <v>26</v>
      </c>
      <c r="S160">
        <v>1</v>
      </c>
      <c r="U160">
        <v>700</v>
      </c>
      <c r="V160" t="s">
        <v>130</v>
      </c>
    </row>
    <row r="161" spans="1:22" x14ac:dyDescent="0.45">
      <c r="A161" t="str">
        <f>"10526448"</f>
        <v>10526448</v>
      </c>
      <c r="B161" t="s">
        <v>22</v>
      </c>
      <c r="C161" s="1">
        <v>43930</v>
      </c>
      <c r="D161">
        <v>325000</v>
      </c>
      <c r="E161" t="s">
        <v>37</v>
      </c>
      <c r="F161">
        <v>1958</v>
      </c>
      <c r="G161">
        <v>3005</v>
      </c>
      <c r="H161" t="s">
        <v>131</v>
      </c>
      <c r="I161" t="str">
        <f t="shared" si="2"/>
        <v>25</v>
      </c>
      <c r="J161">
        <v>60025</v>
      </c>
      <c r="K161">
        <v>0</v>
      </c>
      <c r="L161">
        <v>8</v>
      </c>
      <c r="M161">
        <v>2</v>
      </c>
      <c r="N161">
        <v>0</v>
      </c>
      <c r="O161" t="s">
        <v>41</v>
      </c>
      <c r="P161">
        <v>4</v>
      </c>
      <c r="Q161">
        <v>0</v>
      </c>
      <c r="R161" t="s">
        <v>26</v>
      </c>
      <c r="S161">
        <v>1.5</v>
      </c>
      <c r="V161" t="s">
        <v>36</v>
      </c>
    </row>
    <row r="162" spans="1:22" x14ac:dyDescent="0.45">
      <c r="A162" t="str">
        <f>"10634669"</f>
        <v>10634669</v>
      </c>
      <c r="B162" t="s">
        <v>22</v>
      </c>
      <c r="C162" s="1">
        <v>43964</v>
      </c>
      <c r="D162">
        <v>326000</v>
      </c>
      <c r="E162" t="s">
        <v>37</v>
      </c>
      <c r="F162">
        <v>1959</v>
      </c>
      <c r="G162">
        <v>304</v>
      </c>
      <c r="H162" t="s">
        <v>69</v>
      </c>
      <c r="I162" t="str">
        <f t="shared" si="2"/>
        <v>25</v>
      </c>
      <c r="J162">
        <v>60025</v>
      </c>
      <c r="K162">
        <v>1458</v>
      </c>
      <c r="L162">
        <v>8</v>
      </c>
      <c r="M162">
        <v>2</v>
      </c>
      <c r="N162">
        <v>0</v>
      </c>
      <c r="O162" t="s">
        <v>41</v>
      </c>
      <c r="P162">
        <v>3</v>
      </c>
      <c r="Q162">
        <v>0</v>
      </c>
      <c r="R162" t="s">
        <v>35</v>
      </c>
      <c r="S162">
        <v>2</v>
      </c>
      <c r="V162" t="s">
        <v>36</v>
      </c>
    </row>
    <row r="163" spans="1:22" x14ac:dyDescent="0.45">
      <c r="A163" t="str">
        <f>"10568280"</f>
        <v>10568280</v>
      </c>
      <c r="B163" t="s">
        <v>22</v>
      </c>
      <c r="C163" s="1">
        <v>43826</v>
      </c>
      <c r="D163">
        <v>327800</v>
      </c>
      <c r="E163" t="s">
        <v>74</v>
      </c>
      <c r="F163">
        <v>1963</v>
      </c>
      <c r="G163">
        <v>2528</v>
      </c>
      <c r="H163" t="s">
        <v>34</v>
      </c>
      <c r="I163" t="str">
        <f t="shared" si="2"/>
        <v>25</v>
      </c>
      <c r="J163">
        <v>60025</v>
      </c>
      <c r="K163">
        <v>1482</v>
      </c>
      <c r="L163">
        <v>10</v>
      </c>
      <c r="M163">
        <v>2</v>
      </c>
      <c r="N163">
        <v>0</v>
      </c>
      <c r="O163" t="s">
        <v>25</v>
      </c>
      <c r="P163">
        <v>4</v>
      </c>
      <c r="Q163">
        <v>0</v>
      </c>
      <c r="R163" t="s">
        <v>26</v>
      </c>
      <c r="S163">
        <v>2</v>
      </c>
      <c r="U163">
        <v>527</v>
      </c>
    </row>
    <row r="164" spans="1:22" x14ac:dyDescent="0.45">
      <c r="A164" t="str">
        <f>"10403607"</f>
        <v>10403607</v>
      </c>
      <c r="B164" t="s">
        <v>22</v>
      </c>
      <c r="C164" s="1">
        <v>43753</v>
      </c>
      <c r="D164">
        <v>328000</v>
      </c>
      <c r="E164" t="s">
        <v>37</v>
      </c>
      <c r="F164">
        <v>1958</v>
      </c>
      <c r="G164">
        <v>2616</v>
      </c>
      <c r="H164" t="s">
        <v>105</v>
      </c>
      <c r="I164" t="str">
        <f t="shared" si="2"/>
        <v>25</v>
      </c>
      <c r="J164">
        <v>60025</v>
      </c>
      <c r="K164">
        <v>1425</v>
      </c>
      <c r="L164">
        <v>7</v>
      </c>
      <c r="M164">
        <v>2</v>
      </c>
      <c r="N164">
        <v>0</v>
      </c>
      <c r="O164" t="s">
        <v>25</v>
      </c>
      <c r="P164">
        <v>3</v>
      </c>
      <c r="Q164">
        <v>0</v>
      </c>
      <c r="R164" t="s">
        <v>35</v>
      </c>
      <c r="S164">
        <v>2</v>
      </c>
    </row>
    <row r="165" spans="1:22" x14ac:dyDescent="0.45">
      <c r="A165" t="str">
        <f>"10474414"</f>
        <v>10474414</v>
      </c>
      <c r="B165" t="s">
        <v>22</v>
      </c>
      <c r="C165" s="1">
        <v>43756</v>
      </c>
      <c r="D165">
        <v>329000</v>
      </c>
      <c r="E165" t="s">
        <v>37</v>
      </c>
      <c r="F165">
        <v>1960</v>
      </c>
      <c r="G165">
        <v>1145</v>
      </c>
      <c r="H165" t="s">
        <v>132</v>
      </c>
      <c r="I165" t="str">
        <f t="shared" si="2"/>
        <v>25</v>
      </c>
      <c r="J165">
        <v>60025</v>
      </c>
      <c r="K165">
        <v>0</v>
      </c>
      <c r="L165">
        <v>7</v>
      </c>
      <c r="M165">
        <v>1</v>
      </c>
      <c r="N165">
        <v>1</v>
      </c>
      <c r="O165" t="s">
        <v>25</v>
      </c>
      <c r="P165">
        <v>3</v>
      </c>
      <c r="Q165">
        <v>0</v>
      </c>
      <c r="R165" t="s">
        <v>26</v>
      </c>
      <c r="S165">
        <v>2</v>
      </c>
      <c r="V165" t="s">
        <v>71</v>
      </c>
    </row>
    <row r="166" spans="1:22" x14ac:dyDescent="0.45">
      <c r="A166" t="str">
        <f>"10466071"</f>
        <v>10466071</v>
      </c>
      <c r="B166" t="s">
        <v>22</v>
      </c>
      <c r="C166" s="1">
        <v>43756</v>
      </c>
      <c r="D166">
        <v>329500</v>
      </c>
      <c r="E166" t="s">
        <v>37</v>
      </c>
      <c r="F166">
        <v>1960</v>
      </c>
      <c r="G166">
        <v>117</v>
      </c>
      <c r="H166" t="s">
        <v>133</v>
      </c>
      <c r="I166" t="str">
        <f t="shared" si="2"/>
        <v>25</v>
      </c>
      <c r="J166">
        <v>60025</v>
      </c>
      <c r="K166">
        <v>1400</v>
      </c>
      <c r="L166">
        <v>7</v>
      </c>
      <c r="M166">
        <v>2</v>
      </c>
      <c r="N166">
        <v>0</v>
      </c>
      <c r="O166" t="s">
        <v>25</v>
      </c>
      <c r="P166">
        <v>3</v>
      </c>
      <c r="Q166">
        <v>0</v>
      </c>
      <c r="R166" t="s">
        <v>26</v>
      </c>
      <c r="S166">
        <v>2</v>
      </c>
      <c r="V166" t="s">
        <v>71</v>
      </c>
    </row>
    <row r="167" spans="1:22" x14ac:dyDescent="0.45">
      <c r="A167" t="str">
        <f>"10445031"</f>
        <v>10445031</v>
      </c>
      <c r="B167" t="s">
        <v>22</v>
      </c>
      <c r="C167" s="1">
        <v>43696</v>
      </c>
      <c r="D167">
        <v>330000</v>
      </c>
      <c r="E167" t="s">
        <v>23</v>
      </c>
      <c r="F167">
        <v>1957</v>
      </c>
      <c r="G167">
        <v>1131</v>
      </c>
      <c r="H167" t="s">
        <v>44</v>
      </c>
      <c r="I167" t="str">
        <f t="shared" si="2"/>
        <v>25</v>
      </c>
      <c r="J167">
        <v>60025</v>
      </c>
      <c r="K167">
        <v>1320</v>
      </c>
      <c r="L167">
        <v>7</v>
      </c>
      <c r="M167">
        <v>1</v>
      </c>
      <c r="N167">
        <v>1</v>
      </c>
      <c r="O167" t="s">
        <v>25</v>
      </c>
      <c r="P167">
        <v>3</v>
      </c>
      <c r="Q167">
        <v>0</v>
      </c>
      <c r="R167" t="s">
        <v>26</v>
      </c>
      <c r="S167">
        <v>2</v>
      </c>
      <c r="V167" t="s">
        <v>27</v>
      </c>
    </row>
    <row r="168" spans="1:22" x14ac:dyDescent="0.45">
      <c r="A168" t="str">
        <f>"10925374"</f>
        <v>10925374</v>
      </c>
      <c r="B168" t="s">
        <v>22</v>
      </c>
      <c r="C168" s="1">
        <v>44180</v>
      </c>
      <c r="D168">
        <v>330000</v>
      </c>
      <c r="E168" t="s">
        <v>60</v>
      </c>
      <c r="F168">
        <v>1959</v>
      </c>
      <c r="G168">
        <v>124</v>
      </c>
      <c r="H168" t="s">
        <v>77</v>
      </c>
      <c r="I168" t="str">
        <f t="shared" si="2"/>
        <v>25</v>
      </c>
      <c r="J168">
        <v>60025</v>
      </c>
      <c r="K168">
        <v>2009</v>
      </c>
      <c r="L168">
        <v>9</v>
      </c>
      <c r="M168">
        <v>2</v>
      </c>
      <c r="N168">
        <v>0</v>
      </c>
      <c r="O168" t="s">
        <v>25</v>
      </c>
      <c r="P168">
        <v>3</v>
      </c>
      <c r="Q168">
        <v>0</v>
      </c>
      <c r="R168" t="s">
        <v>35</v>
      </c>
      <c r="S168">
        <v>2</v>
      </c>
    </row>
    <row r="169" spans="1:22" x14ac:dyDescent="0.45">
      <c r="A169" t="str">
        <f>"10172307"</f>
        <v>10172307</v>
      </c>
      <c r="B169" t="s">
        <v>22</v>
      </c>
      <c r="C169" s="1">
        <v>43588</v>
      </c>
      <c r="D169">
        <v>331000</v>
      </c>
      <c r="E169" t="s">
        <v>31</v>
      </c>
      <c r="F169">
        <v>1962</v>
      </c>
      <c r="G169">
        <v>2741</v>
      </c>
      <c r="H169" t="s">
        <v>134</v>
      </c>
      <c r="I169" t="str">
        <f t="shared" si="2"/>
        <v>25</v>
      </c>
      <c r="J169">
        <v>60025</v>
      </c>
      <c r="K169">
        <v>1558</v>
      </c>
      <c r="L169">
        <v>8</v>
      </c>
      <c r="M169">
        <v>2</v>
      </c>
      <c r="N169">
        <v>0</v>
      </c>
      <c r="O169" t="s">
        <v>25</v>
      </c>
      <c r="P169">
        <v>4</v>
      </c>
      <c r="Q169">
        <v>0</v>
      </c>
      <c r="R169" t="s">
        <v>35</v>
      </c>
      <c r="S169">
        <v>2</v>
      </c>
      <c r="V169" t="s">
        <v>71</v>
      </c>
    </row>
    <row r="170" spans="1:22" x14ac:dyDescent="0.45">
      <c r="A170" t="str">
        <f>"10076233"</f>
        <v>10076233</v>
      </c>
      <c r="B170" t="s">
        <v>22</v>
      </c>
      <c r="C170" s="1">
        <v>43578</v>
      </c>
      <c r="D170">
        <v>331000</v>
      </c>
      <c r="E170" t="s">
        <v>60</v>
      </c>
      <c r="F170">
        <v>1925</v>
      </c>
      <c r="G170">
        <v>2635</v>
      </c>
      <c r="H170" t="s">
        <v>48</v>
      </c>
      <c r="I170" t="str">
        <f t="shared" si="2"/>
        <v>25</v>
      </c>
      <c r="J170">
        <v>60025</v>
      </c>
      <c r="K170">
        <v>1617</v>
      </c>
      <c r="L170">
        <v>8</v>
      </c>
      <c r="M170">
        <v>2</v>
      </c>
      <c r="N170">
        <v>0</v>
      </c>
      <c r="O170" t="s">
        <v>41</v>
      </c>
      <c r="P170">
        <v>3</v>
      </c>
      <c r="Q170">
        <v>1</v>
      </c>
      <c r="R170" t="s">
        <v>35</v>
      </c>
      <c r="S170">
        <v>2</v>
      </c>
      <c r="V170" t="s">
        <v>47</v>
      </c>
    </row>
    <row r="171" spans="1:22" x14ac:dyDescent="0.45">
      <c r="A171" t="str">
        <f>"10414194"</f>
        <v>10414194</v>
      </c>
      <c r="B171" t="s">
        <v>22</v>
      </c>
      <c r="C171" s="1">
        <v>43669</v>
      </c>
      <c r="D171">
        <v>332500</v>
      </c>
      <c r="E171" t="s">
        <v>23</v>
      </c>
      <c r="F171">
        <v>1953</v>
      </c>
      <c r="G171">
        <v>1800</v>
      </c>
      <c r="H171" t="s">
        <v>135</v>
      </c>
      <c r="I171" t="str">
        <f t="shared" si="2"/>
        <v>25</v>
      </c>
      <c r="J171">
        <v>60025</v>
      </c>
      <c r="K171">
        <v>1455</v>
      </c>
      <c r="L171">
        <v>7</v>
      </c>
      <c r="M171">
        <v>2</v>
      </c>
      <c r="N171">
        <v>0</v>
      </c>
      <c r="O171" t="s">
        <v>25</v>
      </c>
      <c r="P171">
        <v>3</v>
      </c>
      <c r="Q171">
        <v>0</v>
      </c>
      <c r="R171" t="s">
        <v>26</v>
      </c>
      <c r="S171">
        <v>1</v>
      </c>
      <c r="V171" t="s">
        <v>27</v>
      </c>
    </row>
    <row r="172" spans="1:22" x14ac:dyDescent="0.45">
      <c r="A172" t="str">
        <f>"10860062"</f>
        <v>10860062</v>
      </c>
      <c r="B172" t="s">
        <v>22</v>
      </c>
      <c r="C172" s="1">
        <v>44134</v>
      </c>
      <c r="D172">
        <v>334000</v>
      </c>
      <c r="E172" t="s">
        <v>31</v>
      </c>
      <c r="F172">
        <v>1935</v>
      </c>
      <c r="G172">
        <v>2100</v>
      </c>
      <c r="H172" t="s">
        <v>136</v>
      </c>
      <c r="I172" t="str">
        <f t="shared" si="2"/>
        <v>25</v>
      </c>
      <c r="J172">
        <v>60025</v>
      </c>
      <c r="K172">
        <v>2099</v>
      </c>
      <c r="L172">
        <v>8</v>
      </c>
      <c r="M172">
        <v>2</v>
      </c>
      <c r="N172">
        <v>0</v>
      </c>
      <c r="O172" t="s">
        <v>25</v>
      </c>
      <c r="P172">
        <v>3</v>
      </c>
      <c r="Q172">
        <v>0</v>
      </c>
      <c r="R172" t="s">
        <v>26</v>
      </c>
      <c r="S172">
        <v>1</v>
      </c>
      <c r="V172" t="s">
        <v>137</v>
      </c>
    </row>
    <row r="173" spans="1:22" x14ac:dyDescent="0.45">
      <c r="A173" t="str">
        <f>"10359461"</f>
        <v>10359461</v>
      </c>
      <c r="B173" t="s">
        <v>22</v>
      </c>
      <c r="C173" s="1">
        <v>43630</v>
      </c>
      <c r="D173">
        <v>334900</v>
      </c>
      <c r="E173" t="s">
        <v>60</v>
      </c>
      <c r="F173">
        <v>1958</v>
      </c>
      <c r="G173">
        <v>124</v>
      </c>
      <c r="H173" t="s">
        <v>73</v>
      </c>
      <c r="I173" t="str">
        <f t="shared" si="2"/>
        <v>25</v>
      </c>
      <c r="J173">
        <v>60025</v>
      </c>
      <c r="K173">
        <v>2400</v>
      </c>
      <c r="L173">
        <v>10</v>
      </c>
      <c r="M173">
        <v>3</v>
      </c>
      <c r="N173">
        <v>0</v>
      </c>
      <c r="O173" t="s">
        <v>41</v>
      </c>
      <c r="P173">
        <v>5</v>
      </c>
      <c r="Q173">
        <v>0</v>
      </c>
      <c r="R173" t="s">
        <v>35</v>
      </c>
      <c r="S173">
        <v>2</v>
      </c>
    </row>
    <row r="174" spans="1:22" x14ac:dyDescent="0.45">
      <c r="A174" t="str">
        <f>"10293827"</f>
        <v>10293827</v>
      </c>
      <c r="B174" t="s">
        <v>22</v>
      </c>
      <c r="C174" s="1">
        <v>43567</v>
      </c>
      <c r="D174">
        <v>335000</v>
      </c>
      <c r="E174" t="s">
        <v>23</v>
      </c>
      <c r="F174">
        <v>1957</v>
      </c>
      <c r="G174">
        <v>1400</v>
      </c>
      <c r="H174" t="s">
        <v>138</v>
      </c>
      <c r="I174" t="str">
        <f t="shared" si="2"/>
        <v>25</v>
      </c>
      <c r="J174">
        <v>60025</v>
      </c>
      <c r="K174">
        <v>0</v>
      </c>
      <c r="L174">
        <v>10</v>
      </c>
      <c r="M174">
        <v>1</v>
      </c>
      <c r="N174">
        <v>1</v>
      </c>
      <c r="O174" t="s">
        <v>25</v>
      </c>
      <c r="P174">
        <v>3</v>
      </c>
      <c r="Q174">
        <v>0</v>
      </c>
      <c r="R174" t="s">
        <v>26</v>
      </c>
      <c r="S174">
        <v>1</v>
      </c>
      <c r="V174" t="s">
        <v>27</v>
      </c>
    </row>
    <row r="175" spans="1:22" x14ac:dyDescent="0.45">
      <c r="A175" t="str">
        <f>"10655681"</f>
        <v>10655681</v>
      </c>
      <c r="B175" t="s">
        <v>22</v>
      </c>
      <c r="C175" s="1">
        <v>44104</v>
      </c>
      <c r="D175">
        <v>335000</v>
      </c>
      <c r="E175" t="s">
        <v>60</v>
      </c>
      <c r="F175">
        <v>1957</v>
      </c>
      <c r="G175">
        <v>2505</v>
      </c>
      <c r="H175" t="s">
        <v>139</v>
      </c>
      <c r="I175" t="str">
        <f t="shared" si="2"/>
        <v>25</v>
      </c>
      <c r="J175">
        <v>60025</v>
      </c>
      <c r="K175">
        <v>1555</v>
      </c>
      <c r="L175">
        <v>7</v>
      </c>
      <c r="M175">
        <v>1</v>
      </c>
      <c r="N175">
        <v>1</v>
      </c>
      <c r="O175" t="s">
        <v>25</v>
      </c>
      <c r="P175">
        <v>3</v>
      </c>
      <c r="Q175">
        <v>0</v>
      </c>
      <c r="R175" t="s">
        <v>26</v>
      </c>
      <c r="S175">
        <v>2</v>
      </c>
    </row>
    <row r="176" spans="1:22" x14ac:dyDescent="0.45">
      <c r="A176" t="str">
        <f>"10674061"</f>
        <v>10674061</v>
      </c>
      <c r="B176" t="s">
        <v>22</v>
      </c>
      <c r="C176" s="1">
        <v>44085</v>
      </c>
      <c r="D176">
        <v>335000</v>
      </c>
      <c r="E176" t="s">
        <v>31</v>
      </c>
      <c r="F176">
        <v>1958</v>
      </c>
      <c r="G176">
        <v>218</v>
      </c>
      <c r="H176" t="s">
        <v>140</v>
      </c>
      <c r="I176" t="str">
        <f t="shared" si="2"/>
        <v>25</v>
      </c>
      <c r="J176">
        <v>60025</v>
      </c>
      <c r="K176">
        <v>0</v>
      </c>
      <c r="L176">
        <v>7</v>
      </c>
      <c r="M176">
        <v>1</v>
      </c>
      <c r="N176">
        <v>1</v>
      </c>
      <c r="O176" t="s">
        <v>41</v>
      </c>
      <c r="P176">
        <v>3</v>
      </c>
      <c r="Q176">
        <v>0</v>
      </c>
      <c r="R176" t="s">
        <v>26</v>
      </c>
      <c r="S176">
        <v>1</v>
      </c>
      <c r="V176" t="s">
        <v>71</v>
      </c>
    </row>
    <row r="177" spans="1:22" x14ac:dyDescent="0.45">
      <c r="A177" t="str">
        <f>"10632925"</f>
        <v>10632925</v>
      </c>
      <c r="B177" t="s">
        <v>22</v>
      </c>
      <c r="C177" s="1">
        <v>43950</v>
      </c>
      <c r="D177">
        <v>336000</v>
      </c>
      <c r="E177" t="s">
        <v>37</v>
      </c>
      <c r="F177">
        <v>1964</v>
      </c>
      <c r="G177">
        <v>306</v>
      </c>
      <c r="H177" t="s">
        <v>141</v>
      </c>
      <c r="I177" t="str">
        <f t="shared" si="2"/>
        <v>25</v>
      </c>
      <c r="J177">
        <v>60025</v>
      </c>
      <c r="K177">
        <v>1222</v>
      </c>
      <c r="L177">
        <v>7</v>
      </c>
      <c r="M177">
        <v>2</v>
      </c>
      <c r="N177">
        <v>0</v>
      </c>
      <c r="O177" t="s">
        <v>25</v>
      </c>
      <c r="P177">
        <v>3</v>
      </c>
      <c r="Q177">
        <v>0</v>
      </c>
      <c r="R177" t="s">
        <v>35</v>
      </c>
      <c r="S177">
        <v>2</v>
      </c>
    </row>
    <row r="178" spans="1:22" x14ac:dyDescent="0.45">
      <c r="A178" t="str">
        <f>"10250574"</f>
        <v>10250574</v>
      </c>
      <c r="B178" t="s">
        <v>22</v>
      </c>
      <c r="C178" s="1">
        <v>43644</v>
      </c>
      <c r="D178">
        <v>337500</v>
      </c>
      <c r="E178" t="s">
        <v>23</v>
      </c>
      <c r="F178">
        <v>1943</v>
      </c>
      <c r="G178">
        <v>612</v>
      </c>
      <c r="H178" t="s">
        <v>142</v>
      </c>
      <c r="I178" t="str">
        <f t="shared" si="2"/>
        <v>25</v>
      </c>
      <c r="J178">
        <v>60025</v>
      </c>
      <c r="K178">
        <v>868</v>
      </c>
      <c r="L178">
        <v>6</v>
      </c>
      <c r="M178">
        <v>3</v>
      </c>
      <c r="N178">
        <v>1</v>
      </c>
      <c r="O178" t="s">
        <v>25</v>
      </c>
      <c r="P178">
        <v>3</v>
      </c>
      <c r="Q178">
        <v>0</v>
      </c>
      <c r="R178" t="s">
        <v>35</v>
      </c>
      <c r="S178">
        <v>2</v>
      </c>
      <c r="U178">
        <v>0</v>
      </c>
      <c r="V178" t="s">
        <v>27</v>
      </c>
    </row>
    <row r="179" spans="1:22" x14ac:dyDescent="0.45">
      <c r="A179" t="str">
        <f>"10801933"</f>
        <v>10801933</v>
      </c>
      <c r="B179" t="s">
        <v>22</v>
      </c>
      <c r="C179" s="1">
        <v>44068</v>
      </c>
      <c r="D179">
        <v>339000</v>
      </c>
      <c r="E179" t="s">
        <v>23</v>
      </c>
      <c r="F179">
        <v>1953</v>
      </c>
      <c r="G179">
        <v>101</v>
      </c>
      <c r="H179" t="s">
        <v>75</v>
      </c>
      <c r="I179" t="str">
        <f t="shared" si="2"/>
        <v>25</v>
      </c>
      <c r="J179">
        <v>60025</v>
      </c>
      <c r="K179">
        <v>1173</v>
      </c>
      <c r="L179">
        <v>6</v>
      </c>
      <c r="M179">
        <v>1</v>
      </c>
      <c r="N179">
        <v>0</v>
      </c>
      <c r="O179" t="s">
        <v>25</v>
      </c>
      <c r="P179">
        <v>2</v>
      </c>
      <c r="Q179">
        <v>0</v>
      </c>
      <c r="R179" t="s">
        <v>26</v>
      </c>
      <c r="S179">
        <v>2</v>
      </c>
      <c r="V179" t="s">
        <v>27</v>
      </c>
    </row>
    <row r="180" spans="1:22" x14ac:dyDescent="0.45">
      <c r="A180" t="str">
        <f>"10564103"</f>
        <v>10564103</v>
      </c>
      <c r="B180" t="s">
        <v>22</v>
      </c>
      <c r="C180" s="1">
        <v>43868</v>
      </c>
      <c r="D180">
        <v>339000</v>
      </c>
      <c r="E180" t="s">
        <v>37</v>
      </c>
      <c r="F180">
        <v>1960</v>
      </c>
      <c r="G180">
        <v>205</v>
      </c>
      <c r="H180" t="s">
        <v>140</v>
      </c>
      <c r="I180" t="str">
        <f t="shared" si="2"/>
        <v>25</v>
      </c>
      <c r="J180">
        <v>60025</v>
      </c>
      <c r="K180">
        <v>2025</v>
      </c>
      <c r="L180">
        <v>7</v>
      </c>
      <c r="M180">
        <v>2</v>
      </c>
      <c r="N180">
        <v>0</v>
      </c>
      <c r="O180" t="s">
        <v>41</v>
      </c>
      <c r="P180">
        <v>3</v>
      </c>
      <c r="Q180">
        <v>0</v>
      </c>
      <c r="R180" t="s">
        <v>35</v>
      </c>
      <c r="S180">
        <v>2.5</v>
      </c>
      <c r="T180">
        <v>2</v>
      </c>
      <c r="V180" t="s">
        <v>36</v>
      </c>
    </row>
    <row r="181" spans="1:22" x14ac:dyDescent="0.45">
      <c r="A181" t="str">
        <f>"10770566"</f>
        <v>10770566</v>
      </c>
      <c r="B181" t="s">
        <v>22</v>
      </c>
      <c r="C181" s="1">
        <v>44068</v>
      </c>
      <c r="D181">
        <v>340000</v>
      </c>
      <c r="E181" t="s">
        <v>143</v>
      </c>
      <c r="F181">
        <v>1962</v>
      </c>
      <c r="G181">
        <v>316</v>
      </c>
      <c r="H181" t="s">
        <v>144</v>
      </c>
      <c r="I181" t="str">
        <f t="shared" si="2"/>
        <v>25</v>
      </c>
      <c r="J181">
        <v>60025</v>
      </c>
      <c r="K181">
        <v>1600</v>
      </c>
      <c r="L181">
        <v>9</v>
      </c>
      <c r="M181">
        <v>2</v>
      </c>
      <c r="N181">
        <v>1</v>
      </c>
      <c r="O181" t="s">
        <v>41</v>
      </c>
      <c r="P181">
        <v>3</v>
      </c>
      <c r="Q181">
        <v>0</v>
      </c>
      <c r="R181" t="s">
        <v>35</v>
      </c>
      <c r="S181">
        <v>2.5</v>
      </c>
    </row>
    <row r="182" spans="1:22" x14ac:dyDescent="0.45">
      <c r="A182" t="str">
        <f>"10353058"</f>
        <v>10353058</v>
      </c>
      <c r="B182" t="s">
        <v>22</v>
      </c>
      <c r="C182" s="1">
        <v>43634</v>
      </c>
      <c r="D182">
        <v>340000</v>
      </c>
      <c r="E182" t="s">
        <v>37</v>
      </c>
      <c r="F182">
        <v>1962</v>
      </c>
      <c r="G182">
        <v>2729</v>
      </c>
      <c r="H182" t="s">
        <v>134</v>
      </c>
      <c r="I182" t="str">
        <f t="shared" si="2"/>
        <v>25</v>
      </c>
      <c r="J182">
        <v>60025</v>
      </c>
      <c r="K182">
        <v>1749</v>
      </c>
      <c r="L182">
        <v>8</v>
      </c>
      <c r="M182">
        <v>2</v>
      </c>
      <c r="N182">
        <v>1</v>
      </c>
      <c r="O182" t="s">
        <v>41</v>
      </c>
      <c r="P182">
        <v>4</v>
      </c>
      <c r="Q182">
        <v>0</v>
      </c>
      <c r="R182" t="s">
        <v>35</v>
      </c>
      <c r="S182">
        <v>2</v>
      </c>
    </row>
    <row r="183" spans="1:22" x14ac:dyDescent="0.45">
      <c r="A183" t="str">
        <f>"10371678"</f>
        <v>10371678</v>
      </c>
      <c r="B183" t="s">
        <v>22</v>
      </c>
      <c r="C183" s="1">
        <v>43664</v>
      </c>
      <c r="D183">
        <v>340000</v>
      </c>
      <c r="E183" t="s">
        <v>37</v>
      </c>
      <c r="F183">
        <v>1960</v>
      </c>
      <c r="G183">
        <v>3131</v>
      </c>
      <c r="H183" t="s">
        <v>145</v>
      </c>
      <c r="I183" t="str">
        <f t="shared" si="2"/>
        <v>25</v>
      </c>
      <c r="J183">
        <v>60026</v>
      </c>
      <c r="K183">
        <v>1394</v>
      </c>
      <c r="L183">
        <v>7</v>
      </c>
      <c r="M183">
        <v>2</v>
      </c>
      <c r="N183">
        <v>0</v>
      </c>
      <c r="O183" t="s">
        <v>41</v>
      </c>
      <c r="P183">
        <v>3</v>
      </c>
      <c r="Q183">
        <v>0</v>
      </c>
      <c r="R183" t="s">
        <v>26</v>
      </c>
      <c r="S183">
        <v>1.5</v>
      </c>
    </row>
    <row r="184" spans="1:22" x14ac:dyDescent="0.45">
      <c r="A184" t="str">
        <f>"10848589"</f>
        <v>10848589</v>
      </c>
      <c r="B184" t="s">
        <v>22</v>
      </c>
      <c r="C184" s="1">
        <v>44173</v>
      </c>
      <c r="D184">
        <v>340000</v>
      </c>
      <c r="E184" t="s">
        <v>23</v>
      </c>
      <c r="F184">
        <v>1954</v>
      </c>
      <c r="G184">
        <v>3210</v>
      </c>
      <c r="H184" t="s">
        <v>57</v>
      </c>
      <c r="I184" t="str">
        <f t="shared" si="2"/>
        <v>25</v>
      </c>
      <c r="J184">
        <v>60025</v>
      </c>
      <c r="K184">
        <v>0</v>
      </c>
      <c r="L184">
        <v>7</v>
      </c>
      <c r="M184">
        <v>2</v>
      </c>
      <c r="N184">
        <v>0</v>
      </c>
      <c r="O184" t="s">
        <v>25</v>
      </c>
      <c r="P184">
        <v>4</v>
      </c>
      <c r="Q184">
        <v>0</v>
      </c>
      <c r="R184" t="s">
        <v>35</v>
      </c>
      <c r="S184">
        <v>3</v>
      </c>
      <c r="V184" t="s">
        <v>27</v>
      </c>
    </row>
    <row r="185" spans="1:22" x14ac:dyDescent="0.45">
      <c r="A185" t="str">
        <f>"10170171"</f>
        <v>10170171</v>
      </c>
      <c r="B185" t="s">
        <v>22</v>
      </c>
      <c r="C185" s="1">
        <v>43553</v>
      </c>
      <c r="D185">
        <v>340000</v>
      </c>
      <c r="E185" t="s">
        <v>23</v>
      </c>
      <c r="F185">
        <v>1953</v>
      </c>
      <c r="G185">
        <v>2141</v>
      </c>
      <c r="H185" t="s">
        <v>135</v>
      </c>
      <c r="I185" t="str">
        <f t="shared" si="2"/>
        <v>25</v>
      </c>
      <c r="J185">
        <v>60025</v>
      </c>
      <c r="K185">
        <v>1202</v>
      </c>
      <c r="L185">
        <v>8</v>
      </c>
      <c r="M185">
        <v>1</v>
      </c>
      <c r="N185">
        <v>1</v>
      </c>
      <c r="O185" t="s">
        <v>41</v>
      </c>
      <c r="P185">
        <v>3</v>
      </c>
      <c r="Q185">
        <v>0</v>
      </c>
      <c r="T185">
        <v>1</v>
      </c>
      <c r="V185" t="s">
        <v>27</v>
      </c>
    </row>
    <row r="186" spans="1:22" x14ac:dyDescent="0.45">
      <c r="A186" t="str">
        <f>"10549937"</f>
        <v>10549937</v>
      </c>
      <c r="B186" t="s">
        <v>22</v>
      </c>
      <c r="C186" s="1">
        <v>43847</v>
      </c>
      <c r="D186">
        <v>340000</v>
      </c>
      <c r="E186" t="s">
        <v>23</v>
      </c>
      <c r="F186">
        <v>1952</v>
      </c>
      <c r="G186">
        <v>2148</v>
      </c>
      <c r="H186" t="s">
        <v>146</v>
      </c>
      <c r="I186" t="str">
        <f t="shared" si="2"/>
        <v>25</v>
      </c>
      <c r="J186">
        <v>60025</v>
      </c>
      <c r="K186">
        <v>0</v>
      </c>
      <c r="L186">
        <v>7</v>
      </c>
      <c r="M186">
        <v>2</v>
      </c>
      <c r="N186">
        <v>0</v>
      </c>
      <c r="O186" t="s">
        <v>25</v>
      </c>
      <c r="P186">
        <v>3</v>
      </c>
      <c r="Q186">
        <v>0</v>
      </c>
      <c r="R186" t="s">
        <v>35</v>
      </c>
      <c r="S186">
        <v>2</v>
      </c>
    </row>
    <row r="187" spans="1:22" x14ac:dyDescent="0.45">
      <c r="A187" t="str">
        <f>"10464746"</f>
        <v>10464746</v>
      </c>
      <c r="B187" t="s">
        <v>22</v>
      </c>
      <c r="C187" s="1">
        <v>43714</v>
      </c>
      <c r="D187">
        <v>342523</v>
      </c>
      <c r="E187" t="s">
        <v>23</v>
      </c>
      <c r="F187">
        <v>1959</v>
      </c>
      <c r="G187">
        <v>415</v>
      </c>
      <c r="H187" t="s">
        <v>118</v>
      </c>
      <c r="I187" t="str">
        <f t="shared" si="2"/>
        <v>25</v>
      </c>
      <c r="J187">
        <v>60025</v>
      </c>
      <c r="K187">
        <v>1900</v>
      </c>
      <c r="L187">
        <v>9</v>
      </c>
      <c r="M187">
        <v>3</v>
      </c>
      <c r="N187">
        <v>0</v>
      </c>
      <c r="O187" t="s">
        <v>41</v>
      </c>
      <c r="P187">
        <v>3</v>
      </c>
      <c r="Q187">
        <v>1</v>
      </c>
      <c r="R187" t="s">
        <v>26</v>
      </c>
      <c r="S187">
        <v>2</v>
      </c>
    </row>
    <row r="188" spans="1:22" x14ac:dyDescent="0.45">
      <c r="A188" t="str">
        <f>"10706715"</f>
        <v>10706715</v>
      </c>
      <c r="B188" t="s">
        <v>22</v>
      </c>
      <c r="C188" s="1">
        <v>44011</v>
      </c>
      <c r="D188">
        <v>344000</v>
      </c>
      <c r="E188" t="s">
        <v>37</v>
      </c>
      <c r="F188">
        <v>1959</v>
      </c>
      <c r="G188">
        <v>142</v>
      </c>
      <c r="H188" t="s">
        <v>96</v>
      </c>
      <c r="I188" t="str">
        <f t="shared" si="2"/>
        <v>25</v>
      </c>
      <c r="J188">
        <v>60025</v>
      </c>
      <c r="K188">
        <v>2000</v>
      </c>
      <c r="L188">
        <v>7</v>
      </c>
      <c r="M188">
        <v>2</v>
      </c>
      <c r="N188">
        <v>0</v>
      </c>
      <c r="O188" t="s">
        <v>41</v>
      </c>
      <c r="P188">
        <v>3</v>
      </c>
      <c r="Q188">
        <v>0</v>
      </c>
      <c r="R188" t="s">
        <v>35</v>
      </c>
      <c r="S188">
        <v>2</v>
      </c>
      <c r="V188" t="s">
        <v>71</v>
      </c>
    </row>
    <row r="189" spans="1:22" x14ac:dyDescent="0.45">
      <c r="A189" t="str">
        <f>"10628763"</f>
        <v>10628763</v>
      </c>
      <c r="B189" t="s">
        <v>22</v>
      </c>
      <c r="C189" s="1">
        <v>43906</v>
      </c>
      <c r="D189">
        <v>345000</v>
      </c>
      <c r="E189" t="s">
        <v>23</v>
      </c>
      <c r="F189">
        <v>1955</v>
      </c>
      <c r="G189">
        <v>811</v>
      </c>
      <c r="H189" t="s">
        <v>124</v>
      </c>
      <c r="I189" t="str">
        <f t="shared" si="2"/>
        <v>25</v>
      </c>
      <c r="J189">
        <v>60025</v>
      </c>
      <c r="K189">
        <v>1598</v>
      </c>
      <c r="L189">
        <v>7</v>
      </c>
      <c r="M189">
        <v>2</v>
      </c>
      <c r="N189">
        <v>0</v>
      </c>
      <c r="O189" t="s">
        <v>25</v>
      </c>
      <c r="P189">
        <v>3</v>
      </c>
      <c r="Q189">
        <v>0</v>
      </c>
      <c r="R189" t="s">
        <v>26</v>
      </c>
      <c r="S189">
        <v>1</v>
      </c>
    </row>
    <row r="190" spans="1:22" x14ac:dyDescent="0.45">
      <c r="A190" t="str">
        <f>"10531765"</f>
        <v>10531765</v>
      </c>
      <c r="B190" t="s">
        <v>22</v>
      </c>
      <c r="C190" s="1">
        <v>43802</v>
      </c>
      <c r="D190">
        <v>345000</v>
      </c>
      <c r="E190" t="s">
        <v>37</v>
      </c>
      <c r="F190">
        <v>1963</v>
      </c>
      <c r="G190">
        <v>3231</v>
      </c>
      <c r="H190" t="s">
        <v>147</v>
      </c>
      <c r="I190" t="str">
        <f t="shared" si="2"/>
        <v>25</v>
      </c>
      <c r="J190">
        <v>60025</v>
      </c>
      <c r="K190">
        <v>1293</v>
      </c>
      <c r="L190">
        <v>7</v>
      </c>
      <c r="M190">
        <v>2</v>
      </c>
      <c r="N190">
        <v>0</v>
      </c>
      <c r="O190" t="s">
        <v>41</v>
      </c>
      <c r="P190">
        <v>4</v>
      </c>
      <c r="Q190">
        <v>0</v>
      </c>
      <c r="R190" t="s">
        <v>35</v>
      </c>
      <c r="S190">
        <v>2</v>
      </c>
    </row>
    <row r="191" spans="1:22" x14ac:dyDescent="0.45">
      <c r="A191" t="str">
        <f>"10912579"</f>
        <v>10912579</v>
      </c>
      <c r="B191" t="s">
        <v>22</v>
      </c>
      <c r="C191" s="1">
        <v>44188</v>
      </c>
      <c r="D191">
        <v>345000</v>
      </c>
      <c r="E191" t="s">
        <v>37</v>
      </c>
      <c r="F191">
        <v>1961</v>
      </c>
      <c r="G191">
        <v>324</v>
      </c>
      <c r="H191" t="s">
        <v>73</v>
      </c>
      <c r="I191" t="str">
        <f t="shared" si="2"/>
        <v>25</v>
      </c>
      <c r="J191">
        <v>60025</v>
      </c>
      <c r="K191">
        <v>2163</v>
      </c>
      <c r="L191">
        <v>7</v>
      </c>
      <c r="M191">
        <v>2</v>
      </c>
      <c r="N191">
        <v>0</v>
      </c>
      <c r="O191" t="s">
        <v>41</v>
      </c>
      <c r="P191">
        <v>3</v>
      </c>
      <c r="Q191">
        <v>0</v>
      </c>
      <c r="R191" t="s">
        <v>35</v>
      </c>
      <c r="S191">
        <v>2</v>
      </c>
      <c r="V191" t="s">
        <v>148</v>
      </c>
    </row>
    <row r="192" spans="1:22" x14ac:dyDescent="0.45">
      <c r="A192" t="str">
        <f>"10491568"</f>
        <v>10491568</v>
      </c>
      <c r="B192" t="s">
        <v>22</v>
      </c>
      <c r="C192" s="1">
        <v>43845</v>
      </c>
      <c r="D192">
        <v>345000</v>
      </c>
      <c r="E192" t="s">
        <v>23</v>
      </c>
      <c r="F192">
        <v>1953</v>
      </c>
      <c r="G192">
        <v>22</v>
      </c>
      <c r="H192" t="s">
        <v>87</v>
      </c>
      <c r="I192" t="str">
        <f t="shared" si="2"/>
        <v>25</v>
      </c>
      <c r="J192">
        <v>60025</v>
      </c>
      <c r="K192">
        <v>0</v>
      </c>
      <c r="L192">
        <v>8</v>
      </c>
      <c r="M192">
        <v>2</v>
      </c>
      <c r="N192">
        <v>0</v>
      </c>
      <c r="O192" t="s">
        <v>41</v>
      </c>
      <c r="P192">
        <v>3</v>
      </c>
      <c r="Q192">
        <v>0</v>
      </c>
      <c r="R192" t="s">
        <v>35</v>
      </c>
      <c r="S192">
        <v>2</v>
      </c>
      <c r="V192" t="s">
        <v>27</v>
      </c>
    </row>
    <row r="193" spans="1:22" x14ac:dyDescent="0.45">
      <c r="A193" t="str">
        <f>"10033291"</f>
        <v>10033291</v>
      </c>
      <c r="B193" t="s">
        <v>22</v>
      </c>
      <c r="C193" s="1">
        <v>43573</v>
      </c>
      <c r="D193">
        <v>347500</v>
      </c>
      <c r="E193" t="s">
        <v>37</v>
      </c>
      <c r="F193">
        <v>1965</v>
      </c>
      <c r="G193">
        <v>2427</v>
      </c>
      <c r="H193" t="s">
        <v>96</v>
      </c>
      <c r="I193" t="str">
        <f t="shared" si="2"/>
        <v>25</v>
      </c>
      <c r="J193">
        <v>60025</v>
      </c>
      <c r="K193">
        <v>1470</v>
      </c>
      <c r="L193">
        <v>8</v>
      </c>
      <c r="M193">
        <v>2</v>
      </c>
      <c r="N193">
        <v>1</v>
      </c>
      <c r="O193" t="s">
        <v>25</v>
      </c>
      <c r="P193">
        <v>3</v>
      </c>
      <c r="Q193">
        <v>0</v>
      </c>
      <c r="R193" t="s">
        <v>26</v>
      </c>
      <c r="S193">
        <v>1</v>
      </c>
      <c r="V193" t="s">
        <v>36</v>
      </c>
    </row>
    <row r="194" spans="1:22" x14ac:dyDescent="0.45">
      <c r="A194" t="str">
        <f>"10734497"</f>
        <v>10734497</v>
      </c>
      <c r="B194" t="s">
        <v>22</v>
      </c>
      <c r="C194" s="1">
        <v>44063</v>
      </c>
      <c r="D194">
        <v>350000</v>
      </c>
      <c r="E194" t="s">
        <v>37</v>
      </c>
      <c r="F194">
        <v>1959</v>
      </c>
      <c r="G194">
        <v>319</v>
      </c>
      <c r="H194" t="s">
        <v>149</v>
      </c>
      <c r="I194" t="str">
        <f t="shared" ref="I194:I257" si="3">"25"</f>
        <v>25</v>
      </c>
      <c r="J194">
        <v>60025</v>
      </c>
      <c r="K194">
        <v>1560</v>
      </c>
      <c r="L194">
        <v>8</v>
      </c>
      <c r="M194">
        <v>2</v>
      </c>
      <c r="N194">
        <v>0</v>
      </c>
      <c r="O194" t="s">
        <v>25</v>
      </c>
      <c r="P194">
        <v>4</v>
      </c>
      <c r="Q194">
        <v>0</v>
      </c>
      <c r="R194" t="s">
        <v>35</v>
      </c>
      <c r="S194">
        <v>2</v>
      </c>
      <c r="V194" t="s">
        <v>150</v>
      </c>
    </row>
    <row r="195" spans="1:22" x14ac:dyDescent="0.45">
      <c r="A195" t="str">
        <f>"10331288"</f>
        <v>10331288</v>
      </c>
      <c r="B195" t="s">
        <v>22</v>
      </c>
      <c r="C195" s="1">
        <v>43644</v>
      </c>
      <c r="D195">
        <v>350000</v>
      </c>
      <c r="E195" t="s">
        <v>37</v>
      </c>
      <c r="F195">
        <v>1962</v>
      </c>
      <c r="G195">
        <v>916</v>
      </c>
      <c r="H195" t="s">
        <v>38</v>
      </c>
      <c r="I195" t="str">
        <f t="shared" si="3"/>
        <v>25</v>
      </c>
      <c r="J195">
        <v>60025</v>
      </c>
      <c r="K195">
        <v>1806</v>
      </c>
      <c r="L195">
        <v>10</v>
      </c>
      <c r="M195">
        <v>2</v>
      </c>
      <c r="N195">
        <v>0</v>
      </c>
      <c r="O195" t="s">
        <v>41</v>
      </c>
      <c r="P195">
        <v>3</v>
      </c>
      <c r="Q195">
        <v>0</v>
      </c>
      <c r="T195">
        <v>2</v>
      </c>
      <c r="V195" t="s">
        <v>71</v>
      </c>
    </row>
    <row r="196" spans="1:22" x14ac:dyDescent="0.45">
      <c r="A196" t="str">
        <f>"10395683"</f>
        <v>10395683</v>
      </c>
      <c r="B196" t="s">
        <v>22</v>
      </c>
      <c r="C196" s="1">
        <v>43665</v>
      </c>
      <c r="D196">
        <v>350000</v>
      </c>
      <c r="E196" t="s">
        <v>31</v>
      </c>
      <c r="F196">
        <v>1957</v>
      </c>
      <c r="G196">
        <v>2501</v>
      </c>
      <c r="H196" t="s">
        <v>100</v>
      </c>
      <c r="I196" t="str">
        <f t="shared" si="3"/>
        <v>25</v>
      </c>
      <c r="J196">
        <v>60025</v>
      </c>
      <c r="K196">
        <v>0</v>
      </c>
      <c r="L196">
        <v>7</v>
      </c>
      <c r="M196">
        <v>2</v>
      </c>
      <c r="N196">
        <v>0</v>
      </c>
      <c r="O196" t="s">
        <v>25</v>
      </c>
      <c r="P196">
        <v>3</v>
      </c>
      <c r="Q196">
        <v>0</v>
      </c>
      <c r="R196" t="s">
        <v>26</v>
      </c>
      <c r="S196">
        <v>2</v>
      </c>
      <c r="V196" t="s">
        <v>71</v>
      </c>
    </row>
    <row r="197" spans="1:22" x14ac:dyDescent="0.45">
      <c r="A197" t="str">
        <f>"10353107"</f>
        <v>10353107</v>
      </c>
      <c r="B197" t="s">
        <v>22</v>
      </c>
      <c r="C197" s="1">
        <v>43616</v>
      </c>
      <c r="D197">
        <v>350000</v>
      </c>
      <c r="E197" t="s">
        <v>23</v>
      </c>
      <c r="F197">
        <v>1959</v>
      </c>
      <c r="G197">
        <v>242</v>
      </c>
      <c r="H197" t="s">
        <v>107</v>
      </c>
      <c r="I197" t="str">
        <f t="shared" si="3"/>
        <v>25</v>
      </c>
      <c r="J197">
        <v>60025</v>
      </c>
      <c r="K197">
        <v>1342</v>
      </c>
      <c r="L197">
        <v>6</v>
      </c>
      <c r="M197">
        <v>1</v>
      </c>
      <c r="N197">
        <v>1</v>
      </c>
      <c r="O197" t="s">
        <v>25</v>
      </c>
      <c r="P197">
        <v>3</v>
      </c>
      <c r="Q197">
        <v>0</v>
      </c>
      <c r="R197" t="s">
        <v>35</v>
      </c>
      <c r="S197">
        <v>2</v>
      </c>
      <c r="V197" t="s">
        <v>27</v>
      </c>
    </row>
    <row r="198" spans="1:22" x14ac:dyDescent="0.45">
      <c r="A198" t="str">
        <f>"10355996"</f>
        <v>10355996</v>
      </c>
      <c r="B198" t="s">
        <v>22</v>
      </c>
      <c r="C198" s="1">
        <v>43721</v>
      </c>
      <c r="D198">
        <v>350000</v>
      </c>
      <c r="E198" t="s">
        <v>60</v>
      </c>
      <c r="F198">
        <v>1961</v>
      </c>
      <c r="G198">
        <v>1234</v>
      </c>
      <c r="H198" t="s">
        <v>42</v>
      </c>
      <c r="I198" t="str">
        <f t="shared" si="3"/>
        <v>25</v>
      </c>
      <c r="J198">
        <v>60025</v>
      </c>
      <c r="K198">
        <v>0</v>
      </c>
      <c r="L198">
        <v>9</v>
      </c>
      <c r="M198">
        <v>2</v>
      </c>
      <c r="N198">
        <v>1</v>
      </c>
      <c r="O198" t="s">
        <v>25</v>
      </c>
      <c r="P198">
        <v>4</v>
      </c>
      <c r="Q198">
        <v>0</v>
      </c>
      <c r="R198" t="s">
        <v>26</v>
      </c>
      <c r="S198">
        <v>2</v>
      </c>
      <c r="V198" t="s">
        <v>67</v>
      </c>
    </row>
    <row r="199" spans="1:22" x14ac:dyDescent="0.45">
      <c r="A199" t="str">
        <f>"10559403"</f>
        <v>10559403</v>
      </c>
      <c r="B199" t="s">
        <v>22</v>
      </c>
      <c r="C199" s="1">
        <v>43803</v>
      </c>
      <c r="D199">
        <v>350000</v>
      </c>
      <c r="E199" t="s">
        <v>60</v>
      </c>
      <c r="F199">
        <v>1955</v>
      </c>
      <c r="G199">
        <v>2433</v>
      </c>
      <c r="H199" t="s">
        <v>86</v>
      </c>
      <c r="I199" t="str">
        <f t="shared" si="3"/>
        <v>25</v>
      </c>
      <c r="J199">
        <v>60025</v>
      </c>
      <c r="K199">
        <v>1419</v>
      </c>
      <c r="L199">
        <v>9</v>
      </c>
      <c r="M199">
        <v>2</v>
      </c>
      <c r="N199">
        <v>1</v>
      </c>
      <c r="O199" t="s">
        <v>41</v>
      </c>
      <c r="P199">
        <v>3</v>
      </c>
      <c r="Q199">
        <v>0</v>
      </c>
      <c r="R199" t="s">
        <v>26</v>
      </c>
      <c r="S199">
        <v>1</v>
      </c>
    </row>
    <row r="200" spans="1:22" x14ac:dyDescent="0.45">
      <c r="A200" t="str">
        <f>"10577876"</f>
        <v>10577876</v>
      </c>
      <c r="B200" t="s">
        <v>22</v>
      </c>
      <c r="C200" s="1">
        <v>43910</v>
      </c>
      <c r="D200">
        <v>350000</v>
      </c>
      <c r="E200" t="s">
        <v>23</v>
      </c>
      <c r="F200">
        <v>1955</v>
      </c>
      <c r="G200">
        <v>637</v>
      </c>
      <c r="H200" t="s">
        <v>116</v>
      </c>
      <c r="I200" t="str">
        <f t="shared" si="3"/>
        <v>25</v>
      </c>
      <c r="J200">
        <v>60025</v>
      </c>
      <c r="K200">
        <v>1622</v>
      </c>
      <c r="L200">
        <v>8</v>
      </c>
      <c r="M200">
        <v>2</v>
      </c>
      <c r="N200">
        <v>0</v>
      </c>
      <c r="O200" t="s">
        <v>25</v>
      </c>
      <c r="P200">
        <v>3</v>
      </c>
      <c r="Q200">
        <v>0</v>
      </c>
      <c r="R200" t="s">
        <v>26</v>
      </c>
      <c r="S200">
        <v>1.5</v>
      </c>
      <c r="T200">
        <v>3</v>
      </c>
      <c r="V200" t="s">
        <v>27</v>
      </c>
    </row>
    <row r="201" spans="1:22" x14ac:dyDescent="0.45">
      <c r="A201" t="str">
        <f>"10446336"</f>
        <v>10446336</v>
      </c>
      <c r="B201" t="s">
        <v>22</v>
      </c>
      <c r="C201" s="1">
        <v>43754</v>
      </c>
      <c r="D201">
        <v>350000</v>
      </c>
      <c r="E201" t="s">
        <v>37</v>
      </c>
      <c r="F201">
        <v>1962</v>
      </c>
      <c r="G201">
        <v>901</v>
      </c>
      <c r="H201" t="s">
        <v>38</v>
      </c>
      <c r="I201" t="str">
        <f t="shared" si="3"/>
        <v>25</v>
      </c>
      <c r="J201">
        <v>60025</v>
      </c>
      <c r="K201">
        <v>0</v>
      </c>
      <c r="L201">
        <v>7</v>
      </c>
      <c r="M201">
        <v>2</v>
      </c>
      <c r="N201">
        <v>0</v>
      </c>
      <c r="O201" t="s">
        <v>25</v>
      </c>
      <c r="P201">
        <v>3</v>
      </c>
      <c r="Q201">
        <v>0</v>
      </c>
      <c r="R201" t="s">
        <v>35</v>
      </c>
      <c r="S201">
        <v>2</v>
      </c>
      <c r="V201" t="s">
        <v>71</v>
      </c>
    </row>
    <row r="202" spans="1:22" x14ac:dyDescent="0.45">
      <c r="A202" t="str">
        <f>"10104379"</f>
        <v>10104379</v>
      </c>
      <c r="B202" t="s">
        <v>22</v>
      </c>
      <c r="C202" s="1">
        <v>43574</v>
      </c>
      <c r="D202">
        <v>350000</v>
      </c>
      <c r="E202" t="s">
        <v>60</v>
      </c>
      <c r="F202">
        <v>1970</v>
      </c>
      <c r="G202">
        <v>314</v>
      </c>
      <c r="H202" t="s">
        <v>75</v>
      </c>
      <c r="I202" t="str">
        <f t="shared" si="3"/>
        <v>25</v>
      </c>
      <c r="J202">
        <v>60025</v>
      </c>
      <c r="K202">
        <v>2400</v>
      </c>
      <c r="L202">
        <v>10</v>
      </c>
      <c r="M202">
        <v>2</v>
      </c>
      <c r="N202">
        <v>0</v>
      </c>
      <c r="O202" t="s">
        <v>25</v>
      </c>
      <c r="P202">
        <v>5</v>
      </c>
      <c r="Q202">
        <v>0</v>
      </c>
      <c r="R202" t="s">
        <v>26</v>
      </c>
      <c r="S202">
        <v>1</v>
      </c>
      <c r="V202" t="s">
        <v>71</v>
      </c>
    </row>
    <row r="203" spans="1:22" x14ac:dyDescent="0.45">
      <c r="A203" t="str">
        <f>"10368864"</f>
        <v>10368864</v>
      </c>
      <c r="B203" t="s">
        <v>22</v>
      </c>
      <c r="C203" s="1">
        <v>43661</v>
      </c>
      <c r="D203">
        <v>350000</v>
      </c>
      <c r="E203" t="s">
        <v>23</v>
      </c>
      <c r="F203">
        <v>1960</v>
      </c>
      <c r="G203">
        <v>2632</v>
      </c>
      <c r="H203" t="s">
        <v>129</v>
      </c>
      <c r="I203" t="str">
        <f t="shared" si="3"/>
        <v>25</v>
      </c>
      <c r="J203">
        <v>60025</v>
      </c>
      <c r="K203">
        <v>1600</v>
      </c>
      <c r="L203">
        <v>7</v>
      </c>
      <c r="M203">
        <v>2</v>
      </c>
      <c r="N203">
        <v>0</v>
      </c>
      <c r="O203" t="s">
        <v>41</v>
      </c>
      <c r="P203">
        <v>3</v>
      </c>
      <c r="Q203">
        <v>0</v>
      </c>
      <c r="R203" t="s">
        <v>35</v>
      </c>
      <c r="S203">
        <v>2</v>
      </c>
      <c r="V203" t="s">
        <v>27</v>
      </c>
    </row>
    <row r="204" spans="1:22" x14ac:dyDescent="0.45">
      <c r="A204" t="str">
        <f>"10124919"</f>
        <v>10124919</v>
      </c>
      <c r="B204" t="s">
        <v>22</v>
      </c>
      <c r="C204" s="1">
        <v>43748</v>
      </c>
      <c r="D204">
        <v>350000</v>
      </c>
      <c r="E204" t="s">
        <v>60</v>
      </c>
      <c r="F204">
        <v>1963</v>
      </c>
      <c r="G204">
        <v>21</v>
      </c>
      <c r="H204" t="s">
        <v>48</v>
      </c>
      <c r="I204" t="str">
        <f t="shared" si="3"/>
        <v>25</v>
      </c>
      <c r="J204">
        <v>60029</v>
      </c>
      <c r="K204">
        <v>2720</v>
      </c>
      <c r="L204">
        <v>10</v>
      </c>
      <c r="M204">
        <v>2</v>
      </c>
      <c r="N204">
        <v>1</v>
      </c>
      <c r="O204" t="s">
        <v>25</v>
      </c>
      <c r="P204">
        <v>4</v>
      </c>
      <c r="Q204">
        <v>0</v>
      </c>
      <c r="R204" t="s">
        <v>26</v>
      </c>
      <c r="S204">
        <v>2</v>
      </c>
      <c r="V204" t="s">
        <v>67</v>
      </c>
    </row>
    <row r="205" spans="1:22" x14ac:dyDescent="0.45">
      <c r="A205" t="str">
        <f>"10291283"</f>
        <v>10291283</v>
      </c>
      <c r="B205" t="s">
        <v>22</v>
      </c>
      <c r="C205" s="1">
        <v>43745</v>
      </c>
      <c r="D205">
        <v>350000</v>
      </c>
      <c r="E205" t="s">
        <v>23</v>
      </c>
      <c r="F205">
        <v>1954</v>
      </c>
      <c r="G205">
        <v>747</v>
      </c>
      <c r="H205" t="s">
        <v>151</v>
      </c>
      <c r="I205" t="str">
        <f t="shared" si="3"/>
        <v>25</v>
      </c>
      <c r="J205">
        <v>60025</v>
      </c>
      <c r="K205">
        <v>0</v>
      </c>
      <c r="L205">
        <v>7</v>
      </c>
      <c r="M205">
        <v>1</v>
      </c>
      <c r="N205">
        <v>1</v>
      </c>
      <c r="O205" t="s">
        <v>25</v>
      </c>
      <c r="P205">
        <v>3</v>
      </c>
      <c r="Q205">
        <v>0</v>
      </c>
      <c r="R205" t="s">
        <v>26</v>
      </c>
      <c r="S205">
        <v>2</v>
      </c>
      <c r="V205" t="s">
        <v>27</v>
      </c>
    </row>
    <row r="206" spans="1:22" x14ac:dyDescent="0.45">
      <c r="A206" t="str">
        <f>"10792563"</f>
        <v>10792563</v>
      </c>
      <c r="B206" t="s">
        <v>22</v>
      </c>
      <c r="C206" s="1">
        <v>44140</v>
      </c>
      <c r="D206">
        <v>350500</v>
      </c>
      <c r="E206" t="s">
        <v>37</v>
      </c>
      <c r="F206">
        <v>1962</v>
      </c>
      <c r="G206">
        <v>3236</v>
      </c>
      <c r="H206" t="s">
        <v>147</v>
      </c>
      <c r="I206" t="str">
        <f t="shared" si="3"/>
        <v>25</v>
      </c>
      <c r="J206">
        <v>60025</v>
      </c>
      <c r="K206">
        <v>1220</v>
      </c>
      <c r="L206">
        <v>7</v>
      </c>
      <c r="M206">
        <v>2</v>
      </c>
      <c r="N206">
        <v>0</v>
      </c>
      <c r="O206" t="s">
        <v>41</v>
      </c>
      <c r="P206">
        <v>3</v>
      </c>
      <c r="Q206">
        <v>0</v>
      </c>
      <c r="R206" t="s">
        <v>35</v>
      </c>
      <c r="S206">
        <v>2</v>
      </c>
    </row>
    <row r="207" spans="1:22" x14ac:dyDescent="0.45">
      <c r="A207" t="str">
        <f>"10343760"</f>
        <v>10343760</v>
      </c>
      <c r="B207" t="s">
        <v>22</v>
      </c>
      <c r="C207" s="1">
        <v>43664</v>
      </c>
      <c r="D207">
        <v>351000</v>
      </c>
      <c r="E207" t="s">
        <v>23</v>
      </c>
      <c r="F207">
        <v>1955</v>
      </c>
      <c r="G207">
        <v>2117</v>
      </c>
      <c r="H207" t="s">
        <v>152</v>
      </c>
      <c r="I207" t="str">
        <f t="shared" si="3"/>
        <v>25</v>
      </c>
      <c r="J207">
        <v>60025</v>
      </c>
      <c r="K207">
        <v>1404</v>
      </c>
      <c r="L207">
        <v>8</v>
      </c>
      <c r="M207">
        <v>2</v>
      </c>
      <c r="N207">
        <v>0</v>
      </c>
      <c r="O207" t="s">
        <v>41</v>
      </c>
      <c r="P207">
        <v>3</v>
      </c>
      <c r="Q207">
        <v>0</v>
      </c>
      <c r="R207" t="s">
        <v>35</v>
      </c>
      <c r="S207">
        <v>2</v>
      </c>
      <c r="V207" t="s">
        <v>27</v>
      </c>
    </row>
    <row r="208" spans="1:22" x14ac:dyDescent="0.45">
      <c r="A208" t="str">
        <f>"10338173"</f>
        <v>10338173</v>
      </c>
      <c r="B208" t="s">
        <v>22</v>
      </c>
      <c r="C208" s="1">
        <v>43626</v>
      </c>
      <c r="D208">
        <v>351000</v>
      </c>
      <c r="E208" t="s">
        <v>23</v>
      </c>
      <c r="F208">
        <v>1959</v>
      </c>
      <c r="G208">
        <v>1021</v>
      </c>
      <c r="H208" t="s">
        <v>101</v>
      </c>
      <c r="I208" t="str">
        <f t="shared" si="3"/>
        <v>25</v>
      </c>
      <c r="J208">
        <v>60025</v>
      </c>
      <c r="K208">
        <v>1616</v>
      </c>
      <c r="L208">
        <v>6</v>
      </c>
      <c r="M208">
        <v>2</v>
      </c>
      <c r="N208">
        <v>0</v>
      </c>
      <c r="P208">
        <v>3</v>
      </c>
      <c r="Q208">
        <v>0</v>
      </c>
      <c r="R208" t="s">
        <v>35</v>
      </c>
      <c r="S208">
        <v>2</v>
      </c>
      <c r="V208" t="s">
        <v>27</v>
      </c>
    </row>
    <row r="209" spans="1:22" x14ac:dyDescent="0.45">
      <c r="A209" t="str">
        <f>"10837462"</f>
        <v>10837462</v>
      </c>
      <c r="B209" t="s">
        <v>22</v>
      </c>
      <c r="C209" s="1">
        <v>44152</v>
      </c>
      <c r="D209">
        <v>355000</v>
      </c>
      <c r="E209" t="s">
        <v>23</v>
      </c>
      <c r="F209">
        <v>1956</v>
      </c>
      <c r="G209">
        <v>900</v>
      </c>
      <c r="H209" t="s">
        <v>128</v>
      </c>
      <c r="I209" t="str">
        <f t="shared" si="3"/>
        <v>25</v>
      </c>
      <c r="J209">
        <v>60025</v>
      </c>
      <c r="K209">
        <v>0</v>
      </c>
      <c r="L209">
        <v>9</v>
      </c>
      <c r="M209">
        <v>1</v>
      </c>
      <c r="N209">
        <v>1</v>
      </c>
      <c r="O209" t="s">
        <v>25</v>
      </c>
      <c r="P209">
        <v>3</v>
      </c>
      <c r="Q209">
        <v>0</v>
      </c>
      <c r="R209" t="s">
        <v>26</v>
      </c>
      <c r="S209">
        <v>2</v>
      </c>
      <c r="V209" t="s">
        <v>27</v>
      </c>
    </row>
    <row r="210" spans="1:22" x14ac:dyDescent="0.45">
      <c r="A210" t="str">
        <f>"10308744"</f>
        <v>10308744</v>
      </c>
      <c r="B210" t="s">
        <v>22</v>
      </c>
      <c r="C210" s="1">
        <v>43747</v>
      </c>
      <c r="D210">
        <v>355000</v>
      </c>
      <c r="E210" t="s">
        <v>74</v>
      </c>
      <c r="F210">
        <v>1957</v>
      </c>
      <c r="G210">
        <v>2521</v>
      </c>
      <c r="H210" t="s">
        <v>153</v>
      </c>
      <c r="I210" t="str">
        <f t="shared" si="3"/>
        <v>25</v>
      </c>
      <c r="J210">
        <v>60025</v>
      </c>
      <c r="K210">
        <v>2107</v>
      </c>
      <c r="L210">
        <v>9</v>
      </c>
      <c r="M210">
        <v>2</v>
      </c>
      <c r="N210">
        <v>0</v>
      </c>
      <c r="O210" t="s">
        <v>25</v>
      </c>
      <c r="P210">
        <v>4</v>
      </c>
      <c r="Q210">
        <v>0</v>
      </c>
      <c r="R210" t="s">
        <v>26</v>
      </c>
      <c r="S210">
        <v>2</v>
      </c>
      <c r="U210">
        <v>408</v>
      </c>
      <c r="V210" t="s">
        <v>36</v>
      </c>
    </row>
    <row r="211" spans="1:22" x14ac:dyDescent="0.45">
      <c r="A211" t="str">
        <f>"10656163"</f>
        <v>10656163</v>
      </c>
      <c r="B211" t="s">
        <v>22</v>
      </c>
      <c r="C211" s="1">
        <v>44074</v>
      </c>
      <c r="D211">
        <v>355000</v>
      </c>
      <c r="E211" t="s">
        <v>23</v>
      </c>
      <c r="F211">
        <v>1952</v>
      </c>
      <c r="G211">
        <v>1746</v>
      </c>
      <c r="H211" t="s">
        <v>154</v>
      </c>
      <c r="I211" t="str">
        <f t="shared" si="3"/>
        <v>25</v>
      </c>
      <c r="J211">
        <v>60025</v>
      </c>
      <c r="K211">
        <v>1143</v>
      </c>
      <c r="L211">
        <v>8</v>
      </c>
      <c r="M211">
        <v>1</v>
      </c>
      <c r="N211">
        <v>1</v>
      </c>
      <c r="O211" t="s">
        <v>41</v>
      </c>
      <c r="P211">
        <v>3</v>
      </c>
      <c r="Q211">
        <v>0</v>
      </c>
      <c r="R211" t="s">
        <v>26</v>
      </c>
      <c r="S211">
        <v>1</v>
      </c>
      <c r="V211" t="s">
        <v>27</v>
      </c>
    </row>
    <row r="212" spans="1:22" x14ac:dyDescent="0.45">
      <c r="A212" t="str">
        <f>"10422417"</f>
        <v>10422417</v>
      </c>
      <c r="B212" t="s">
        <v>22</v>
      </c>
      <c r="C212" s="1">
        <v>43803</v>
      </c>
      <c r="D212">
        <v>355000</v>
      </c>
      <c r="E212" t="s">
        <v>37</v>
      </c>
      <c r="F212">
        <v>1959</v>
      </c>
      <c r="G212">
        <v>2540</v>
      </c>
      <c r="H212" t="s">
        <v>93</v>
      </c>
      <c r="I212" t="str">
        <f t="shared" si="3"/>
        <v>25</v>
      </c>
      <c r="J212">
        <v>60025</v>
      </c>
      <c r="K212">
        <v>1375</v>
      </c>
      <c r="L212">
        <v>8</v>
      </c>
      <c r="M212">
        <v>2</v>
      </c>
      <c r="N212">
        <v>0</v>
      </c>
      <c r="O212" t="s">
        <v>41</v>
      </c>
      <c r="P212">
        <v>4</v>
      </c>
      <c r="Q212">
        <v>0</v>
      </c>
      <c r="R212" t="s">
        <v>26</v>
      </c>
      <c r="S212">
        <v>2</v>
      </c>
    </row>
    <row r="213" spans="1:22" x14ac:dyDescent="0.45">
      <c r="A213" t="str">
        <f>"10626728"</f>
        <v>10626728</v>
      </c>
      <c r="B213" t="s">
        <v>22</v>
      </c>
      <c r="C213" s="1">
        <v>44063</v>
      </c>
      <c r="D213">
        <v>358000</v>
      </c>
      <c r="E213" t="s">
        <v>23</v>
      </c>
      <c r="F213">
        <v>1960</v>
      </c>
      <c r="G213">
        <v>4625</v>
      </c>
      <c r="H213" t="s">
        <v>53</v>
      </c>
      <c r="I213" t="str">
        <f t="shared" si="3"/>
        <v>25</v>
      </c>
      <c r="J213">
        <v>60025</v>
      </c>
      <c r="K213">
        <v>0</v>
      </c>
      <c r="L213">
        <v>7</v>
      </c>
      <c r="M213">
        <v>2</v>
      </c>
      <c r="N213">
        <v>0</v>
      </c>
      <c r="O213" t="s">
        <v>25</v>
      </c>
      <c r="P213">
        <v>3</v>
      </c>
      <c r="Q213">
        <v>0</v>
      </c>
      <c r="R213" t="s">
        <v>35</v>
      </c>
      <c r="S213">
        <v>2</v>
      </c>
      <c r="V213" t="s">
        <v>27</v>
      </c>
    </row>
    <row r="214" spans="1:22" x14ac:dyDescent="0.45">
      <c r="A214" t="str">
        <f>"10282185"</f>
        <v>10282185</v>
      </c>
      <c r="B214" t="s">
        <v>22</v>
      </c>
      <c r="C214" s="1">
        <v>43579</v>
      </c>
      <c r="D214">
        <v>358000</v>
      </c>
      <c r="E214" t="s">
        <v>37</v>
      </c>
      <c r="F214">
        <v>1969</v>
      </c>
      <c r="G214">
        <v>3134</v>
      </c>
      <c r="H214" t="s">
        <v>155</v>
      </c>
      <c r="I214" t="str">
        <f t="shared" si="3"/>
        <v>25</v>
      </c>
      <c r="J214">
        <v>60026</v>
      </c>
      <c r="K214">
        <v>1500</v>
      </c>
      <c r="L214">
        <v>8</v>
      </c>
      <c r="M214">
        <v>2</v>
      </c>
      <c r="N214">
        <v>1</v>
      </c>
      <c r="O214" t="s">
        <v>41</v>
      </c>
      <c r="P214">
        <v>4</v>
      </c>
      <c r="Q214">
        <v>0</v>
      </c>
      <c r="R214" t="s">
        <v>26</v>
      </c>
      <c r="S214">
        <v>2</v>
      </c>
      <c r="V214" t="s">
        <v>71</v>
      </c>
    </row>
    <row r="215" spans="1:22" x14ac:dyDescent="0.45">
      <c r="A215" t="str">
        <f>"10439035"</f>
        <v>10439035</v>
      </c>
      <c r="B215" t="s">
        <v>22</v>
      </c>
      <c r="C215" s="1">
        <v>43717</v>
      </c>
      <c r="D215">
        <v>360000</v>
      </c>
      <c r="E215" t="s">
        <v>37</v>
      </c>
      <c r="F215">
        <v>1975</v>
      </c>
      <c r="G215">
        <v>3928</v>
      </c>
      <c r="H215" t="s">
        <v>156</v>
      </c>
      <c r="I215" t="str">
        <f t="shared" si="3"/>
        <v>25</v>
      </c>
      <c r="J215">
        <v>60026</v>
      </c>
      <c r="K215">
        <v>1879</v>
      </c>
      <c r="L215">
        <v>9</v>
      </c>
      <c r="M215">
        <v>2</v>
      </c>
      <c r="N215">
        <v>1</v>
      </c>
      <c r="P215">
        <v>4</v>
      </c>
      <c r="Q215">
        <v>0</v>
      </c>
      <c r="R215" t="s">
        <v>26</v>
      </c>
      <c r="S215">
        <v>2</v>
      </c>
      <c r="V215" t="s">
        <v>36</v>
      </c>
    </row>
    <row r="216" spans="1:22" x14ac:dyDescent="0.45">
      <c r="A216" t="str">
        <f>"10337730"</f>
        <v>10337730</v>
      </c>
      <c r="B216" t="s">
        <v>22</v>
      </c>
      <c r="C216" s="1">
        <v>43633</v>
      </c>
      <c r="D216">
        <v>360000</v>
      </c>
      <c r="E216" t="s">
        <v>60</v>
      </c>
      <c r="F216">
        <v>1948</v>
      </c>
      <c r="G216">
        <v>1942</v>
      </c>
      <c r="H216" t="s">
        <v>83</v>
      </c>
      <c r="I216" t="str">
        <f t="shared" si="3"/>
        <v>25</v>
      </c>
      <c r="J216">
        <v>60025</v>
      </c>
      <c r="K216">
        <v>0</v>
      </c>
      <c r="L216">
        <v>8</v>
      </c>
      <c r="M216">
        <v>1</v>
      </c>
      <c r="N216">
        <v>1</v>
      </c>
      <c r="O216" t="s">
        <v>25</v>
      </c>
      <c r="P216">
        <v>3</v>
      </c>
      <c r="Q216">
        <v>0</v>
      </c>
      <c r="R216" t="s">
        <v>26</v>
      </c>
      <c r="S216">
        <v>1</v>
      </c>
      <c r="V216" t="s">
        <v>33</v>
      </c>
    </row>
    <row r="217" spans="1:22" x14ac:dyDescent="0.45">
      <c r="A217" t="str">
        <f>"10652077"</f>
        <v>10652077</v>
      </c>
      <c r="B217" t="s">
        <v>22</v>
      </c>
      <c r="C217" s="1">
        <v>43958</v>
      </c>
      <c r="D217">
        <v>360000</v>
      </c>
      <c r="E217" t="s">
        <v>37</v>
      </c>
      <c r="F217">
        <v>1958</v>
      </c>
      <c r="G217">
        <v>418</v>
      </c>
      <c r="H217" t="s">
        <v>157</v>
      </c>
      <c r="I217" t="str">
        <f t="shared" si="3"/>
        <v>25</v>
      </c>
      <c r="J217">
        <v>60025</v>
      </c>
      <c r="K217">
        <v>0</v>
      </c>
      <c r="L217">
        <v>7</v>
      </c>
      <c r="M217">
        <v>2</v>
      </c>
      <c r="N217">
        <v>1</v>
      </c>
      <c r="O217" t="s">
        <v>25</v>
      </c>
      <c r="P217">
        <v>3</v>
      </c>
      <c r="Q217">
        <v>0</v>
      </c>
      <c r="R217" t="s">
        <v>35</v>
      </c>
      <c r="S217">
        <v>2.5</v>
      </c>
    </row>
    <row r="218" spans="1:22" x14ac:dyDescent="0.45">
      <c r="A218" t="str">
        <f>"10804016"</f>
        <v>10804016</v>
      </c>
      <c r="B218" t="s">
        <v>22</v>
      </c>
      <c r="C218" s="1">
        <v>44113</v>
      </c>
      <c r="D218">
        <v>360000</v>
      </c>
      <c r="E218" t="s">
        <v>23</v>
      </c>
      <c r="F218">
        <v>1954</v>
      </c>
      <c r="G218">
        <v>800</v>
      </c>
      <c r="H218" t="s">
        <v>158</v>
      </c>
      <c r="I218" t="str">
        <f t="shared" si="3"/>
        <v>25</v>
      </c>
      <c r="J218">
        <v>60025</v>
      </c>
      <c r="K218">
        <v>1170</v>
      </c>
      <c r="L218">
        <v>6</v>
      </c>
      <c r="M218">
        <v>1</v>
      </c>
      <c r="N218">
        <v>0</v>
      </c>
      <c r="O218" t="s">
        <v>25</v>
      </c>
      <c r="P218">
        <v>3</v>
      </c>
      <c r="Q218">
        <v>0</v>
      </c>
      <c r="R218" t="s">
        <v>26</v>
      </c>
      <c r="S218">
        <v>2</v>
      </c>
      <c r="V218" t="s">
        <v>27</v>
      </c>
    </row>
    <row r="219" spans="1:22" x14ac:dyDescent="0.45">
      <c r="A219" t="str">
        <f>"10460392"</f>
        <v>10460392</v>
      </c>
      <c r="B219" t="s">
        <v>22</v>
      </c>
      <c r="C219" s="1">
        <v>43753</v>
      </c>
      <c r="D219">
        <v>360000</v>
      </c>
      <c r="E219" t="s">
        <v>60</v>
      </c>
      <c r="F219">
        <v>1955</v>
      </c>
      <c r="G219">
        <v>540</v>
      </c>
      <c r="H219" t="s">
        <v>159</v>
      </c>
      <c r="I219" t="str">
        <f t="shared" si="3"/>
        <v>25</v>
      </c>
      <c r="J219">
        <v>60025</v>
      </c>
      <c r="K219">
        <v>0</v>
      </c>
      <c r="L219">
        <v>8</v>
      </c>
      <c r="M219">
        <v>3</v>
      </c>
      <c r="N219">
        <v>1</v>
      </c>
      <c r="O219" t="s">
        <v>25</v>
      </c>
      <c r="P219">
        <v>4</v>
      </c>
      <c r="Q219">
        <v>0</v>
      </c>
      <c r="R219" t="s">
        <v>26</v>
      </c>
      <c r="S219">
        <v>1</v>
      </c>
    </row>
    <row r="220" spans="1:22" x14ac:dyDescent="0.45">
      <c r="A220" t="str">
        <f>"10335950"</f>
        <v>10335950</v>
      </c>
      <c r="B220" t="s">
        <v>22</v>
      </c>
      <c r="C220" s="1">
        <v>43679</v>
      </c>
      <c r="D220">
        <v>360000</v>
      </c>
      <c r="E220" t="s">
        <v>23</v>
      </c>
      <c r="F220">
        <v>1960</v>
      </c>
      <c r="G220">
        <v>15</v>
      </c>
      <c r="H220" t="s">
        <v>69</v>
      </c>
      <c r="I220" t="str">
        <f t="shared" si="3"/>
        <v>25</v>
      </c>
      <c r="J220">
        <v>60025</v>
      </c>
      <c r="K220">
        <v>1232</v>
      </c>
      <c r="L220">
        <v>7</v>
      </c>
      <c r="M220">
        <v>2</v>
      </c>
      <c r="N220">
        <v>1</v>
      </c>
      <c r="O220" t="s">
        <v>41</v>
      </c>
      <c r="P220">
        <v>3</v>
      </c>
      <c r="Q220">
        <v>0</v>
      </c>
      <c r="R220" t="s">
        <v>35</v>
      </c>
      <c r="S220">
        <v>2</v>
      </c>
      <c r="U220">
        <v>1200</v>
      </c>
      <c r="V220" t="s">
        <v>27</v>
      </c>
    </row>
    <row r="221" spans="1:22" x14ac:dyDescent="0.45">
      <c r="A221" t="str">
        <f>"10676100"</f>
        <v>10676100</v>
      </c>
      <c r="B221" t="s">
        <v>22</v>
      </c>
      <c r="C221" s="1">
        <v>44036</v>
      </c>
      <c r="D221">
        <v>360000</v>
      </c>
      <c r="E221" t="s">
        <v>64</v>
      </c>
      <c r="F221">
        <v>1952</v>
      </c>
      <c r="G221">
        <v>341</v>
      </c>
      <c r="H221" t="s">
        <v>160</v>
      </c>
      <c r="I221" t="str">
        <f t="shared" si="3"/>
        <v>25</v>
      </c>
      <c r="J221">
        <v>60025</v>
      </c>
      <c r="K221">
        <v>0</v>
      </c>
      <c r="L221">
        <v>9</v>
      </c>
      <c r="M221">
        <v>3</v>
      </c>
      <c r="N221">
        <v>0</v>
      </c>
      <c r="O221" t="s">
        <v>25</v>
      </c>
      <c r="P221">
        <v>5</v>
      </c>
      <c r="Q221">
        <v>0</v>
      </c>
      <c r="R221" t="s">
        <v>35</v>
      </c>
      <c r="S221">
        <v>2</v>
      </c>
    </row>
    <row r="222" spans="1:22" x14ac:dyDescent="0.45">
      <c r="A222" t="str">
        <f>"10418098"</f>
        <v>10418098</v>
      </c>
      <c r="B222" t="s">
        <v>22</v>
      </c>
      <c r="C222" s="1">
        <v>43913</v>
      </c>
      <c r="D222">
        <v>360000</v>
      </c>
      <c r="E222" t="s">
        <v>37</v>
      </c>
      <c r="F222">
        <v>1962</v>
      </c>
      <c r="G222">
        <v>2708</v>
      </c>
      <c r="H222" t="s">
        <v>34</v>
      </c>
      <c r="I222" t="str">
        <f t="shared" si="3"/>
        <v>25</v>
      </c>
      <c r="J222">
        <v>60025</v>
      </c>
      <c r="K222">
        <v>1314</v>
      </c>
      <c r="L222">
        <v>7</v>
      </c>
      <c r="M222">
        <v>2</v>
      </c>
      <c r="N222">
        <v>0</v>
      </c>
      <c r="O222" t="s">
        <v>41</v>
      </c>
      <c r="P222">
        <v>3</v>
      </c>
      <c r="Q222">
        <v>0</v>
      </c>
      <c r="R222" t="s">
        <v>35</v>
      </c>
      <c r="S222">
        <v>2</v>
      </c>
      <c r="V222" t="s">
        <v>36</v>
      </c>
    </row>
    <row r="223" spans="1:22" x14ac:dyDescent="0.45">
      <c r="A223" t="str">
        <f>"10151555"</f>
        <v>10151555</v>
      </c>
      <c r="B223" t="s">
        <v>22</v>
      </c>
      <c r="C223" s="1">
        <v>43553</v>
      </c>
      <c r="D223">
        <v>360000</v>
      </c>
      <c r="E223" t="s">
        <v>31</v>
      </c>
      <c r="F223">
        <v>1965</v>
      </c>
      <c r="G223">
        <v>1321</v>
      </c>
      <c r="H223" t="s">
        <v>161</v>
      </c>
      <c r="I223" t="str">
        <f t="shared" si="3"/>
        <v>25</v>
      </c>
      <c r="J223">
        <v>60025</v>
      </c>
      <c r="K223">
        <v>1360</v>
      </c>
      <c r="L223">
        <v>7</v>
      </c>
      <c r="M223">
        <v>2</v>
      </c>
      <c r="N223">
        <v>0</v>
      </c>
      <c r="O223" t="s">
        <v>25</v>
      </c>
      <c r="P223">
        <v>4</v>
      </c>
      <c r="Q223">
        <v>0</v>
      </c>
      <c r="R223" t="s">
        <v>26</v>
      </c>
      <c r="S223">
        <v>2</v>
      </c>
      <c r="V223" t="s">
        <v>71</v>
      </c>
    </row>
    <row r="224" spans="1:22" x14ac:dyDescent="0.45">
      <c r="A224" t="str">
        <f>"10836169"</f>
        <v>10836169</v>
      </c>
      <c r="B224" t="s">
        <v>22</v>
      </c>
      <c r="C224" s="1">
        <v>44160</v>
      </c>
      <c r="D224">
        <v>362000</v>
      </c>
      <c r="E224" t="s">
        <v>31</v>
      </c>
      <c r="F224">
        <v>1957</v>
      </c>
      <c r="G224">
        <v>225</v>
      </c>
      <c r="H224" t="s">
        <v>162</v>
      </c>
      <c r="I224" t="str">
        <f t="shared" si="3"/>
        <v>25</v>
      </c>
      <c r="J224">
        <v>60025</v>
      </c>
      <c r="K224">
        <v>1251</v>
      </c>
      <c r="L224">
        <v>8</v>
      </c>
      <c r="M224">
        <v>2</v>
      </c>
      <c r="N224">
        <v>0</v>
      </c>
      <c r="O224" t="s">
        <v>41</v>
      </c>
      <c r="P224">
        <v>3</v>
      </c>
      <c r="Q224">
        <v>1</v>
      </c>
      <c r="R224" t="s">
        <v>26</v>
      </c>
      <c r="S224">
        <v>2</v>
      </c>
      <c r="V224" t="s">
        <v>36</v>
      </c>
    </row>
    <row r="225" spans="1:22" x14ac:dyDescent="0.45">
      <c r="A225" t="str">
        <f>"10892856"</f>
        <v>10892856</v>
      </c>
      <c r="B225" t="s">
        <v>22</v>
      </c>
      <c r="C225" s="1">
        <v>44180</v>
      </c>
      <c r="D225">
        <v>362500</v>
      </c>
      <c r="E225" t="s">
        <v>23</v>
      </c>
      <c r="F225">
        <v>1976</v>
      </c>
      <c r="G225">
        <v>1460</v>
      </c>
      <c r="H225" t="s">
        <v>112</v>
      </c>
      <c r="I225" t="str">
        <f t="shared" si="3"/>
        <v>25</v>
      </c>
      <c r="J225">
        <v>60025</v>
      </c>
      <c r="K225">
        <v>1400</v>
      </c>
      <c r="L225">
        <v>6</v>
      </c>
      <c r="M225">
        <v>2</v>
      </c>
      <c r="N225">
        <v>0</v>
      </c>
      <c r="O225" t="s">
        <v>25</v>
      </c>
      <c r="P225">
        <v>2</v>
      </c>
      <c r="Q225">
        <v>0</v>
      </c>
      <c r="R225" t="s">
        <v>26</v>
      </c>
      <c r="S225">
        <v>2</v>
      </c>
      <c r="T225">
        <v>4</v>
      </c>
      <c r="V225" t="s">
        <v>27</v>
      </c>
    </row>
    <row r="226" spans="1:22" x14ac:dyDescent="0.45">
      <c r="A226" t="str">
        <f>"10601697"</f>
        <v>10601697</v>
      </c>
      <c r="B226" t="s">
        <v>22</v>
      </c>
      <c r="C226" s="1">
        <v>43902</v>
      </c>
      <c r="D226">
        <v>363000</v>
      </c>
      <c r="E226" t="s">
        <v>23</v>
      </c>
      <c r="F226">
        <v>1950</v>
      </c>
      <c r="G226">
        <v>1952</v>
      </c>
      <c r="H226" t="s">
        <v>76</v>
      </c>
      <c r="I226" t="str">
        <f t="shared" si="3"/>
        <v>25</v>
      </c>
      <c r="J226">
        <v>60025</v>
      </c>
      <c r="K226">
        <v>0</v>
      </c>
      <c r="L226">
        <v>8</v>
      </c>
      <c r="M226">
        <v>3</v>
      </c>
      <c r="N226">
        <v>0</v>
      </c>
      <c r="O226" t="s">
        <v>41</v>
      </c>
      <c r="P226">
        <v>3</v>
      </c>
      <c r="Q226">
        <v>0</v>
      </c>
      <c r="R226" t="s">
        <v>35</v>
      </c>
      <c r="S226">
        <v>2</v>
      </c>
      <c r="V226" t="s">
        <v>27</v>
      </c>
    </row>
    <row r="227" spans="1:22" x14ac:dyDescent="0.45">
      <c r="A227" t="str">
        <f>"10746469"</f>
        <v>10746469</v>
      </c>
      <c r="B227" t="s">
        <v>22</v>
      </c>
      <c r="C227" s="1">
        <v>44022</v>
      </c>
      <c r="D227">
        <v>365000</v>
      </c>
      <c r="E227" t="s">
        <v>74</v>
      </c>
      <c r="F227">
        <v>1966</v>
      </c>
      <c r="G227">
        <v>1320</v>
      </c>
      <c r="H227" t="s">
        <v>163</v>
      </c>
      <c r="I227" t="str">
        <f t="shared" si="3"/>
        <v>25</v>
      </c>
      <c r="J227">
        <v>60025</v>
      </c>
      <c r="K227">
        <v>1360</v>
      </c>
      <c r="L227">
        <v>7</v>
      </c>
      <c r="M227">
        <v>2</v>
      </c>
      <c r="N227">
        <v>0</v>
      </c>
      <c r="O227" t="s">
        <v>25</v>
      </c>
      <c r="P227">
        <v>3</v>
      </c>
      <c r="Q227">
        <v>0</v>
      </c>
      <c r="R227" t="s">
        <v>26</v>
      </c>
      <c r="S227">
        <v>2</v>
      </c>
    </row>
    <row r="228" spans="1:22" x14ac:dyDescent="0.45">
      <c r="A228" t="str">
        <f>"10386000"</f>
        <v>10386000</v>
      </c>
      <c r="B228" t="s">
        <v>22</v>
      </c>
      <c r="C228" s="1">
        <v>43664</v>
      </c>
      <c r="D228">
        <v>365000</v>
      </c>
      <c r="E228" t="s">
        <v>37</v>
      </c>
      <c r="F228">
        <v>1959</v>
      </c>
      <c r="G228">
        <v>410</v>
      </c>
      <c r="H228" t="s">
        <v>164</v>
      </c>
      <c r="I228" t="str">
        <f t="shared" si="3"/>
        <v>25</v>
      </c>
      <c r="J228">
        <v>60025</v>
      </c>
      <c r="K228">
        <v>1422</v>
      </c>
      <c r="L228">
        <v>7</v>
      </c>
      <c r="M228">
        <v>2</v>
      </c>
      <c r="N228">
        <v>1</v>
      </c>
      <c r="O228" t="s">
        <v>25</v>
      </c>
      <c r="P228">
        <v>3</v>
      </c>
      <c r="Q228">
        <v>0</v>
      </c>
      <c r="R228" t="s">
        <v>35</v>
      </c>
      <c r="S228">
        <v>2</v>
      </c>
    </row>
    <row r="229" spans="1:22" x14ac:dyDescent="0.45">
      <c r="A229" t="str">
        <f>"10803197"</f>
        <v>10803197</v>
      </c>
      <c r="B229" t="s">
        <v>22</v>
      </c>
      <c r="C229" s="1">
        <v>44095</v>
      </c>
      <c r="D229">
        <v>365000</v>
      </c>
      <c r="E229" t="s">
        <v>60</v>
      </c>
      <c r="F229">
        <v>1939</v>
      </c>
      <c r="G229">
        <v>730</v>
      </c>
      <c r="H229" t="s">
        <v>116</v>
      </c>
      <c r="I229" t="str">
        <f t="shared" si="3"/>
        <v>25</v>
      </c>
      <c r="J229">
        <v>60025</v>
      </c>
      <c r="K229">
        <v>1189</v>
      </c>
      <c r="L229">
        <v>7</v>
      </c>
      <c r="M229">
        <v>1</v>
      </c>
      <c r="N229">
        <v>1</v>
      </c>
      <c r="O229" t="s">
        <v>41</v>
      </c>
      <c r="P229">
        <v>3</v>
      </c>
      <c r="Q229">
        <v>0</v>
      </c>
      <c r="R229" t="s">
        <v>35</v>
      </c>
      <c r="S229">
        <v>2.5</v>
      </c>
      <c r="V229" t="s">
        <v>47</v>
      </c>
    </row>
    <row r="230" spans="1:22" x14ac:dyDescent="0.45">
      <c r="A230" t="str">
        <f>"10633053"</f>
        <v>10633053</v>
      </c>
      <c r="B230" t="s">
        <v>22</v>
      </c>
      <c r="C230" s="1">
        <v>43902</v>
      </c>
      <c r="D230">
        <v>365000</v>
      </c>
      <c r="E230" t="s">
        <v>23</v>
      </c>
      <c r="F230">
        <v>1946</v>
      </c>
      <c r="G230">
        <v>745</v>
      </c>
      <c r="H230" t="s">
        <v>68</v>
      </c>
      <c r="I230" t="str">
        <f t="shared" si="3"/>
        <v>25</v>
      </c>
      <c r="J230">
        <v>60025</v>
      </c>
      <c r="K230">
        <v>1578</v>
      </c>
      <c r="L230">
        <v>7</v>
      </c>
      <c r="M230">
        <v>1</v>
      </c>
      <c r="N230">
        <v>1</v>
      </c>
      <c r="P230">
        <v>3</v>
      </c>
      <c r="Q230">
        <v>0</v>
      </c>
      <c r="R230" t="s">
        <v>26</v>
      </c>
      <c r="S230">
        <v>1</v>
      </c>
      <c r="V230" t="s">
        <v>27</v>
      </c>
    </row>
    <row r="231" spans="1:22" x14ac:dyDescent="0.45">
      <c r="A231" t="str">
        <f>"10015487"</f>
        <v>10015487</v>
      </c>
      <c r="B231" t="s">
        <v>22</v>
      </c>
      <c r="C231" s="1">
        <v>43479</v>
      </c>
      <c r="D231">
        <v>365000</v>
      </c>
      <c r="E231" t="s">
        <v>37</v>
      </c>
      <c r="F231">
        <v>1969</v>
      </c>
      <c r="G231">
        <v>2214</v>
      </c>
      <c r="H231" t="s">
        <v>30</v>
      </c>
      <c r="I231" t="str">
        <f t="shared" si="3"/>
        <v>25</v>
      </c>
      <c r="J231">
        <v>60026</v>
      </c>
      <c r="K231">
        <v>1424</v>
      </c>
      <c r="L231">
        <v>7</v>
      </c>
      <c r="M231">
        <v>2</v>
      </c>
      <c r="N231">
        <v>1</v>
      </c>
      <c r="O231" t="s">
        <v>25</v>
      </c>
      <c r="P231">
        <v>3</v>
      </c>
      <c r="Q231">
        <v>0</v>
      </c>
      <c r="R231" t="s">
        <v>26</v>
      </c>
      <c r="S231">
        <v>2</v>
      </c>
    </row>
    <row r="232" spans="1:22" x14ac:dyDescent="0.45">
      <c r="A232" t="str">
        <f>"10092498"</f>
        <v>10092498</v>
      </c>
      <c r="B232" t="s">
        <v>22</v>
      </c>
      <c r="C232" s="1">
        <v>43493</v>
      </c>
      <c r="D232">
        <v>365000</v>
      </c>
      <c r="E232" t="s">
        <v>23</v>
      </c>
      <c r="F232">
        <v>1960</v>
      </c>
      <c r="G232">
        <v>46</v>
      </c>
      <c r="H232" t="s">
        <v>102</v>
      </c>
      <c r="I232" t="str">
        <f t="shared" si="3"/>
        <v>25</v>
      </c>
      <c r="J232">
        <v>60025</v>
      </c>
      <c r="K232">
        <v>1602</v>
      </c>
      <c r="L232">
        <v>9</v>
      </c>
      <c r="M232">
        <v>2</v>
      </c>
      <c r="N232">
        <v>0</v>
      </c>
      <c r="O232" t="s">
        <v>25</v>
      </c>
      <c r="P232">
        <v>4</v>
      </c>
      <c r="Q232">
        <v>0</v>
      </c>
      <c r="R232" t="s">
        <v>35</v>
      </c>
      <c r="S232">
        <v>2</v>
      </c>
      <c r="V232" t="s">
        <v>27</v>
      </c>
    </row>
    <row r="233" spans="1:22" x14ac:dyDescent="0.45">
      <c r="A233" t="str">
        <f>"10373793"</f>
        <v>10373793</v>
      </c>
      <c r="B233" t="s">
        <v>22</v>
      </c>
      <c r="C233" s="1">
        <v>43668</v>
      </c>
      <c r="D233">
        <v>369000</v>
      </c>
      <c r="E233" t="s">
        <v>31</v>
      </c>
      <c r="F233">
        <v>1960</v>
      </c>
      <c r="G233">
        <v>102</v>
      </c>
      <c r="H233" t="s">
        <v>65</v>
      </c>
      <c r="I233" t="str">
        <f t="shared" si="3"/>
        <v>25</v>
      </c>
      <c r="J233">
        <v>60025</v>
      </c>
      <c r="K233">
        <v>0</v>
      </c>
      <c r="L233">
        <v>9</v>
      </c>
      <c r="M233">
        <v>3</v>
      </c>
      <c r="N233">
        <v>0</v>
      </c>
      <c r="O233" t="s">
        <v>25</v>
      </c>
      <c r="P233">
        <v>4</v>
      </c>
      <c r="Q233">
        <v>0</v>
      </c>
      <c r="R233" t="s">
        <v>35</v>
      </c>
      <c r="S233">
        <v>2</v>
      </c>
      <c r="V233" t="s">
        <v>71</v>
      </c>
    </row>
    <row r="234" spans="1:22" x14ac:dyDescent="0.45">
      <c r="A234" t="str">
        <f>"10565378"</f>
        <v>10565378</v>
      </c>
      <c r="B234" t="s">
        <v>22</v>
      </c>
      <c r="C234" s="1">
        <v>43899</v>
      </c>
      <c r="D234">
        <v>369500</v>
      </c>
      <c r="E234" t="s">
        <v>37</v>
      </c>
      <c r="F234">
        <v>1968</v>
      </c>
      <c r="G234">
        <v>3243</v>
      </c>
      <c r="H234" t="s">
        <v>165</v>
      </c>
      <c r="I234" t="str">
        <f t="shared" si="3"/>
        <v>25</v>
      </c>
      <c r="J234">
        <v>60025</v>
      </c>
      <c r="K234">
        <v>0</v>
      </c>
      <c r="L234">
        <v>8</v>
      </c>
      <c r="M234">
        <v>2</v>
      </c>
      <c r="N234">
        <v>1</v>
      </c>
      <c r="O234" t="s">
        <v>25</v>
      </c>
      <c r="P234">
        <v>4</v>
      </c>
      <c r="Q234">
        <v>0</v>
      </c>
      <c r="R234" t="s">
        <v>35</v>
      </c>
      <c r="S234">
        <v>2</v>
      </c>
      <c r="V234" t="s">
        <v>71</v>
      </c>
    </row>
    <row r="235" spans="1:22" x14ac:dyDescent="0.45">
      <c r="A235" t="str">
        <f>"10125548"</f>
        <v>10125548</v>
      </c>
      <c r="B235" t="s">
        <v>22</v>
      </c>
      <c r="C235" s="1">
        <v>43529</v>
      </c>
      <c r="D235">
        <v>370000</v>
      </c>
      <c r="E235" t="s">
        <v>37</v>
      </c>
      <c r="F235">
        <v>1960</v>
      </c>
      <c r="G235">
        <v>320</v>
      </c>
      <c r="H235" t="s">
        <v>166</v>
      </c>
      <c r="I235" t="str">
        <f t="shared" si="3"/>
        <v>25</v>
      </c>
      <c r="J235">
        <v>60025</v>
      </c>
      <c r="K235">
        <v>1587</v>
      </c>
      <c r="L235">
        <v>8</v>
      </c>
      <c r="M235">
        <v>2</v>
      </c>
      <c r="N235">
        <v>0</v>
      </c>
      <c r="O235" t="s">
        <v>25</v>
      </c>
      <c r="P235">
        <v>4</v>
      </c>
      <c r="Q235">
        <v>0</v>
      </c>
      <c r="R235" t="s">
        <v>35</v>
      </c>
      <c r="S235">
        <v>2</v>
      </c>
    </row>
    <row r="236" spans="1:22" x14ac:dyDescent="0.45">
      <c r="A236" t="str">
        <f>"10722421"</f>
        <v>10722421</v>
      </c>
      <c r="B236" t="s">
        <v>22</v>
      </c>
      <c r="C236" s="1">
        <v>44021</v>
      </c>
      <c r="D236">
        <v>370000</v>
      </c>
      <c r="E236" t="s">
        <v>23</v>
      </c>
      <c r="F236">
        <v>1952</v>
      </c>
      <c r="G236">
        <v>2242</v>
      </c>
      <c r="H236" t="s">
        <v>91</v>
      </c>
      <c r="I236" t="str">
        <f t="shared" si="3"/>
        <v>25</v>
      </c>
      <c r="J236">
        <v>60025</v>
      </c>
      <c r="K236">
        <v>1650</v>
      </c>
      <c r="L236">
        <v>8</v>
      </c>
      <c r="M236">
        <v>2</v>
      </c>
      <c r="N236">
        <v>0</v>
      </c>
      <c r="O236" t="s">
        <v>25</v>
      </c>
      <c r="P236">
        <v>3</v>
      </c>
      <c r="Q236">
        <v>1</v>
      </c>
      <c r="R236" t="s">
        <v>35</v>
      </c>
      <c r="S236">
        <v>1.5</v>
      </c>
      <c r="V236" t="s">
        <v>27</v>
      </c>
    </row>
    <row r="237" spans="1:22" x14ac:dyDescent="0.45">
      <c r="A237" t="str">
        <f>"10418281"</f>
        <v>10418281</v>
      </c>
      <c r="B237" t="s">
        <v>22</v>
      </c>
      <c r="C237" s="1">
        <v>43720</v>
      </c>
      <c r="D237">
        <v>370000</v>
      </c>
      <c r="E237" t="s">
        <v>23</v>
      </c>
      <c r="F237">
        <v>1927</v>
      </c>
      <c r="G237">
        <v>1921</v>
      </c>
      <c r="H237" t="s">
        <v>66</v>
      </c>
      <c r="I237" t="str">
        <f t="shared" si="3"/>
        <v>25</v>
      </c>
      <c r="J237">
        <v>60025</v>
      </c>
      <c r="K237">
        <v>1020</v>
      </c>
      <c r="L237">
        <v>5</v>
      </c>
      <c r="M237">
        <v>1</v>
      </c>
      <c r="N237">
        <v>0</v>
      </c>
      <c r="O237" t="s">
        <v>25</v>
      </c>
      <c r="P237">
        <v>2</v>
      </c>
      <c r="Q237">
        <v>0</v>
      </c>
      <c r="R237" t="s">
        <v>35</v>
      </c>
      <c r="S237">
        <v>2</v>
      </c>
      <c r="V237" t="s">
        <v>47</v>
      </c>
    </row>
    <row r="238" spans="1:22" x14ac:dyDescent="0.45">
      <c r="A238" t="str">
        <f>"10745907"</f>
        <v>10745907</v>
      </c>
      <c r="B238" t="s">
        <v>22</v>
      </c>
      <c r="C238" s="1">
        <v>44048</v>
      </c>
      <c r="D238">
        <v>370000</v>
      </c>
      <c r="E238" t="s">
        <v>74</v>
      </c>
      <c r="F238">
        <v>1961</v>
      </c>
      <c r="G238">
        <v>2903</v>
      </c>
      <c r="H238" t="s">
        <v>90</v>
      </c>
      <c r="I238" t="str">
        <f t="shared" si="3"/>
        <v>25</v>
      </c>
      <c r="J238">
        <v>60025</v>
      </c>
      <c r="K238">
        <v>2200</v>
      </c>
      <c r="L238">
        <v>7</v>
      </c>
      <c r="M238">
        <v>2</v>
      </c>
      <c r="N238">
        <v>1</v>
      </c>
      <c r="O238" t="s">
        <v>25</v>
      </c>
      <c r="P238">
        <v>3</v>
      </c>
      <c r="Q238">
        <v>0</v>
      </c>
      <c r="R238" t="s">
        <v>26</v>
      </c>
      <c r="S238">
        <v>1</v>
      </c>
      <c r="V238" t="s">
        <v>71</v>
      </c>
    </row>
    <row r="239" spans="1:22" x14ac:dyDescent="0.45">
      <c r="A239" t="str">
        <f>"10505905"</f>
        <v>10505905</v>
      </c>
      <c r="B239" t="s">
        <v>22</v>
      </c>
      <c r="C239" s="1">
        <v>43753</v>
      </c>
      <c r="D239">
        <v>370000</v>
      </c>
      <c r="E239" t="s">
        <v>23</v>
      </c>
      <c r="F239">
        <v>1954</v>
      </c>
      <c r="G239">
        <v>2144</v>
      </c>
      <c r="H239" t="s">
        <v>167</v>
      </c>
      <c r="I239" t="str">
        <f t="shared" si="3"/>
        <v>25</v>
      </c>
      <c r="J239">
        <v>60025</v>
      </c>
      <c r="K239">
        <v>1248</v>
      </c>
      <c r="L239">
        <v>8</v>
      </c>
      <c r="M239">
        <v>2</v>
      </c>
      <c r="N239">
        <v>0</v>
      </c>
      <c r="O239" t="s">
        <v>41</v>
      </c>
      <c r="P239">
        <v>2</v>
      </c>
      <c r="Q239">
        <v>1</v>
      </c>
      <c r="R239" t="s">
        <v>35</v>
      </c>
      <c r="S239">
        <v>2.5</v>
      </c>
      <c r="T239">
        <v>0</v>
      </c>
      <c r="V239" t="s">
        <v>27</v>
      </c>
    </row>
    <row r="240" spans="1:22" x14ac:dyDescent="0.45">
      <c r="A240" t="str">
        <f>"10713979"</f>
        <v>10713979</v>
      </c>
      <c r="B240" t="s">
        <v>22</v>
      </c>
      <c r="C240" s="1">
        <v>44028</v>
      </c>
      <c r="D240">
        <v>372500</v>
      </c>
      <c r="E240" t="s">
        <v>37</v>
      </c>
      <c r="F240">
        <v>1962</v>
      </c>
      <c r="G240">
        <v>2729</v>
      </c>
      <c r="H240" t="s">
        <v>134</v>
      </c>
      <c r="I240" t="str">
        <f t="shared" si="3"/>
        <v>25</v>
      </c>
      <c r="J240">
        <v>60025</v>
      </c>
      <c r="K240">
        <v>1749</v>
      </c>
      <c r="L240">
        <v>8</v>
      </c>
      <c r="M240">
        <v>2</v>
      </c>
      <c r="N240">
        <v>1</v>
      </c>
      <c r="O240" t="s">
        <v>41</v>
      </c>
      <c r="P240">
        <v>4</v>
      </c>
      <c r="Q240">
        <v>0</v>
      </c>
      <c r="R240" t="s">
        <v>35</v>
      </c>
      <c r="S240">
        <v>2</v>
      </c>
      <c r="V240" t="s">
        <v>71</v>
      </c>
    </row>
    <row r="241" spans="1:22" x14ac:dyDescent="0.45">
      <c r="A241" t="str">
        <f>"10623778"</f>
        <v>10623778</v>
      </c>
      <c r="B241" t="s">
        <v>22</v>
      </c>
      <c r="C241" s="1">
        <v>43902</v>
      </c>
      <c r="D241">
        <v>373000</v>
      </c>
      <c r="E241" t="s">
        <v>23</v>
      </c>
      <c r="F241">
        <v>1958</v>
      </c>
      <c r="G241">
        <v>2225</v>
      </c>
      <c r="H241" t="s">
        <v>83</v>
      </c>
      <c r="I241" t="str">
        <f t="shared" si="3"/>
        <v>25</v>
      </c>
      <c r="J241">
        <v>60025</v>
      </c>
      <c r="K241">
        <v>1611</v>
      </c>
      <c r="L241">
        <v>8</v>
      </c>
      <c r="M241">
        <v>1</v>
      </c>
      <c r="N241">
        <v>1</v>
      </c>
      <c r="O241" t="s">
        <v>25</v>
      </c>
      <c r="P241">
        <v>3</v>
      </c>
      <c r="Q241">
        <v>0</v>
      </c>
      <c r="R241" t="s">
        <v>26</v>
      </c>
      <c r="S241">
        <v>2</v>
      </c>
    </row>
    <row r="242" spans="1:22" x14ac:dyDescent="0.45">
      <c r="A242" t="str">
        <f>"10888162"</f>
        <v>10888162</v>
      </c>
      <c r="B242" t="s">
        <v>22</v>
      </c>
      <c r="C242" s="1">
        <v>44151</v>
      </c>
      <c r="D242">
        <v>375000</v>
      </c>
      <c r="E242" t="s">
        <v>37</v>
      </c>
      <c r="F242">
        <v>1954</v>
      </c>
      <c r="G242">
        <v>27</v>
      </c>
      <c r="H242" t="s">
        <v>58</v>
      </c>
      <c r="I242" t="str">
        <f t="shared" si="3"/>
        <v>25</v>
      </c>
      <c r="J242">
        <v>60025</v>
      </c>
      <c r="K242">
        <v>1410</v>
      </c>
      <c r="L242">
        <v>7</v>
      </c>
      <c r="M242">
        <v>2</v>
      </c>
      <c r="N242">
        <v>1</v>
      </c>
      <c r="O242" t="s">
        <v>41</v>
      </c>
      <c r="P242">
        <v>3</v>
      </c>
      <c r="Q242">
        <v>0</v>
      </c>
      <c r="R242" t="s">
        <v>35</v>
      </c>
      <c r="S242">
        <v>2</v>
      </c>
      <c r="V242" t="s">
        <v>36</v>
      </c>
    </row>
    <row r="243" spans="1:22" x14ac:dyDescent="0.45">
      <c r="A243" t="str">
        <f>"10352917"</f>
        <v>10352917</v>
      </c>
      <c r="B243" t="s">
        <v>22</v>
      </c>
      <c r="C243" s="1">
        <v>43629</v>
      </c>
      <c r="D243">
        <v>375000</v>
      </c>
      <c r="E243" t="s">
        <v>74</v>
      </c>
      <c r="F243">
        <v>1970</v>
      </c>
      <c r="G243">
        <v>3082</v>
      </c>
      <c r="H243" t="s">
        <v>168</v>
      </c>
      <c r="I243" t="str">
        <f t="shared" si="3"/>
        <v>25</v>
      </c>
      <c r="J243">
        <v>60626</v>
      </c>
      <c r="K243">
        <v>1500</v>
      </c>
      <c r="L243">
        <v>7</v>
      </c>
      <c r="M243">
        <v>2</v>
      </c>
      <c r="N243">
        <v>1</v>
      </c>
      <c r="O243" t="s">
        <v>25</v>
      </c>
      <c r="P243">
        <v>3</v>
      </c>
      <c r="Q243">
        <v>0</v>
      </c>
      <c r="R243" t="s">
        <v>26</v>
      </c>
      <c r="S243">
        <v>2</v>
      </c>
      <c r="T243">
        <v>2</v>
      </c>
    </row>
    <row r="244" spans="1:22" x14ac:dyDescent="0.45">
      <c r="A244" t="str">
        <f>"10917010"</f>
        <v>10917010</v>
      </c>
      <c r="B244" t="s">
        <v>22</v>
      </c>
      <c r="C244" s="1">
        <v>44183</v>
      </c>
      <c r="D244">
        <v>375000</v>
      </c>
      <c r="E244" t="s">
        <v>60</v>
      </c>
      <c r="F244">
        <v>1947</v>
      </c>
      <c r="G244">
        <v>911</v>
      </c>
      <c r="H244" t="s">
        <v>169</v>
      </c>
      <c r="I244" t="str">
        <f t="shared" si="3"/>
        <v>25</v>
      </c>
      <c r="J244">
        <v>60025</v>
      </c>
      <c r="K244">
        <v>1708</v>
      </c>
      <c r="L244">
        <v>8</v>
      </c>
      <c r="M244">
        <v>1</v>
      </c>
      <c r="N244">
        <v>2</v>
      </c>
      <c r="O244" t="s">
        <v>41</v>
      </c>
      <c r="P244">
        <v>3</v>
      </c>
      <c r="Q244">
        <v>0</v>
      </c>
      <c r="R244" t="s">
        <v>35</v>
      </c>
      <c r="S244">
        <v>2</v>
      </c>
    </row>
    <row r="245" spans="1:22" x14ac:dyDescent="0.45">
      <c r="A245" t="str">
        <f>"10641401"</f>
        <v>10641401</v>
      </c>
      <c r="B245" t="s">
        <v>22</v>
      </c>
      <c r="C245" s="1">
        <v>43927</v>
      </c>
      <c r="D245">
        <v>375000</v>
      </c>
      <c r="E245" t="s">
        <v>37</v>
      </c>
      <c r="F245">
        <v>1958</v>
      </c>
      <c r="G245">
        <v>1047</v>
      </c>
      <c r="H245" t="s">
        <v>170</v>
      </c>
      <c r="I245" t="str">
        <f t="shared" si="3"/>
        <v>25</v>
      </c>
      <c r="J245">
        <v>60025</v>
      </c>
      <c r="K245">
        <v>1400</v>
      </c>
      <c r="L245">
        <v>7</v>
      </c>
      <c r="M245">
        <v>1</v>
      </c>
      <c r="N245">
        <v>1</v>
      </c>
      <c r="O245" t="s">
        <v>25</v>
      </c>
      <c r="P245">
        <v>3</v>
      </c>
      <c r="Q245">
        <v>0</v>
      </c>
      <c r="R245" t="s">
        <v>26</v>
      </c>
      <c r="S245">
        <v>1</v>
      </c>
      <c r="V245" t="s">
        <v>36</v>
      </c>
    </row>
    <row r="246" spans="1:22" x14ac:dyDescent="0.45">
      <c r="A246" t="str">
        <f>"10091393"</f>
        <v>10091393</v>
      </c>
      <c r="B246" t="s">
        <v>22</v>
      </c>
      <c r="C246" s="1">
        <v>43698</v>
      </c>
      <c r="D246">
        <v>375000</v>
      </c>
      <c r="E246" t="s">
        <v>23</v>
      </c>
      <c r="F246">
        <v>1969</v>
      </c>
      <c r="G246">
        <v>1650</v>
      </c>
      <c r="H246" t="s">
        <v>171</v>
      </c>
      <c r="I246" t="str">
        <f t="shared" si="3"/>
        <v>25</v>
      </c>
      <c r="J246">
        <v>60025</v>
      </c>
      <c r="K246">
        <v>1976</v>
      </c>
      <c r="L246">
        <v>11</v>
      </c>
      <c r="M246">
        <v>4</v>
      </c>
      <c r="N246">
        <v>0</v>
      </c>
      <c r="O246" t="s">
        <v>41</v>
      </c>
      <c r="P246">
        <v>3</v>
      </c>
      <c r="Q246">
        <v>0</v>
      </c>
      <c r="R246" t="s">
        <v>26</v>
      </c>
      <c r="S246">
        <v>2</v>
      </c>
      <c r="V246" t="s">
        <v>27</v>
      </c>
    </row>
    <row r="247" spans="1:22" x14ac:dyDescent="0.45">
      <c r="A247" t="str">
        <f>"10734462"</f>
        <v>10734462</v>
      </c>
      <c r="B247" t="s">
        <v>22</v>
      </c>
      <c r="C247" s="1">
        <v>44057</v>
      </c>
      <c r="D247">
        <v>375000</v>
      </c>
      <c r="E247" t="s">
        <v>37</v>
      </c>
      <c r="F247">
        <v>1957</v>
      </c>
      <c r="G247">
        <v>108</v>
      </c>
      <c r="H247" t="s">
        <v>65</v>
      </c>
      <c r="I247" t="str">
        <f t="shared" si="3"/>
        <v>25</v>
      </c>
      <c r="J247">
        <v>60025</v>
      </c>
      <c r="K247">
        <v>1498</v>
      </c>
      <c r="L247">
        <v>7</v>
      </c>
      <c r="M247">
        <v>2</v>
      </c>
      <c r="N247">
        <v>0</v>
      </c>
      <c r="O247" t="s">
        <v>25</v>
      </c>
      <c r="P247">
        <v>3</v>
      </c>
      <c r="Q247">
        <v>0</v>
      </c>
      <c r="R247" t="s">
        <v>35</v>
      </c>
      <c r="S247">
        <v>2</v>
      </c>
      <c r="V247" t="s">
        <v>36</v>
      </c>
    </row>
    <row r="248" spans="1:22" x14ac:dyDescent="0.45">
      <c r="A248" t="str">
        <f>"10369199"</f>
        <v>10369199</v>
      </c>
      <c r="B248" t="s">
        <v>22</v>
      </c>
      <c r="C248" s="1">
        <v>43726</v>
      </c>
      <c r="D248">
        <v>375000</v>
      </c>
      <c r="E248" t="s">
        <v>37</v>
      </c>
      <c r="F248">
        <v>1957</v>
      </c>
      <c r="G248">
        <v>2325</v>
      </c>
      <c r="H248" t="s">
        <v>95</v>
      </c>
      <c r="I248" t="str">
        <f t="shared" si="3"/>
        <v>25</v>
      </c>
      <c r="J248">
        <v>60025</v>
      </c>
      <c r="K248">
        <v>2319</v>
      </c>
      <c r="L248">
        <v>8</v>
      </c>
      <c r="M248">
        <v>2</v>
      </c>
      <c r="N248">
        <v>0</v>
      </c>
      <c r="O248" t="s">
        <v>25</v>
      </c>
      <c r="P248">
        <v>3</v>
      </c>
      <c r="Q248">
        <v>0</v>
      </c>
      <c r="R248" t="s">
        <v>26</v>
      </c>
      <c r="S248">
        <v>2</v>
      </c>
    </row>
    <row r="249" spans="1:22" x14ac:dyDescent="0.45">
      <c r="A249" t="str">
        <f>"10127910"</f>
        <v>10127910</v>
      </c>
      <c r="B249" t="s">
        <v>22</v>
      </c>
      <c r="C249" s="1">
        <v>43637</v>
      </c>
      <c r="D249">
        <v>375000</v>
      </c>
      <c r="E249" t="s">
        <v>60</v>
      </c>
      <c r="F249">
        <v>1963</v>
      </c>
      <c r="G249">
        <v>444</v>
      </c>
      <c r="H249" t="s">
        <v>172</v>
      </c>
      <c r="I249" t="str">
        <f t="shared" si="3"/>
        <v>25</v>
      </c>
      <c r="J249">
        <v>60025</v>
      </c>
      <c r="K249">
        <v>3100</v>
      </c>
      <c r="L249">
        <v>11</v>
      </c>
      <c r="M249">
        <v>3</v>
      </c>
      <c r="N249">
        <v>1</v>
      </c>
      <c r="O249" t="s">
        <v>25</v>
      </c>
      <c r="P249">
        <v>6</v>
      </c>
      <c r="Q249">
        <v>0</v>
      </c>
      <c r="R249" t="s">
        <v>26</v>
      </c>
      <c r="S249">
        <v>1</v>
      </c>
    </row>
    <row r="250" spans="1:22" x14ac:dyDescent="0.45">
      <c r="A250" t="str">
        <f>"10097547"</f>
        <v>10097547</v>
      </c>
      <c r="B250" t="s">
        <v>22</v>
      </c>
      <c r="C250" s="1">
        <v>43539</v>
      </c>
      <c r="D250">
        <v>375500</v>
      </c>
      <c r="E250" t="s">
        <v>23</v>
      </c>
      <c r="F250">
        <v>1961</v>
      </c>
      <c r="G250">
        <v>42</v>
      </c>
      <c r="H250" t="s">
        <v>96</v>
      </c>
      <c r="I250" t="str">
        <f t="shared" si="3"/>
        <v>25</v>
      </c>
      <c r="J250">
        <v>60025</v>
      </c>
      <c r="K250">
        <v>0</v>
      </c>
      <c r="L250">
        <v>8</v>
      </c>
      <c r="M250">
        <v>1</v>
      </c>
      <c r="N250">
        <v>1</v>
      </c>
      <c r="O250" t="s">
        <v>25</v>
      </c>
      <c r="P250">
        <v>3</v>
      </c>
      <c r="Q250">
        <v>0</v>
      </c>
      <c r="R250" t="s">
        <v>26</v>
      </c>
      <c r="S250">
        <v>2</v>
      </c>
      <c r="V250" t="s">
        <v>27</v>
      </c>
    </row>
    <row r="251" spans="1:22" x14ac:dyDescent="0.45">
      <c r="A251" t="str">
        <f>"10616742"</f>
        <v>10616742</v>
      </c>
      <c r="B251" t="s">
        <v>22</v>
      </c>
      <c r="C251" s="1">
        <v>43906</v>
      </c>
      <c r="D251">
        <v>377500</v>
      </c>
      <c r="E251" t="s">
        <v>23</v>
      </c>
      <c r="F251">
        <v>1952</v>
      </c>
      <c r="G251">
        <v>300</v>
      </c>
      <c r="H251" t="s">
        <v>89</v>
      </c>
      <c r="I251" t="str">
        <f t="shared" si="3"/>
        <v>25</v>
      </c>
      <c r="J251">
        <v>60025</v>
      </c>
      <c r="K251">
        <v>0</v>
      </c>
      <c r="L251">
        <v>8</v>
      </c>
      <c r="M251">
        <v>2</v>
      </c>
      <c r="N251">
        <v>0</v>
      </c>
      <c r="O251" t="s">
        <v>41</v>
      </c>
      <c r="P251">
        <v>3</v>
      </c>
      <c r="Q251">
        <v>0</v>
      </c>
      <c r="R251" t="s">
        <v>26</v>
      </c>
      <c r="S251">
        <v>2.5</v>
      </c>
    </row>
    <row r="252" spans="1:22" x14ac:dyDescent="0.45">
      <c r="A252" t="str">
        <f>"10663820"</f>
        <v>10663820</v>
      </c>
      <c r="B252" t="s">
        <v>22</v>
      </c>
      <c r="C252" s="1">
        <v>44022</v>
      </c>
      <c r="D252">
        <v>379000</v>
      </c>
      <c r="E252" t="s">
        <v>31</v>
      </c>
      <c r="F252">
        <v>1958</v>
      </c>
      <c r="G252">
        <v>1335</v>
      </c>
      <c r="H252" t="s">
        <v>173</v>
      </c>
      <c r="I252" t="str">
        <f t="shared" si="3"/>
        <v>25</v>
      </c>
      <c r="J252">
        <v>60025</v>
      </c>
      <c r="K252">
        <v>1217</v>
      </c>
      <c r="L252">
        <v>7</v>
      </c>
      <c r="M252">
        <v>1</v>
      </c>
      <c r="N252">
        <v>1</v>
      </c>
      <c r="O252" t="s">
        <v>41</v>
      </c>
      <c r="P252">
        <v>3</v>
      </c>
      <c r="Q252">
        <v>0</v>
      </c>
      <c r="T252">
        <v>7</v>
      </c>
      <c r="V252" t="s">
        <v>36</v>
      </c>
    </row>
    <row r="253" spans="1:22" x14ac:dyDescent="0.45">
      <c r="A253" t="str">
        <f>"10623049"</f>
        <v>10623049</v>
      </c>
      <c r="B253" t="s">
        <v>22</v>
      </c>
      <c r="C253" s="1">
        <v>43922</v>
      </c>
      <c r="D253">
        <v>380000</v>
      </c>
      <c r="E253" t="s">
        <v>31</v>
      </c>
      <c r="F253">
        <v>1955</v>
      </c>
      <c r="G253">
        <v>700</v>
      </c>
      <c r="H253" t="s">
        <v>174</v>
      </c>
      <c r="I253" t="str">
        <f t="shared" si="3"/>
        <v>25</v>
      </c>
      <c r="J253">
        <v>60025</v>
      </c>
      <c r="K253">
        <v>2030</v>
      </c>
      <c r="L253">
        <v>9</v>
      </c>
      <c r="M253">
        <v>2</v>
      </c>
      <c r="N253">
        <v>0</v>
      </c>
      <c r="O253" t="s">
        <v>25</v>
      </c>
      <c r="P253">
        <v>3</v>
      </c>
      <c r="Q253">
        <v>1</v>
      </c>
      <c r="R253" t="s">
        <v>35</v>
      </c>
      <c r="S253">
        <v>1</v>
      </c>
      <c r="U253">
        <v>760</v>
      </c>
      <c r="V253" t="s">
        <v>148</v>
      </c>
    </row>
    <row r="254" spans="1:22" x14ac:dyDescent="0.45">
      <c r="A254" t="str">
        <f>"10706437"</f>
        <v>10706437</v>
      </c>
      <c r="B254" t="s">
        <v>22</v>
      </c>
      <c r="C254" s="1">
        <v>44011</v>
      </c>
      <c r="D254">
        <v>380000</v>
      </c>
      <c r="E254" t="s">
        <v>60</v>
      </c>
      <c r="F254">
        <v>1948</v>
      </c>
      <c r="G254">
        <v>10</v>
      </c>
      <c r="H254" t="s">
        <v>160</v>
      </c>
      <c r="I254" t="str">
        <f t="shared" si="3"/>
        <v>25</v>
      </c>
      <c r="J254">
        <v>60025</v>
      </c>
      <c r="K254">
        <v>1425</v>
      </c>
      <c r="L254">
        <v>8</v>
      </c>
      <c r="M254">
        <v>1</v>
      </c>
      <c r="N254">
        <v>1</v>
      </c>
      <c r="O254" t="s">
        <v>25</v>
      </c>
      <c r="P254">
        <v>3</v>
      </c>
      <c r="Q254">
        <v>0</v>
      </c>
      <c r="R254" t="s">
        <v>35</v>
      </c>
      <c r="S254">
        <v>2</v>
      </c>
      <c r="V254" t="s">
        <v>130</v>
      </c>
    </row>
    <row r="255" spans="1:22" x14ac:dyDescent="0.45">
      <c r="A255" t="str">
        <f>"10620839"</f>
        <v>10620839</v>
      </c>
      <c r="B255" t="s">
        <v>22</v>
      </c>
      <c r="C255" s="1">
        <v>43998</v>
      </c>
      <c r="D255">
        <v>380000</v>
      </c>
      <c r="E255" t="s">
        <v>37</v>
      </c>
      <c r="F255">
        <v>1951</v>
      </c>
      <c r="G255">
        <v>1119</v>
      </c>
      <c r="H255" t="s">
        <v>175</v>
      </c>
      <c r="I255" t="str">
        <f t="shared" si="3"/>
        <v>25</v>
      </c>
      <c r="J255">
        <v>60025</v>
      </c>
      <c r="K255">
        <v>1523</v>
      </c>
      <c r="L255">
        <v>7</v>
      </c>
      <c r="M255">
        <v>1</v>
      </c>
      <c r="N255">
        <v>1</v>
      </c>
      <c r="O255" t="s">
        <v>25</v>
      </c>
      <c r="P255">
        <v>3</v>
      </c>
      <c r="Q255">
        <v>0</v>
      </c>
      <c r="R255" t="s">
        <v>26</v>
      </c>
      <c r="S255">
        <v>1</v>
      </c>
      <c r="V255" t="s">
        <v>176</v>
      </c>
    </row>
    <row r="256" spans="1:22" x14ac:dyDescent="0.45">
      <c r="A256" t="str">
        <f>"09985012"</f>
        <v>09985012</v>
      </c>
      <c r="B256" t="s">
        <v>22</v>
      </c>
      <c r="C256" s="1">
        <v>43529</v>
      </c>
      <c r="D256">
        <v>380000</v>
      </c>
      <c r="E256" t="s">
        <v>37</v>
      </c>
      <c r="F256">
        <v>1957</v>
      </c>
      <c r="G256">
        <v>1219</v>
      </c>
      <c r="H256" t="s">
        <v>44</v>
      </c>
      <c r="I256" t="str">
        <f t="shared" si="3"/>
        <v>25</v>
      </c>
      <c r="J256">
        <v>60025</v>
      </c>
      <c r="K256">
        <v>0</v>
      </c>
      <c r="L256">
        <v>7</v>
      </c>
      <c r="M256">
        <v>2</v>
      </c>
      <c r="N256">
        <v>0</v>
      </c>
      <c r="O256" t="s">
        <v>25</v>
      </c>
      <c r="P256">
        <v>3</v>
      </c>
      <c r="Q256">
        <v>0</v>
      </c>
      <c r="R256" t="s">
        <v>26</v>
      </c>
      <c r="S256">
        <v>2</v>
      </c>
      <c r="V256" t="s">
        <v>176</v>
      </c>
    </row>
    <row r="257" spans="1:22" x14ac:dyDescent="0.45">
      <c r="A257" t="str">
        <f>"10463339"</f>
        <v>10463339</v>
      </c>
      <c r="B257" t="s">
        <v>22</v>
      </c>
      <c r="C257" s="1">
        <v>43707</v>
      </c>
      <c r="D257">
        <v>380000</v>
      </c>
      <c r="E257" t="s">
        <v>60</v>
      </c>
      <c r="F257">
        <v>1965</v>
      </c>
      <c r="G257">
        <v>1633</v>
      </c>
      <c r="H257" t="s">
        <v>177</v>
      </c>
      <c r="I257" t="str">
        <f t="shared" si="3"/>
        <v>25</v>
      </c>
      <c r="J257">
        <v>60026</v>
      </c>
      <c r="K257">
        <v>1470</v>
      </c>
      <c r="L257">
        <v>7</v>
      </c>
      <c r="M257">
        <v>3</v>
      </c>
      <c r="N257">
        <v>0</v>
      </c>
      <c r="O257" t="s">
        <v>25</v>
      </c>
      <c r="P257">
        <v>3</v>
      </c>
      <c r="Q257">
        <v>0</v>
      </c>
      <c r="R257" t="s">
        <v>26</v>
      </c>
      <c r="S257">
        <v>2</v>
      </c>
      <c r="V257" t="s">
        <v>71</v>
      </c>
    </row>
    <row r="258" spans="1:22" x14ac:dyDescent="0.45">
      <c r="A258" t="str">
        <f>"10442091"</f>
        <v>10442091</v>
      </c>
      <c r="B258" t="s">
        <v>22</v>
      </c>
      <c r="C258" s="1">
        <v>43700</v>
      </c>
      <c r="D258">
        <v>380000</v>
      </c>
      <c r="E258" t="s">
        <v>23</v>
      </c>
      <c r="F258">
        <v>1957</v>
      </c>
      <c r="G258">
        <v>1346</v>
      </c>
      <c r="H258" t="s">
        <v>178</v>
      </c>
      <c r="I258" t="str">
        <f t="shared" ref="I258:I321" si="4">"25"</f>
        <v>25</v>
      </c>
      <c r="J258">
        <v>60025</v>
      </c>
      <c r="K258">
        <v>1612</v>
      </c>
      <c r="L258">
        <v>7</v>
      </c>
      <c r="M258">
        <v>1</v>
      </c>
      <c r="N258">
        <v>1</v>
      </c>
      <c r="O258" t="s">
        <v>25</v>
      </c>
      <c r="P258">
        <v>3</v>
      </c>
      <c r="Q258">
        <v>0</v>
      </c>
      <c r="R258" t="s">
        <v>26</v>
      </c>
      <c r="S258">
        <v>1</v>
      </c>
      <c r="U258">
        <v>1416</v>
      </c>
      <c r="V258" t="s">
        <v>27</v>
      </c>
    </row>
    <row r="259" spans="1:22" x14ac:dyDescent="0.45">
      <c r="A259" t="str">
        <f>"10487416"</f>
        <v>10487416</v>
      </c>
      <c r="B259" t="s">
        <v>22</v>
      </c>
      <c r="C259" s="1">
        <v>43794</v>
      </c>
      <c r="D259">
        <v>381000</v>
      </c>
      <c r="E259" t="s">
        <v>23</v>
      </c>
      <c r="F259">
        <v>1957</v>
      </c>
      <c r="G259">
        <v>1751</v>
      </c>
      <c r="H259" t="s">
        <v>34</v>
      </c>
      <c r="I259" t="str">
        <f t="shared" si="4"/>
        <v>25</v>
      </c>
      <c r="J259">
        <v>60025</v>
      </c>
      <c r="K259">
        <v>1625</v>
      </c>
      <c r="L259">
        <v>7</v>
      </c>
      <c r="M259">
        <v>2</v>
      </c>
      <c r="N259">
        <v>0</v>
      </c>
      <c r="O259" t="s">
        <v>25</v>
      </c>
      <c r="P259">
        <v>3</v>
      </c>
      <c r="Q259">
        <v>0</v>
      </c>
      <c r="R259" t="s">
        <v>26</v>
      </c>
      <c r="S259">
        <v>1</v>
      </c>
      <c r="V259" t="s">
        <v>27</v>
      </c>
    </row>
    <row r="260" spans="1:22" x14ac:dyDescent="0.45">
      <c r="A260" t="str">
        <f>"10617481"</f>
        <v>10617481</v>
      </c>
      <c r="B260" t="s">
        <v>22</v>
      </c>
      <c r="C260" s="1">
        <v>43903</v>
      </c>
      <c r="D260">
        <v>381500</v>
      </c>
      <c r="E260" t="s">
        <v>23</v>
      </c>
      <c r="F260">
        <v>1957</v>
      </c>
      <c r="G260">
        <v>2545</v>
      </c>
      <c r="H260" t="s">
        <v>105</v>
      </c>
      <c r="I260" t="str">
        <f t="shared" si="4"/>
        <v>25</v>
      </c>
      <c r="J260">
        <v>60025</v>
      </c>
      <c r="K260">
        <v>1600</v>
      </c>
      <c r="L260">
        <v>8</v>
      </c>
      <c r="M260">
        <v>1</v>
      </c>
      <c r="N260">
        <v>1</v>
      </c>
      <c r="O260" t="s">
        <v>25</v>
      </c>
      <c r="P260">
        <v>2</v>
      </c>
      <c r="Q260">
        <v>1</v>
      </c>
      <c r="R260" t="s">
        <v>35</v>
      </c>
      <c r="S260">
        <v>2.5</v>
      </c>
      <c r="U260">
        <v>1100</v>
      </c>
      <c r="V260" t="s">
        <v>27</v>
      </c>
    </row>
    <row r="261" spans="1:22" x14ac:dyDescent="0.45">
      <c r="A261" t="str">
        <f>"10589739"</f>
        <v>10589739</v>
      </c>
      <c r="B261" t="s">
        <v>22</v>
      </c>
      <c r="C261" s="1">
        <v>44061</v>
      </c>
      <c r="D261">
        <v>382500</v>
      </c>
      <c r="E261" t="s">
        <v>37</v>
      </c>
      <c r="F261">
        <v>1959</v>
      </c>
      <c r="G261">
        <v>1137</v>
      </c>
      <c r="H261" t="s">
        <v>122</v>
      </c>
      <c r="I261" t="str">
        <f t="shared" si="4"/>
        <v>25</v>
      </c>
      <c r="J261">
        <v>60025</v>
      </c>
      <c r="K261">
        <v>1283</v>
      </c>
      <c r="L261">
        <v>7</v>
      </c>
      <c r="M261">
        <v>1</v>
      </c>
      <c r="N261">
        <v>1</v>
      </c>
      <c r="O261" t="s">
        <v>25</v>
      </c>
      <c r="P261">
        <v>3</v>
      </c>
      <c r="Q261">
        <v>0</v>
      </c>
      <c r="R261" t="s">
        <v>26</v>
      </c>
      <c r="S261">
        <v>1</v>
      </c>
      <c r="V261" t="s">
        <v>36</v>
      </c>
    </row>
    <row r="262" spans="1:22" x14ac:dyDescent="0.45">
      <c r="A262" t="str">
        <f>"10500751"</f>
        <v>10500751</v>
      </c>
      <c r="B262" t="s">
        <v>22</v>
      </c>
      <c r="C262" s="1">
        <v>43794</v>
      </c>
      <c r="D262">
        <v>383000</v>
      </c>
      <c r="E262" t="s">
        <v>60</v>
      </c>
      <c r="F262">
        <v>1955</v>
      </c>
      <c r="G262">
        <v>214</v>
      </c>
      <c r="H262" t="s">
        <v>89</v>
      </c>
      <c r="I262" t="str">
        <f t="shared" si="4"/>
        <v>25</v>
      </c>
      <c r="J262">
        <v>60025</v>
      </c>
      <c r="K262">
        <v>0</v>
      </c>
      <c r="L262">
        <v>7</v>
      </c>
      <c r="M262">
        <v>3</v>
      </c>
      <c r="N262">
        <v>0</v>
      </c>
      <c r="O262" t="s">
        <v>25</v>
      </c>
      <c r="P262">
        <v>4</v>
      </c>
      <c r="Q262">
        <v>0</v>
      </c>
      <c r="R262" t="s">
        <v>35</v>
      </c>
      <c r="S262">
        <v>2</v>
      </c>
    </row>
    <row r="263" spans="1:22" x14ac:dyDescent="0.45">
      <c r="A263" t="str">
        <f>"10529679"</f>
        <v>10529679</v>
      </c>
      <c r="B263" t="s">
        <v>22</v>
      </c>
      <c r="C263" s="1">
        <v>43840</v>
      </c>
      <c r="D263">
        <v>385000</v>
      </c>
      <c r="E263" t="s">
        <v>23</v>
      </c>
      <c r="F263">
        <v>1958</v>
      </c>
      <c r="G263">
        <v>1338</v>
      </c>
      <c r="H263" t="s">
        <v>179</v>
      </c>
      <c r="I263" t="str">
        <f t="shared" si="4"/>
        <v>25</v>
      </c>
      <c r="J263">
        <v>60025</v>
      </c>
      <c r="K263">
        <v>1245</v>
      </c>
      <c r="L263">
        <v>5</v>
      </c>
      <c r="M263">
        <v>1</v>
      </c>
      <c r="N263">
        <v>1</v>
      </c>
      <c r="O263" t="s">
        <v>25</v>
      </c>
      <c r="P263">
        <v>3</v>
      </c>
      <c r="Q263">
        <v>0</v>
      </c>
      <c r="R263" t="s">
        <v>26</v>
      </c>
      <c r="S263">
        <v>1</v>
      </c>
      <c r="U263">
        <v>1200</v>
      </c>
    </row>
    <row r="264" spans="1:22" x14ac:dyDescent="0.45">
      <c r="A264" t="str">
        <f>"10311979"</f>
        <v>10311979</v>
      </c>
      <c r="B264" t="s">
        <v>22</v>
      </c>
      <c r="C264" s="1">
        <v>43629</v>
      </c>
      <c r="D264">
        <v>385000</v>
      </c>
      <c r="E264" t="s">
        <v>23</v>
      </c>
      <c r="F264">
        <v>1957</v>
      </c>
      <c r="G264">
        <v>1404</v>
      </c>
      <c r="H264" t="s">
        <v>180</v>
      </c>
      <c r="I264" t="str">
        <f t="shared" si="4"/>
        <v>25</v>
      </c>
      <c r="J264">
        <v>60025</v>
      </c>
      <c r="K264">
        <v>1260</v>
      </c>
      <c r="L264">
        <v>8</v>
      </c>
      <c r="M264">
        <v>1</v>
      </c>
      <c r="N264">
        <v>2</v>
      </c>
      <c r="O264" t="s">
        <v>41</v>
      </c>
      <c r="P264">
        <v>3</v>
      </c>
      <c r="Q264">
        <v>0</v>
      </c>
      <c r="R264" t="s">
        <v>26</v>
      </c>
      <c r="S264">
        <v>2</v>
      </c>
      <c r="U264">
        <v>968</v>
      </c>
      <c r="V264" t="s">
        <v>27</v>
      </c>
    </row>
    <row r="265" spans="1:22" x14ac:dyDescent="0.45">
      <c r="A265" t="str">
        <f>"10845065"</f>
        <v>10845065</v>
      </c>
      <c r="B265" t="s">
        <v>22</v>
      </c>
      <c r="C265" s="1">
        <v>44183</v>
      </c>
      <c r="D265">
        <v>385000</v>
      </c>
      <c r="E265" t="s">
        <v>60</v>
      </c>
      <c r="F265">
        <v>1951</v>
      </c>
      <c r="G265">
        <v>1939</v>
      </c>
      <c r="H265" t="s">
        <v>181</v>
      </c>
      <c r="I265" t="str">
        <f t="shared" si="4"/>
        <v>25</v>
      </c>
      <c r="J265">
        <v>60025</v>
      </c>
      <c r="K265">
        <v>2310</v>
      </c>
      <c r="L265">
        <v>9</v>
      </c>
      <c r="M265">
        <v>3</v>
      </c>
      <c r="N265">
        <v>0</v>
      </c>
      <c r="O265" t="s">
        <v>25</v>
      </c>
      <c r="P265">
        <v>4</v>
      </c>
      <c r="Q265">
        <v>0</v>
      </c>
      <c r="R265" t="s">
        <v>35</v>
      </c>
      <c r="S265">
        <v>2</v>
      </c>
    </row>
    <row r="266" spans="1:22" x14ac:dyDescent="0.45">
      <c r="A266" t="str">
        <f>"10548039"</f>
        <v>10548039</v>
      </c>
      <c r="B266" t="s">
        <v>22</v>
      </c>
      <c r="C266" s="1">
        <v>43815</v>
      </c>
      <c r="D266">
        <v>385000</v>
      </c>
      <c r="E266" t="s">
        <v>23</v>
      </c>
      <c r="F266">
        <v>1956</v>
      </c>
      <c r="G266">
        <v>2416</v>
      </c>
      <c r="H266" t="s">
        <v>182</v>
      </c>
      <c r="I266" t="str">
        <f t="shared" si="4"/>
        <v>25</v>
      </c>
      <c r="J266">
        <v>60025</v>
      </c>
      <c r="K266">
        <v>1850</v>
      </c>
      <c r="L266">
        <v>9</v>
      </c>
      <c r="M266">
        <v>3</v>
      </c>
      <c r="N266">
        <v>0</v>
      </c>
      <c r="O266" t="s">
        <v>41</v>
      </c>
      <c r="P266">
        <v>3</v>
      </c>
      <c r="Q266">
        <v>2</v>
      </c>
      <c r="R266" t="s">
        <v>26</v>
      </c>
      <c r="S266">
        <v>1</v>
      </c>
      <c r="V266" t="s">
        <v>27</v>
      </c>
    </row>
    <row r="267" spans="1:22" x14ac:dyDescent="0.45">
      <c r="A267" t="str">
        <f>"10566180"</f>
        <v>10566180</v>
      </c>
      <c r="B267" t="s">
        <v>22</v>
      </c>
      <c r="C267" s="1">
        <v>44042</v>
      </c>
      <c r="D267">
        <v>385000</v>
      </c>
      <c r="E267" t="s">
        <v>23</v>
      </c>
      <c r="F267">
        <v>1959</v>
      </c>
      <c r="G267">
        <v>1325</v>
      </c>
      <c r="H267" t="s">
        <v>183</v>
      </c>
      <c r="I267" t="str">
        <f t="shared" si="4"/>
        <v>25</v>
      </c>
      <c r="J267">
        <v>60025</v>
      </c>
      <c r="K267">
        <v>1889</v>
      </c>
      <c r="L267">
        <v>11</v>
      </c>
      <c r="M267">
        <v>3</v>
      </c>
      <c r="N267">
        <v>0</v>
      </c>
      <c r="O267" t="s">
        <v>41</v>
      </c>
      <c r="P267">
        <v>3</v>
      </c>
      <c r="Q267">
        <v>1</v>
      </c>
      <c r="R267" t="s">
        <v>26</v>
      </c>
      <c r="S267">
        <v>2</v>
      </c>
      <c r="V267" t="s">
        <v>148</v>
      </c>
    </row>
    <row r="268" spans="1:22" x14ac:dyDescent="0.45">
      <c r="A268" t="str">
        <f>"10353764"</f>
        <v>10353764</v>
      </c>
      <c r="B268" t="s">
        <v>22</v>
      </c>
      <c r="C268" s="1">
        <v>43697</v>
      </c>
      <c r="D268">
        <v>385000</v>
      </c>
      <c r="E268" t="s">
        <v>74</v>
      </c>
      <c r="F268">
        <v>1960</v>
      </c>
      <c r="G268">
        <v>515</v>
      </c>
      <c r="H268" t="s">
        <v>69</v>
      </c>
      <c r="I268" t="str">
        <f t="shared" si="4"/>
        <v>25</v>
      </c>
      <c r="J268">
        <v>60025</v>
      </c>
      <c r="K268">
        <v>2010</v>
      </c>
      <c r="L268">
        <v>10</v>
      </c>
      <c r="M268">
        <v>3</v>
      </c>
      <c r="N268">
        <v>0</v>
      </c>
      <c r="O268" t="s">
        <v>25</v>
      </c>
      <c r="P268">
        <v>5</v>
      </c>
      <c r="Q268">
        <v>0</v>
      </c>
      <c r="R268" t="s">
        <v>35</v>
      </c>
      <c r="S268">
        <v>2</v>
      </c>
      <c r="V268" t="s">
        <v>36</v>
      </c>
    </row>
    <row r="269" spans="1:22" x14ac:dyDescent="0.45">
      <c r="A269" t="str">
        <f>"10615944"</f>
        <v>10615944</v>
      </c>
      <c r="B269" t="s">
        <v>22</v>
      </c>
      <c r="C269" s="1">
        <v>44050</v>
      </c>
      <c r="D269">
        <v>385200</v>
      </c>
      <c r="E269" t="s">
        <v>37</v>
      </c>
      <c r="F269">
        <v>1958</v>
      </c>
      <c r="G269">
        <v>3751</v>
      </c>
      <c r="H269" t="s">
        <v>131</v>
      </c>
      <c r="I269" t="str">
        <f t="shared" si="4"/>
        <v>25</v>
      </c>
      <c r="J269">
        <v>60025</v>
      </c>
      <c r="K269">
        <v>1884</v>
      </c>
      <c r="L269">
        <v>10</v>
      </c>
      <c r="M269">
        <v>2</v>
      </c>
      <c r="N269">
        <v>0</v>
      </c>
      <c r="O269" t="s">
        <v>41</v>
      </c>
      <c r="P269">
        <v>4</v>
      </c>
      <c r="Q269">
        <v>0</v>
      </c>
      <c r="R269" t="s">
        <v>26</v>
      </c>
      <c r="S269">
        <v>2</v>
      </c>
    </row>
    <row r="270" spans="1:22" x14ac:dyDescent="0.45">
      <c r="A270" t="str">
        <f>"10306019"</f>
        <v>10306019</v>
      </c>
      <c r="B270" t="s">
        <v>22</v>
      </c>
      <c r="C270" s="1">
        <v>43600</v>
      </c>
      <c r="D270">
        <v>386000</v>
      </c>
      <c r="E270" t="s">
        <v>23</v>
      </c>
      <c r="F270">
        <v>1961</v>
      </c>
      <c r="G270">
        <v>123</v>
      </c>
      <c r="H270" t="s">
        <v>96</v>
      </c>
      <c r="I270" t="str">
        <f t="shared" si="4"/>
        <v>25</v>
      </c>
      <c r="J270">
        <v>60025</v>
      </c>
      <c r="K270">
        <v>1647</v>
      </c>
      <c r="L270">
        <v>8</v>
      </c>
      <c r="M270">
        <v>2</v>
      </c>
      <c r="N270">
        <v>0</v>
      </c>
      <c r="O270" t="s">
        <v>25</v>
      </c>
      <c r="P270">
        <v>4</v>
      </c>
      <c r="Q270">
        <v>0</v>
      </c>
      <c r="R270" t="s">
        <v>35</v>
      </c>
      <c r="S270">
        <v>2.5</v>
      </c>
    </row>
    <row r="271" spans="1:22" x14ac:dyDescent="0.45">
      <c r="A271" t="str">
        <f>"10724219"</f>
        <v>10724219</v>
      </c>
      <c r="B271" t="s">
        <v>22</v>
      </c>
      <c r="C271" s="1">
        <v>44018</v>
      </c>
      <c r="D271">
        <v>387000</v>
      </c>
      <c r="E271" t="s">
        <v>37</v>
      </c>
      <c r="F271">
        <v>1957</v>
      </c>
      <c r="G271">
        <v>305</v>
      </c>
      <c r="H271" t="s">
        <v>96</v>
      </c>
      <c r="I271" t="str">
        <f t="shared" si="4"/>
        <v>25</v>
      </c>
      <c r="J271">
        <v>60025</v>
      </c>
      <c r="K271">
        <v>1512</v>
      </c>
      <c r="L271">
        <v>7</v>
      </c>
      <c r="M271">
        <v>2</v>
      </c>
      <c r="N271">
        <v>0</v>
      </c>
      <c r="O271" t="s">
        <v>41</v>
      </c>
      <c r="P271">
        <v>3</v>
      </c>
      <c r="Q271">
        <v>0</v>
      </c>
      <c r="R271" t="s">
        <v>26</v>
      </c>
      <c r="S271">
        <v>1</v>
      </c>
      <c r="T271">
        <v>4</v>
      </c>
      <c r="U271">
        <v>465</v>
      </c>
    </row>
    <row r="272" spans="1:22" x14ac:dyDescent="0.45">
      <c r="A272" t="str">
        <f>"10454557"</f>
        <v>10454557</v>
      </c>
      <c r="B272" t="s">
        <v>22</v>
      </c>
      <c r="C272" s="1">
        <v>43683</v>
      </c>
      <c r="D272">
        <v>387000</v>
      </c>
      <c r="E272" t="s">
        <v>60</v>
      </c>
      <c r="F272">
        <v>1968</v>
      </c>
      <c r="G272">
        <v>3634</v>
      </c>
      <c r="H272" t="s">
        <v>155</v>
      </c>
      <c r="I272" t="str">
        <f t="shared" si="4"/>
        <v>25</v>
      </c>
      <c r="J272">
        <v>60026</v>
      </c>
      <c r="K272">
        <v>2657</v>
      </c>
      <c r="L272">
        <v>9</v>
      </c>
      <c r="M272">
        <v>2</v>
      </c>
      <c r="N272">
        <v>1</v>
      </c>
      <c r="O272" t="s">
        <v>25</v>
      </c>
      <c r="P272">
        <v>4</v>
      </c>
      <c r="Q272">
        <v>0</v>
      </c>
      <c r="R272" t="s">
        <v>26</v>
      </c>
      <c r="S272">
        <v>2</v>
      </c>
    </row>
    <row r="273" spans="1:22" x14ac:dyDescent="0.45">
      <c r="A273" t="str">
        <f>"10675541"</f>
        <v>10675541</v>
      </c>
      <c r="B273" t="s">
        <v>22</v>
      </c>
      <c r="C273" s="1">
        <v>43972</v>
      </c>
      <c r="D273">
        <v>387500</v>
      </c>
      <c r="E273" t="s">
        <v>60</v>
      </c>
      <c r="F273" t="s">
        <v>29</v>
      </c>
      <c r="G273">
        <v>18</v>
      </c>
      <c r="H273" t="s">
        <v>77</v>
      </c>
      <c r="I273" t="str">
        <f t="shared" si="4"/>
        <v>25</v>
      </c>
      <c r="J273">
        <v>60025</v>
      </c>
      <c r="K273">
        <v>0</v>
      </c>
      <c r="L273">
        <v>7</v>
      </c>
      <c r="M273">
        <v>1</v>
      </c>
      <c r="N273">
        <v>1</v>
      </c>
      <c r="O273" t="s">
        <v>25</v>
      </c>
      <c r="P273">
        <v>3</v>
      </c>
      <c r="Q273">
        <v>0</v>
      </c>
      <c r="R273" t="s">
        <v>35</v>
      </c>
      <c r="S273">
        <v>1</v>
      </c>
      <c r="V273" t="s">
        <v>130</v>
      </c>
    </row>
    <row r="274" spans="1:22" x14ac:dyDescent="0.45">
      <c r="A274" t="str">
        <f>"10602073"</f>
        <v>10602073</v>
      </c>
      <c r="B274" t="s">
        <v>22</v>
      </c>
      <c r="C274" s="1">
        <v>43970</v>
      </c>
      <c r="D274">
        <v>387500</v>
      </c>
      <c r="E274" t="s">
        <v>74</v>
      </c>
      <c r="F274">
        <v>1962</v>
      </c>
      <c r="G274">
        <v>2828</v>
      </c>
      <c r="H274" t="s">
        <v>51</v>
      </c>
      <c r="I274" t="str">
        <f t="shared" si="4"/>
        <v>25</v>
      </c>
      <c r="J274">
        <v>60025</v>
      </c>
      <c r="K274">
        <v>2240</v>
      </c>
      <c r="L274">
        <v>9</v>
      </c>
      <c r="M274">
        <v>2</v>
      </c>
      <c r="N274">
        <v>1</v>
      </c>
      <c r="O274" t="s">
        <v>25</v>
      </c>
      <c r="P274">
        <v>4</v>
      </c>
      <c r="Q274">
        <v>0</v>
      </c>
      <c r="R274" t="s">
        <v>26</v>
      </c>
      <c r="S274">
        <v>2</v>
      </c>
      <c r="V274" t="s">
        <v>36</v>
      </c>
    </row>
    <row r="275" spans="1:22" x14ac:dyDescent="0.45">
      <c r="A275" t="str">
        <f>"10545667"</f>
        <v>10545667</v>
      </c>
      <c r="B275" t="s">
        <v>22</v>
      </c>
      <c r="C275" s="1">
        <v>43892</v>
      </c>
      <c r="D275">
        <v>389000</v>
      </c>
      <c r="E275" t="s">
        <v>60</v>
      </c>
      <c r="F275">
        <v>1966</v>
      </c>
      <c r="G275">
        <v>945</v>
      </c>
      <c r="H275" t="s">
        <v>44</v>
      </c>
      <c r="I275" t="str">
        <f t="shared" si="4"/>
        <v>25</v>
      </c>
      <c r="J275">
        <v>60025</v>
      </c>
      <c r="K275">
        <v>2405</v>
      </c>
      <c r="L275">
        <v>8</v>
      </c>
      <c r="M275">
        <v>2</v>
      </c>
      <c r="N275">
        <v>1</v>
      </c>
      <c r="O275" t="s">
        <v>25</v>
      </c>
      <c r="P275">
        <v>4</v>
      </c>
      <c r="Q275">
        <v>0</v>
      </c>
      <c r="R275" t="s">
        <v>26</v>
      </c>
      <c r="S275">
        <v>2</v>
      </c>
      <c r="V275" t="s">
        <v>67</v>
      </c>
    </row>
    <row r="276" spans="1:22" x14ac:dyDescent="0.45">
      <c r="A276" t="str">
        <f>"10806056"</f>
        <v>10806056</v>
      </c>
      <c r="B276" t="s">
        <v>22</v>
      </c>
      <c r="C276" s="1">
        <v>44084</v>
      </c>
      <c r="D276">
        <v>390000</v>
      </c>
      <c r="E276" t="s">
        <v>60</v>
      </c>
      <c r="F276">
        <v>1953</v>
      </c>
      <c r="G276">
        <v>815</v>
      </c>
      <c r="H276" t="s">
        <v>184</v>
      </c>
      <c r="I276" t="str">
        <f t="shared" si="4"/>
        <v>25</v>
      </c>
      <c r="J276">
        <v>60025</v>
      </c>
      <c r="K276">
        <v>1713</v>
      </c>
      <c r="L276">
        <v>6</v>
      </c>
      <c r="M276">
        <v>1</v>
      </c>
      <c r="N276">
        <v>1</v>
      </c>
      <c r="O276" t="s">
        <v>25</v>
      </c>
      <c r="P276">
        <v>3</v>
      </c>
      <c r="Q276">
        <v>0</v>
      </c>
      <c r="R276" t="s">
        <v>35</v>
      </c>
      <c r="S276">
        <v>2.5</v>
      </c>
    </row>
    <row r="277" spans="1:22" x14ac:dyDescent="0.45">
      <c r="A277" t="str">
        <f>"10700351"</f>
        <v>10700351</v>
      </c>
      <c r="B277" t="s">
        <v>22</v>
      </c>
      <c r="C277" s="1">
        <v>43998</v>
      </c>
      <c r="D277">
        <v>390000</v>
      </c>
      <c r="E277" t="s">
        <v>60</v>
      </c>
      <c r="F277">
        <v>1954</v>
      </c>
      <c r="G277">
        <v>2115</v>
      </c>
      <c r="H277" t="s">
        <v>185</v>
      </c>
      <c r="I277" t="str">
        <f t="shared" si="4"/>
        <v>25</v>
      </c>
      <c r="J277">
        <v>60025</v>
      </c>
      <c r="K277">
        <v>1958</v>
      </c>
      <c r="L277">
        <v>7</v>
      </c>
      <c r="M277">
        <v>2</v>
      </c>
      <c r="N277">
        <v>0</v>
      </c>
      <c r="O277" t="s">
        <v>25</v>
      </c>
      <c r="P277">
        <v>4</v>
      </c>
      <c r="Q277">
        <v>0</v>
      </c>
      <c r="R277" t="s">
        <v>26</v>
      </c>
      <c r="S277">
        <v>1</v>
      </c>
      <c r="V277" t="s">
        <v>67</v>
      </c>
    </row>
    <row r="278" spans="1:22" x14ac:dyDescent="0.45">
      <c r="A278" t="str">
        <f>"10749470"</f>
        <v>10749470</v>
      </c>
      <c r="B278" t="s">
        <v>22</v>
      </c>
      <c r="C278" s="1">
        <v>44042</v>
      </c>
      <c r="D278">
        <v>390000</v>
      </c>
      <c r="E278" t="s">
        <v>37</v>
      </c>
      <c r="F278">
        <v>1958</v>
      </c>
      <c r="G278">
        <v>1219</v>
      </c>
      <c r="H278" t="s">
        <v>101</v>
      </c>
      <c r="I278" t="str">
        <f t="shared" si="4"/>
        <v>25</v>
      </c>
      <c r="J278">
        <v>60025</v>
      </c>
      <c r="K278">
        <v>1845</v>
      </c>
      <c r="L278">
        <v>8</v>
      </c>
      <c r="M278">
        <v>2</v>
      </c>
      <c r="N278">
        <v>0</v>
      </c>
      <c r="O278" t="s">
        <v>41</v>
      </c>
      <c r="P278">
        <v>3</v>
      </c>
      <c r="Q278">
        <v>1</v>
      </c>
      <c r="R278" t="s">
        <v>35</v>
      </c>
      <c r="S278">
        <v>2</v>
      </c>
      <c r="U278">
        <v>600</v>
      </c>
    </row>
    <row r="279" spans="1:22" x14ac:dyDescent="0.45">
      <c r="A279" t="str">
        <f>"10797015"</f>
        <v>10797015</v>
      </c>
      <c r="B279" t="s">
        <v>22</v>
      </c>
      <c r="C279" s="1">
        <v>44118</v>
      </c>
      <c r="D279">
        <v>390000</v>
      </c>
      <c r="E279" t="s">
        <v>23</v>
      </c>
      <c r="F279">
        <v>1959</v>
      </c>
      <c r="G279">
        <v>1103</v>
      </c>
      <c r="H279" t="s">
        <v>101</v>
      </c>
      <c r="I279" t="str">
        <f t="shared" si="4"/>
        <v>25</v>
      </c>
      <c r="J279">
        <v>60025</v>
      </c>
      <c r="K279">
        <v>1616</v>
      </c>
      <c r="L279">
        <v>7</v>
      </c>
      <c r="M279">
        <v>2</v>
      </c>
      <c r="N279">
        <v>0</v>
      </c>
      <c r="O279" t="s">
        <v>25</v>
      </c>
      <c r="P279">
        <v>3</v>
      </c>
      <c r="Q279">
        <v>0</v>
      </c>
      <c r="R279" t="s">
        <v>26</v>
      </c>
      <c r="S279">
        <v>2</v>
      </c>
      <c r="T279">
        <v>4</v>
      </c>
      <c r="V279" t="s">
        <v>27</v>
      </c>
    </row>
    <row r="280" spans="1:22" x14ac:dyDescent="0.45">
      <c r="A280" t="str">
        <f>"10880819"</f>
        <v>10880819</v>
      </c>
      <c r="B280" t="s">
        <v>22</v>
      </c>
      <c r="C280" s="1">
        <v>44127</v>
      </c>
      <c r="D280">
        <v>390000</v>
      </c>
      <c r="E280" t="s">
        <v>23</v>
      </c>
      <c r="F280">
        <v>1952</v>
      </c>
      <c r="G280">
        <v>830</v>
      </c>
      <c r="H280" t="s">
        <v>128</v>
      </c>
      <c r="I280" t="str">
        <f t="shared" si="4"/>
        <v>25</v>
      </c>
      <c r="J280">
        <v>60025</v>
      </c>
      <c r="K280">
        <v>1285</v>
      </c>
      <c r="L280">
        <v>6</v>
      </c>
      <c r="M280">
        <v>2</v>
      </c>
      <c r="N280">
        <v>0</v>
      </c>
      <c r="O280" t="s">
        <v>25</v>
      </c>
      <c r="P280">
        <v>3</v>
      </c>
      <c r="Q280">
        <v>0</v>
      </c>
      <c r="R280" t="s">
        <v>35</v>
      </c>
      <c r="S280">
        <v>2</v>
      </c>
      <c r="V280" t="s">
        <v>27</v>
      </c>
    </row>
    <row r="281" spans="1:22" x14ac:dyDescent="0.45">
      <c r="A281" t="str">
        <f>"10586183"</f>
        <v>10586183</v>
      </c>
      <c r="B281" t="s">
        <v>22</v>
      </c>
      <c r="C281" s="1">
        <v>43914</v>
      </c>
      <c r="D281">
        <v>390000</v>
      </c>
      <c r="E281" t="s">
        <v>37</v>
      </c>
      <c r="F281" t="s">
        <v>29</v>
      </c>
      <c r="G281">
        <v>2521</v>
      </c>
      <c r="H281" t="s">
        <v>139</v>
      </c>
      <c r="I281" t="str">
        <f t="shared" si="4"/>
        <v>25</v>
      </c>
      <c r="J281">
        <v>60025</v>
      </c>
      <c r="K281">
        <v>2500</v>
      </c>
      <c r="L281">
        <v>9</v>
      </c>
      <c r="M281">
        <v>3</v>
      </c>
      <c r="N281">
        <v>0</v>
      </c>
      <c r="O281" t="s">
        <v>41</v>
      </c>
      <c r="P281">
        <v>4</v>
      </c>
      <c r="Q281">
        <v>0</v>
      </c>
      <c r="R281" t="s">
        <v>35</v>
      </c>
      <c r="S281">
        <v>2</v>
      </c>
      <c r="T281">
        <v>4</v>
      </c>
      <c r="V281" t="s">
        <v>186</v>
      </c>
    </row>
    <row r="282" spans="1:22" x14ac:dyDescent="0.45">
      <c r="A282" t="str">
        <f>"10494965"</f>
        <v>10494965</v>
      </c>
      <c r="B282" t="s">
        <v>22</v>
      </c>
      <c r="C282" s="1">
        <v>43966</v>
      </c>
      <c r="D282">
        <v>390000</v>
      </c>
      <c r="E282" t="s">
        <v>60</v>
      </c>
      <c r="F282">
        <v>1952</v>
      </c>
      <c r="G282">
        <v>31</v>
      </c>
      <c r="H282" t="s">
        <v>48</v>
      </c>
      <c r="I282" t="str">
        <f t="shared" si="4"/>
        <v>25</v>
      </c>
      <c r="J282">
        <v>60029</v>
      </c>
      <c r="K282">
        <v>2595</v>
      </c>
      <c r="L282">
        <v>10</v>
      </c>
      <c r="M282">
        <v>3</v>
      </c>
      <c r="N282">
        <v>0</v>
      </c>
      <c r="O282" t="s">
        <v>41</v>
      </c>
      <c r="P282">
        <v>4</v>
      </c>
      <c r="Q282">
        <v>0</v>
      </c>
      <c r="T282">
        <v>8</v>
      </c>
      <c r="V282" t="s">
        <v>33</v>
      </c>
    </row>
    <row r="283" spans="1:22" x14ac:dyDescent="0.45">
      <c r="A283" t="str">
        <f>"10268610"</f>
        <v>10268610</v>
      </c>
      <c r="B283" t="s">
        <v>22</v>
      </c>
      <c r="C283" s="1">
        <v>43572</v>
      </c>
      <c r="D283">
        <v>390000</v>
      </c>
      <c r="E283" t="s">
        <v>23</v>
      </c>
      <c r="F283">
        <v>1974</v>
      </c>
      <c r="G283">
        <v>1403</v>
      </c>
      <c r="H283" t="s">
        <v>112</v>
      </c>
      <c r="I283" t="str">
        <f t="shared" si="4"/>
        <v>25</v>
      </c>
      <c r="J283">
        <v>60025</v>
      </c>
      <c r="K283">
        <v>0</v>
      </c>
      <c r="L283">
        <v>6</v>
      </c>
      <c r="M283">
        <v>2</v>
      </c>
      <c r="N283">
        <v>0</v>
      </c>
      <c r="O283" t="s">
        <v>25</v>
      </c>
      <c r="P283">
        <v>2</v>
      </c>
      <c r="Q283">
        <v>0</v>
      </c>
      <c r="R283" t="s">
        <v>26</v>
      </c>
      <c r="S283">
        <v>2</v>
      </c>
      <c r="T283">
        <v>2</v>
      </c>
      <c r="V283" t="s">
        <v>27</v>
      </c>
    </row>
    <row r="284" spans="1:22" x14ac:dyDescent="0.45">
      <c r="A284" t="str">
        <f>"10745606"</f>
        <v>10745606</v>
      </c>
      <c r="B284" t="s">
        <v>22</v>
      </c>
      <c r="C284" s="1">
        <v>44070</v>
      </c>
      <c r="D284">
        <v>392000</v>
      </c>
      <c r="E284" t="s">
        <v>37</v>
      </c>
      <c r="F284">
        <v>1944</v>
      </c>
      <c r="G284">
        <v>244</v>
      </c>
      <c r="H284" t="s">
        <v>69</v>
      </c>
      <c r="I284" t="str">
        <f t="shared" si="4"/>
        <v>25</v>
      </c>
      <c r="J284">
        <v>60025</v>
      </c>
      <c r="K284">
        <v>0</v>
      </c>
      <c r="L284">
        <v>7</v>
      </c>
      <c r="M284">
        <v>2</v>
      </c>
      <c r="N284">
        <v>0</v>
      </c>
      <c r="O284" t="s">
        <v>25</v>
      </c>
      <c r="P284">
        <v>3</v>
      </c>
      <c r="Q284">
        <v>0</v>
      </c>
      <c r="R284" t="s">
        <v>35</v>
      </c>
      <c r="S284">
        <v>2.5</v>
      </c>
    </row>
    <row r="285" spans="1:22" x14ac:dyDescent="0.45">
      <c r="A285" t="str">
        <f>"10650529"</f>
        <v>10650529</v>
      </c>
      <c r="B285" t="s">
        <v>22</v>
      </c>
      <c r="C285" s="1">
        <v>44008</v>
      </c>
      <c r="D285">
        <v>392000</v>
      </c>
      <c r="E285" t="s">
        <v>37</v>
      </c>
      <c r="F285">
        <v>1960</v>
      </c>
      <c r="G285">
        <v>3431</v>
      </c>
      <c r="H285" t="s">
        <v>145</v>
      </c>
      <c r="I285" t="str">
        <f t="shared" si="4"/>
        <v>25</v>
      </c>
      <c r="J285">
        <v>60025</v>
      </c>
      <c r="K285">
        <v>1800</v>
      </c>
      <c r="L285">
        <v>7</v>
      </c>
      <c r="M285">
        <v>2</v>
      </c>
      <c r="N285">
        <v>0</v>
      </c>
      <c r="O285" t="s">
        <v>41</v>
      </c>
      <c r="P285">
        <v>3</v>
      </c>
      <c r="Q285">
        <v>0</v>
      </c>
      <c r="R285" t="s">
        <v>26</v>
      </c>
      <c r="S285">
        <v>2</v>
      </c>
      <c r="V285" t="s">
        <v>71</v>
      </c>
    </row>
    <row r="286" spans="1:22" x14ac:dyDescent="0.45">
      <c r="A286" t="str">
        <f>"10691847"</f>
        <v>10691847</v>
      </c>
      <c r="B286" t="s">
        <v>22</v>
      </c>
      <c r="C286" s="1">
        <v>44032</v>
      </c>
      <c r="D286">
        <v>392500</v>
      </c>
      <c r="E286" t="s">
        <v>23</v>
      </c>
      <c r="F286">
        <v>1958</v>
      </c>
      <c r="G286">
        <v>2946</v>
      </c>
      <c r="H286" t="s">
        <v>131</v>
      </c>
      <c r="I286" t="str">
        <f t="shared" si="4"/>
        <v>25</v>
      </c>
      <c r="J286">
        <v>60025</v>
      </c>
      <c r="K286">
        <v>1520</v>
      </c>
      <c r="L286">
        <v>8</v>
      </c>
      <c r="M286">
        <v>2</v>
      </c>
      <c r="N286">
        <v>0</v>
      </c>
      <c r="O286" t="s">
        <v>25</v>
      </c>
      <c r="P286">
        <v>3</v>
      </c>
      <c r="Q286">
        <v>0</v>
      </c>
      <c r="R286" t="s">
        <v>26</v>
      </c>
      <c r="S286">
        <v>1</v>
      </c>
      <c r="V286" t="s">
        <v>27</v>
      </c>
    </row>
    <row r="287" spans="1:22" x14ac:dyDescent="0.45">
      <c r="A287" t="str">
        <f>"10128322"</f>
        <v>10128322</v>
      </c>
      <c r="B287" t="s">
        <v>22</v>
      </c>
      <c r="C287" s="1">
        <v>43483</v>
      </c>
      <c r="D287">
        <v>392500</v>
      </c>
      <c r="E287" t="s">
        <v>37</v>
      </c>
      <c r="F287">
        <v>1969</v>
      </c>
      <c r="G287">
        <v>3211</v>
      </c>
      <c r="H287" t="s">
        <v>155</v>
      </c>
      <c r="I287" t="str">
        <f t="shared" si="4"/>
        <v>25</v>
      </c>
      <c r="J287">
        <v>60026</v>
      </c>
      <c r="K287">
        <v>0</v>
      </c>
      <c r="L287">
        <v>7</v>
      </c>
      <c r="M287">
        <v>2</v>
      </c>
      <c r="N287">
        <v>0</v>
      </c>
      <c r="O287" t="s">
        <v>25</v>
      </c>
      <c r="P287">
        <v>3</v>
      </c>
      <c r="Q287">
        <v>0</v>
      </c>
      <c r="R287" t="s">
        <v>26</v>
      </c>
      <c r="S287">
        <v>2</v>
      </c>
    </row>
    <row r="288" spans="1:22" x14ac:dyDescent="0.45">
      <c r="A288" t="str">
        <f>"10903165"</f>
        <v>10903165</v>
      </c>
      <c r="B288" t="s">
        <v>22</v>
      </c>
      <c r="C288" s="1">
        <v>44195</v>
      </c>
      <c r="D288">
        <v>395000</v>
      </c>
      <c r="E288" t="s">
        <v>60</v>
      </c>
      <c r="F288">
        <v>1956</v>
      </c>
      <c r="G288">
        <v>619</v>
      </c>
      <c r="H288" t="s">
        <v>187</v>
      </c>
      <c r="I288" t="str">
        <f t="shared" si="4"/>
        <v>25</v>
      </c>
      <c r="J288">
        <v>60025</v>
      </c>
      <c r="K288">
        <v>0</v>
      </c>
      <c r="L288">
        <v>6</v>
      </c>
      <c r="M288">
        <v>2</v>
      </c>
      <c r="N288">
        <v>0</v>
      </c>
      <c r="O288" t="s">
        <v>25</v>
      </c>
      <c r="P288">
        <v>3</v>
      </c>
      <c r="Q288">
        <v>0</v>
      </c>
      <c r="R288" t="s">
        <v>35</v>
      </c>
      <c r="S288">
        <v>2.5</v>
      </c>
    </row>
    <row r="289" spans="1:22" x14ac:dyDescent="0.45">
      <c r="A289" t="str">
        <f>"10817366"</f>
        <v>10817366</v>
      </c>
      <c r="B289" t="s">
        <v>22</v>
      </c>
      <c r="C289" s="1">
        <v>44141</v>
      </c>
      <c r="D289">
        <v>395000</v>
      </c>
      <c r="E289" t="s">
        <v>23</v>
      </c>
      <c r="F289">
        <v>1957</v>
      </c>
      <c r="G289">
        <v>2427</v>
      </c>
      <c r="H289" t="s">
        <v>72</v>
      </c>
      <c r="I289" t="str">
        <f t="shared" si="4"/>
        <v>25</v>
      </c>
      <c r="J289">
        <v>60025</v>
      </c>
      <c r="K289">
        <v>1581</v>
      </c>
      <c r="L289">
        <v>10</v>
      </c>
      <c r="M289">
        <v>1</v>
      </c>
      <c r="N289">
        <v>1</v>
      </c>
      <c r="O289" t="s">
        <v>25</v>
      </c>
      <c r="P289">
        <v>3</v>
      </c>
      <c r="Q289">
        <v>1</v>
      </c>
      <c r="R289" t="s">
        <v>35</v>
      </c>
      <c r="S289">
        <v>2</v>
      </c>
      <c r="V289" t="s">
        <v>27</v>
      </c>
    </row>
    <row r="290" spans="1:22" x14ac:dyDescent="0.45">
      <c r="A290" t="str">
        <f>"10442396"</f>
        <v>10442396</v>
      </c>
      <c r="B290" t="s">
        <v>22</v>
      </c>
      <c r="C290" s="1">
        <v>43728</v>
      </c>
      <c r="D290">
        <v>395000</v>
      </c>
      <c r="E290" t="s">
        <v>23</v>
      </c>
      <c r="F290">
        <v>1958</v>
      </c>
      <c r="G290">
        <v>2410</v>
      </c>
      <c r="H290" t="s">
        <v>105</v>
      </c>
      <c r="I290" t="str">
        <f t="shared" si="4"/>
        <v>25</v>
      </c>
      <c r="J290">
        <v>60025</v>
      </c>
      <c r="K290">
        <v>1179</v>
      </c>
      <c r="L290">
        <v>7</v>
      </c>
      <c r="M290">
        <v>2</v>
      </c>
      <c r="N290">
        <v>0</v>
      </c>
      <c r="O290" t="s">
        <v>25</v>
      </c>
      <c r="P290">
        <v>3</v>
      </c>
      <c r="Q290">
        <v>0</v>
      </c>
      <c r="R290" t="s">
        <v>35</v>
      </c>
      <c r="S290">
        <v>2</v>
      </c>
    </row>
    <row r="291" spans="1:22" x14ac:dyDescent="0.45">
      <c r="A291" t="str">
        <f>"10517484"</f>
        <v>10517484</v>
      </c>
      <c r="B291" t="s">
        <v>22</v>
      </c>
      <c r="C291" s="1">
        <v>43823</v>
      </c>
      <c r="D291">
        <v>395000</v>
      </c>
      <c r="E291" t="s">
        <v>60</v>
      </c>
      <c r="F291">
        <v>1985</v>
      </c>
      <c r="G291">
        <v>2706</v>
      </c>
      <c r="H291" t="s">
        <v>188</v>
      </c>
      <c r="I291" t="str">
        <f t="shared" si="4"/>
        <v>25</v>
      </c>
      <c r="J291">
        <v>60025</v>
      </c>
      <c r="K291">
        <v>3136</v>
      </c>
      <c r="L291">
        <v>7</v>
      </c>
      <c r="M291">
        <v>2</v>
      </c>
      <c r="N291">
        <v>1</v>
      </c>
      <c r="O291" t="s">
        <v>25</v>
      </c>
      <c r="P291">
        <v>3</v>
      </c>
      <c r="Q291">
        <v>0</v>
      </c>
      <c r="R291" t="s">
        <v>26</v>
      </c>
      <c r="S291">
        <v>2</v>
      </c>
      <c r="V291" t="s">
        <v>67</v>
      </c>
    </row>
    <row r="292" spans="1:22" x14ac:dyDescent="0.45">
      <c r="A292" t="str">
        <f>"10346262"</f>
        <v>10346262</v>
      </c>
      <c r="B292" t="s">
        <v>22</v>
      </c>
      <c r="C292" s="1">
        <v>43633</v>
      </c>
      <c r="D292">
        <v>395000</v>
      </c>
      <c r="E292" t="s">
        <v>37</v>
      </c>
      <c r="F292">
        <v>1962</v>
      </c>
      <c r="G292">
        <v>3333</v>
      </c>
      <c r="H292" t="s">
        <v>145</v>
      </c>
      <c r="I292" t="str">
        <f t="shared" si="4"/>
        <v>25</v>
      </c>
      <c r="J292">
        <v>60026</v>
      </c>
      <c r="K292">
        <v>0</v>
      </c>
      <c r="L292">
        <v>7</v>
      </c>
      <c r="M292">
        <v>2</v>
      </c>
      <c r="N292">
        <v>0</v>
      </c>
      <c r="O292" t="s">
        <v>41</v>
      </c>
      <c r="P292">
        <v>3</v>
      </c>
      <c r="Q292">
        <v>0</v>
      </c>
      <c r="R292" t="s">
        <v>26</v>
      </c>
      <c r="S292">
        <v>2</v>
      </c>
    </row>
    <row r="293" spans="1:22" x14ac:dyDescent="0.45">
      <c r="A293" t="str">
        <f>"10641375"</f>
        <v>10641375</v>
      </c>
      <c r="B293" t="s">
        <v>22</v>
      </c>
      <c r="C293" s="1">
        <v>43951</v>
      </c>
      <c r="D293">
        <v>397000</v>
      </c>
      <c r="E293" t="s">
        <v>37</v>
      </c>
      <c r="F293">
        <v>1956</v>
      </c>
      <c r="G293">
        <v>2517</v>
      </c>
      <c r="H293" t="s">
        <v>83</v>
      </c>
      <c r="I293" t="str">
        <f t="shared" si="4"/>
        <v>25</v>
      </c>
      <c r="J293">
        <v>60025</v>
      </c>
      <c r="K293">
        <v>1748</v>
      </c>
      <c r="L293">
        <v>7</v>
      </c>
      <c r="M293">
        <v>2</v>
      </c>
      <c r="N293">
        <v>0</v>
      </c>
      <c r="O293" t="s">
        <v>41</v>
      </c>
      <c r="P293">
        <v>3</v>
      </c>
      <c r="Q293">
        <v>0</v>
      </c>
      <c r="R293" t="s">
        <v>35</v>
      </c>
      <c r="S293">
        <v>2.5</v>
      </c>
    </row>
    <row r="294" spans="1:22" x14ac:dyDescent="0.45">
      <c r="A294" t="str">
        <f>"10862223"</f>
        <v>10862223</v>
      </c>
      <c r="B294" t="s">
        <v>22</v>
      </c>
      <c r="C294" s="1">
        <v>44134</v>
      </c>
      <c r="D294">
        <v>398000</v>
      </c>
      <c r="E294" t="s">
        <v>37</v>
      </c>
      <c r="F294">
        <v>1958</v>
      </c>
      <c r="G294">
        <v>3845</v>
      </c>
      <c r="H294" t="s">
        <v>131</v>
      </c>
      <c r="I294" t="str">
        <f t="shared" si="4"/>
        <v>25</v>
      </c>
      <c r="J294">
        <v>60025</v>
      </c>
      <c r="K294">
        <v>1788</v>
      </c>
      <c r="L294">
        <v>7</v>
      </c>
      <c r="M294">
        <v>1</v>
      </c>
      <c r="N294">
        <v>1</v>
      </c>
      <c r="O294" t="s">
        <v>41</v>
      </c>
      <c r="P294">
        <v>3</v>
      </c>
      <c r="Q294">
        <v>0</v>
      </c>
      <c r="R294" t="s">
        <v>26</v>
      </c>
      <c r="S294">
        <v>1</v>
      </c>
      <c r="V294" t="s">
        <v>36</v>
      </c>
    </row>
    <row r="295" spans="1:22" x14ac:dyDescent="0.45">
      <c r="A295" t="str">
        <f>"10469422"</f>
        <v>10469422</v>
      </c>
      <c r="B295" t="s">
        <v>22</v>
      </c>
      <c r="C295" s="1">
        <v>43808</v>
      </c>
      <c r="D295">
        <v>398000</v>
      </c>
      <c r="E295" t="s">
        <v>37</v>
      </c>
      <c r="F295">
        <v>1961</v>
      </c>
      <c r="G295">
        <v>2600</v>
      </c>
      <c r="H295" t="s">
        <v>129</v>
      </c>
      <c r="I295" t="str">
        <f t="shared" si="4"/>
        <v>25</v>
      </c>
      <c r="J295">
        <v>60025</v>
      </c>
      <c r="K295">
        <v>1670</v>
      </c>
      <c r="L295">
        <v>8</v>
      </c>
      <c r="M295">
        <v>2</v>
      </c>
      <c r="N295">
        <v>0</v>
      </c>
      <c r="O295" t="s">
        <v>25</v>
      </c>
      <c r="P295">
        <v>3</v>
      </c>
      <c r="Q295">
        <v>0</v>
      </c>
      <c r="R295" t="s">
        <v>35</v>
      </c>
      <c r="S295">
        <v>2</v>
      </c>
    </row>
    <row r="296" spans="1:22" x14ac:dyDescent="0.45">
      <c r="A296" t="str">
        <f>"10109751"</f>
        <v>10109751</v>
      </c>
      <c r="B296" t="s">
        <v>22</v>
      </c>
      <c r="C296" s="1">
        <v>43564</v>
      </c>
      <c r="D296">
        <v>398000</v>
      </c>
      <c r="E296" t="s">
        <v>37</v>
      </c>
      <c r="F296">
        <v>1960</v>
      </c>
      <c r="G296">
        <v>307</v>
      </c>
      <c r="H296" t="s">
        <v>149</v>
      </c>
      <c r="I296" t="str">
        <f t="shared" si="4"/>
        <v>25</v>
      </c>
      <c r="J296">
        <v>60025</v>
      </c>
      <c r="K296">
        <v>1662</v>
      </c>
      <c r="L296">
        <v>7</v>
      </c>
      <c r="M296">
        <v>2</v>
      </c>
      <c r="N296">
        <v>0</v>
      </c>
      <c r="O296" t="s">
        <v>41</v>
      </c>
      <c r="P296">
        <v>3</v>
      </c>
      <c r="Q296">
        <v>0</v>
      </c>
      <c r="R296" t="s">
        <v>35</v>
      </c>
      <c r="S296">
        <v>2</v>
      </c>
      <c r="V296" t="s">
        <v>71</v>
      </c>
    </row>
    <row r="297" spans="1:22" x14ac:dyDescent="0.45">
      <c r="A297" t="str">
        <f>"10725003"</f>
        <v>10725003</v>
      </c>
      <c r="B297" t="s">
        <v>22</v>
      </c>
      <c r="C297" s="1">
        <v>44011</v>
      </c>
      <c r="D297">
        <v>399000</v>
      </c>
      <c r="E297" t="s">
        <v>37</v>
      </c>
      <c r="F297">
        <v>1960</v>
      </c>
      <c r="G297">
        <v>1318</v>
      </c>
      <c r="H297" t="s">
        <v>122</v>
      </c>
      <c r="I297" t="str">
        <f t="shared" si="4"/>
        <v>25</v>
      </c>
      <c r="J297">
        <v>60025</v>
      </c>
      <c r="K297">
        <v>1532</v>
      </c>
      <c r="L297">
        <v>8</v>
      </c>
      <c r="M297">
        <v>2</v>
      </c>
      <c r="N297">
        <v>0</v>
      </c>
      <c r="O297" t="s">
        <v>41</v>
      </c>
      <c r="P297">
        <v>3</v>
      </c>
      <c r="Q297">
        <v>0</v>
      </c>
      <c r="R297" t="s">
        <v>26</v>
      </c>
      <c r="S297">
        <v>2</v>
      </c>
      <c r="V297" t="s">
        <v>36</v>
      </c>
    </row>
    <row r="298" spans="1:22" x14ac:dyDescent="0.45">
      <c r="A298" t="str">
        <f>"10390665"</f>
        <v>10390665</v>
      </c>
      <c r="B298" t="s">
        <v>22</v>
      </c>
      <c r="C298" s="1">
        <v>43648</v>
      </c>
      <c r="D298">
        <v>400000</v>
      </c>
      <c r="E298" t="s">
        <v>23</v>
      </c>
      <c r="F298">
        <v>1956</v>
      </c>
      <c r="G298">
        <v>633</v>
      </c>
      <c r="H298" t="s">
        <v>116</v>
      </c>
      <c r="I298" t="str">
        <f t="shared" si="4"/>
        <v>25</v>
      </c>
      <c r="J298">
        <v>60025</v>
      </c>
      <c r="K298">
        <v>1915</v>
      </c>
      <c r="L298">
        <v>7</v>
      </c>
      <c r="M298">
        <v>2</v>
      </c>
      <c r="N298">
        <v>0</v>
      </c>
      <c r="O298" t="s">
        <v>25</v>
      </c>
      <c r="P298">
        <v>3</v>
      </c>
      <c r="Q298">
        <v>0</v>
      </c>
      <c r="R298" t="s">
        <v>26</v>
      </c>
      <c r="S298">
        <v>2</v>
      </c>
    </row>
    <row r="299" spans="1:22" x14ac:dyDescent="0.45">
      <c r="A299" t="str">
        <f>"10742422"</f>
        <v>10742422</v>
      </c>
      <c r="B299" t="s">
        <v>22</v>
      </c>
      <c r="C299" s="1">
        <v>44028</v>
      </c>
      <c r="D299">
        <v>400000</v>
      </c>
      <c r="E299" t="s">
        <v>74</v>
      </c>
      <c r="F299">
        <v>1960</v>
      </c>
      <c r="G299">
        <v>2939</v>
      </c>
      <c r="H299" t="s">
        <v>86</v>
      </c>
      <c r="I299" t="str">
        <f t="shared" si="4"/>
        <v>25</v>
      </c>
      <c r="J299">
        <v>60025</v>
      </c>
      <c r="K299">
        <v>2500</v>
      </c>
      <c r="L299">
        <v>8</v>
      </c>
      <c r="M299">
        <v>2</v>
      </c>
      <c r="N299">
        <v>1</v>
      </c>
      <c r="O299" t="s">
        <v>25</v>
      </c>
      <c r="P299">
        <v>3</v>
      </c>
      <c r="Q299">
        <v>0</v>
      </c>
      <c r="R299" t="s">
        <v>26</v>
      </c>
      <c r="S299">
        <v>1</v>
      </c>
    </row>
    <row r="300" spans="1:22" x14ac:dyDescent="0.45">
      <c r="A300" t="str">
        <f>"10753538"</f>
        <v>10753538</v>
      </c>
      <c r="B300" t="s">
        <v>22</v>
      </c>
      <c r="C300" s="1">
        <v>44042</v>
      </c>
      <c r="D300">
        <v>400000</v>
      </c>
      <c r="E300" t="s">
        <v>23</v>
      </c>
      <c r="F300">
        <v>1957</v>
      </c>
      <c r="G300">
        <v>3004</v>
      </c>
      <c r="H300" t="s">
        <v>136</v>
      </c>
      <c r="I300" t="str">
        <f t="shared" si="4"/>
        <v>25</v>
      </c>
      <c r="J300">
        <v>60025</v>
      </c>
      <c r="K300">
        <v>1798</v>
      </c>
      <c r="L300">
        <v>8</v>
      </c>
      <c r="M300">
        <v>2</v>
      </c>
      <c r="N300">
        <v>0</v>
      </c>
      <c r="O300" t="s">
        <v>25</v>
      </c>
      <c r="P300">
        <v>3</v>
      </c>
      <c r="Q300">
        <v>0</v>
      </c>
      <c r="R300" t="s">
        <v>26</v>
      </c>
      <c r="S300">
        <v>1</v>
      </c>
      <c r="T300">
        <v>4</v>
      </c>
      <c r="V300" t="s">
        <v>27</v>
      </c>
    </row>
    <row r="301" spans="1:22" x14ac:dyDescent="0.45">
      <c r="A301" t="str">
        <f>"10574390"</f>
        <v>10574390</v>
      </c>
      <c r="B301" t="s">
        <v>22</v>
      </c>
      <c r="C301" s="1">
        <v>43811</v>
      </c>
      <c r="D301">
        <v>400000</v>
      </c>
      <c r="E301" t="s">
        <v>98</v>
      </c>
      <c r="F301">
        <v>1955</v>
      </c>
      <c r="G301">
        <v>2040</v>
      </c>
      <c r="H301" t="s">
        <v>189</v>
      </c>
      <c r="I301" t="str">
        <f t="shared" si="4"/>
        <v>25</v>
      </c>
      <c r="J301">
        <v>60025</v>
      </c>
      <c r="K301">
        <v>1695</v>
      </c>
      <c r="L301">
        <v>6</v>
      </c>
      <c r="M301">
        <v>1</v>
      </c>
      <c r="N301">
        <v>0</v>
      </c>
      <c r="O301" t="s">
        <v>25</v>
      </c>
      <c r="P301">
        <v>3</v>
      </c>
      <c r="Q301">
        <v>0</v>
      </c>
      <c r="R301" t="s">
        <v>26</v>
      </c>
      <c r="S301">
        <v>2</v>
      </c>
      <c r="V301" t="s">
        <v>27</v>
      </c>
    </row>
    <row r="302" spans="1:22" x14ac:dyDescent="0.45">
      <c r="A302" t="str">
        <f>"10544675"</f>
        <v>10544675</v>
      </c>
      <c r="B302" t="s">
        <v>22</v>
      </c>
      <c r="C302" s="1">
        <v>43788</v>
      </c>
      <c r="D302">
        <v>400000</v>
      </c>
      <c r="E302" t="s">
        <v>60</v>
      </c>
      <c r="F302">
        <v>1922</v>
      </c>
      <c r="G302">
        <v>32</v>
      </c>
      <c r="H302" t="s">
        <v>190</v>
      </c>
      <c r="I302" t="str">
        <f t="shared" si="4"/>
        <v>25</v>
      </c>
      <c r="J302">
        <v>60029</v>
      </c>
      <c r="K302">
        <v>2641</v>
      </c>
      <c r="L302">
        <v>11</v>
      </c>
      <c r="M302">
        <v>3</v>
      </c>
      <c r="N302">
        <v>0</v>
      </c>
      <c r="O302" t="s">
        <v>25</v>
      </c>
      <c r="P302">
        <v>3</v>
      </c>
      <c r="Q302">
        <v>0</v>
      </c>
      <c r="R302" t="s">
        <v>35</v>
      </c>
      <c r="S302">
        <v>2.5</v>
      </c>
    </row>
    <row r="303" spans="1:22" x14ac:dyDescent="0.45">
      <c r="A303" t="str">
        <f>"10109433"</f>
        <v>10109433</v>
      </c>
      <c r="B303" t="s">
        <v>22</v>
      </c>
      <c r="C303" s="1">
        <v>43539</v>
      </c>
      <c r="D303">
        <v>400000</v>
      </c>
      <c r="E303" t="s">
        <v>37</v>
      </c>
      <c r="F303">
        <v>1961</v>
      </c>
      <c r="G303">
        <v>619</v>
      </c>
      <c r="H303" t="s">
        <v>191</v>
      </c>
      <c r="I303" t="str">
        <f t="shared" si="4"/>
        <v>25</v>
      </c>
      <c r="J303">
        <v>60025</v>
      </c>
      <c r="K303">
        <v>2075</v>
      </c>
      <c r="L303">
        <v>8</v>
      </c>
      <c r="M303">
        <v>2</v>
      </c>
      <c r="N303">
        <v>1</v>
      </c>
      <c r="O303" t="s">
        <v>25</v>
      </c>
      <c r="P303">
        <v>4</v>
      </c>
      <c r="Q303">
        <v>0</v>
      </c>
      <c r="R303" t="s">
        <v>26</v>
      </c>
      <c r="S303">
        <v>1</v>
      </c>
    </row>
    <row r="304" spans="1:22" x14ac:dyDescent="0.45">
      <c r="A304" t="str">
        <f>"10468567"</f>
        <v>10468567</v>
      </c>
      <c r="B304" t="s">
        <v>22</v>
      </c>
      <c r="C304" s="1">
        <v>43815</v>
      </c>
      <c r="D304">
        <v>400000</v>
      </c>
      <c r="E304" t="s">
        <v>23</v>
      </c>
      <c r="F304">
        <v>1965</v>
      </c>
      <c r="G304">
        <v>2850</v>
      </c>
      <c r="H304" t="s">
        <v>76</v>
      </c>
      <c r="I304" t="str">
        <f t="shared" si="4"/>
        <v>25</v>
      </c>
      <c r="J304">
        <v>60025</v>
      </c>
      <c r="K304">
        <v>1791</v>
      </c>
      <c r="L304">
        <v>7</v>
      </c>
      <c r="M304">
        <v>2</v>
      </c>
      <c r="N304">
        <v>0</v>
      </c>
      <c r="O304" t="s">
        <v>25</v>
      </c>
      <c r="P304">
        <v>3</v>
      </c>
      <c r="Q304">
        <v>0</v>
      </c>
      <c r="R304" t="s">
        <v>26</v>
      </c>
      <c r="S304">
        <v>2</v>
      </c>
      <c r="U304">
        <v>935</v>
      </c>
      <c r="V304" t="s">
        <v>27</v>
      </c>
    </row>
    <row r="305" spans="1:22" x14ac:dyDescent="0.45">
      <c r="A305" t="str">
        <f>"10885694"</f>
        <v>10885694</v>
      </c>
      <c r="B305" t="s">
        <v>22</v>
      </c>
      <c r="C305" s="1">
        <v>44187</v>
      </c>
      <c r="D305">
        <v>401000</v>
      </c>
      <c r="E305" t="s">
        <v>60</v>
      </c>
      <c r="F305">
        <v>1965</v>
      </c>
      <c r="G305">
        <v>912</v>
      </c>
      <c r="H305" t="s">
        <v>128</v>
      </c>
      <c r="I305" t="str">
        <f t="shared" si="4"/>
        <v>25</v>
      </c>
      <c r="J305">
        <v>60025</v>
      </c>
      <c r="K305">
        <v>2478</v>
      </c>
      <c r="L305">
        <v>7</v>
      </c>
      <c r="M305">
        <v>2</v>
      </c>
      <c r="N305">
        <v>1</v>
      </c>
      <c r="O305" t="s">
        <v>25</v>
      </c>
      <c r="P305">
        <v>3</v>
      </c>
      <c r="Q305">
        <v>0</v>
      </c>
      <c r="R305" t="s">
        <v>26</v>
      </c>
      <c r="S305">
        <v>2</v>
      </c>
      <c r="V305" t="s">
        <v>67</v>
      </c>
    </row>
    <row r="306" spans="1:22" x14ac:dyDescent="0.45">
      <c r="A306" t="str">
        <f>"10790298"</f>
        <v>10790298</v>
      </c>
      <c r="B306" t="s">
        <v>22</v>
      </c>
      <c r="C306" s="1">
        <v>44153</v>
      </c>
      <c r="D306">
        <v>402000</v>
      </c>
      <c r="E306" t="s">
        <v>37</v>
      </c>
      <c r="F306">
        <v>1956</v>
      </c>
      <c r="G306">
        <v>315</v>
      </c>
      <c r="H306" t="s">
        <v>164</v>
      </c>
      <c r="I306" t="str">
        <f t="shared" si="4"/>
        <v>25</v>
      </c>
      <c r="J306">
        <v>60025</v>
      </c>
      <c r="K306">
        <v>1422</v>
      </c>
      <c r="L306">
        <v>7</v>
      </c>
      <c r="M306">
        <v>2</v>
      </c>
      <c r="N306">
        <v>1</v>
      </c>
      <c r="O306" t="s">
        <v>25</v>
      </c>
      <c r="P306">
        <v>3</v>
      </c>
      <c r="Q306">
        <v>0</v>
      </c>
      <c r="R306" t="s">
        <v>192</v>
      </c>
      <c r="S306">
        <v>3</v>
      </c>
      <c r="V306" t="s">
        <v>36</v>
      </c>
    </row>
    <row r="307" spans="1:22" x14ac:dyDescent="0.45">
      <c r="A307" t="str">
        <f>"10257744"</f>
        <v>10257744</v>
      </c>
      <c r="B307" t="s">
        <v>22</v>
      </c>
      <c r="C307" s="1">
        <v>43577</v>
      </c>
      <c r="D307">
        <v>405000</v>
      </c>
      <c r="E307" t="s">
        <v>23</v>
      </c>
      <c r="F307">
        <v>1957</v>
      </c>
      <c r="G307">
        <v>1751</v>
      </c>
      <c r="H307" t="s">
        <v>34</v>
      </c>
      <c r="I307" t="str">
        <f t="shared" si="4"/>
        <v>25</v>
      </c>
      <c r="J307">
        <v>60025</v>
      </c>
      <c r="K307">
        <v>1625</v>
      </c>
      <c r="L307">
        <v>6</v>
      </c>
      <c r="M307">
        <v>2</v>
      </c>
      <c r="N307">
        <v>0</v>
      </c>
      <c r="O307" t="s">
        <v>25</v>
      </c>
      <c r="P307">
        <v>3</v>
      </c>
      <c r="Q307">
        <v>0</v>
      </c>
      <c r="R307" t="s">
        <v>26</v>
      </c>
      <c r="S307">
        <v>1</v>
      </c>
      <c r="U307">
        <v>0</v>
      </c>
      <c r="V307" t="s">
        <v>27</v>
      </c>
    </row>
    <row r="308" spans="1:22" x14ac:dyDescent="0.45">
      <c r="A308" t="str">
        <f>"10167844"</f>
        <v>10167844</v>
      </c>
      <c r="B308" t="s">
        <v>22</v>
      </c>
      <c r="C308" s="1">
        <v>43559</v>
      </c>
      <c r="D308">
        <v>405000</v>
      </c>
      <c r="E308" t="s">
        <v>60</v>
      </c>
      <c r="F308">
        <v>1955</v>
      </c>
      <c r="G308">
        <v>1435</v>
      </c>
      <c r="H308" t="s">
        <v>85</v>
      </c>
      <c r="I308" t="str">
        <f t="shared" si="4"/>
        <v>25</v>
      </c>
      <c r="J308">
        <v>60025</v>
      </c>
      <c r="K308">
        <v>3696</v>
      </c>
      <c r="L308">
        <v>8</v>
      </c>
      <c r="M308">
        <v>3</v>
      </c>
      <c r="N308">
        <v>1</v>
      </c>
      <c r="O308" t="s">
        <v>25</v>
      </c>
      <c r="P308">
        <v>4</v>
      </c>
      <c r="Q308">
        <v>0</v>
      </c>
      <c r="R308" t="s">
        <v>26</v>
      </c>
      <c r="S308">
        <v>2</v>
      </c>
      <c r="V308" t="s">
        <v>176</v>
      </c>
    </row>
    <row r="309" spans="1:22" x14ac:dyDescent="0.45">
      <c r="A309" t="str">
        <f>"10715237"</f>
        <v>10715237</v>
      </c>
      <c r="B309" t="s">
        <v>22</v>
      </c>
      <c r="C309" s="1">
        <v>44057</v>
      </c>
      <c r="D309">
        <v>405000</v>
      </c>
      <c r="E309" t="s">
        <v>60</v>
      </c>
      <c r="F309">
        <v>1957</v>
      </c>
      <c r="G309">
        <v>2442</v>
      </c>
      <c r="H309" t="s">
        <v>72</v>
      </c>
      <c r="I309" t="str">
        <f t="shared" si="4"/>
        <v>25</v>
      </c>
      <c r="J309">
        <v>60025</v>
      </c>
      <c r="K309">
        <v>1500</v>
      </c>
      <c r="L309">
        <v>7</v>
      </c>
      <c r="M309">
        <v>2</v>
      </c>
      <c r="N309">
        <v>0</v>
      </c>
      <c r="O309" t="s">
        <v>41</v>
      </c>
      <c r="P309">
        <v>3</v>
      </c>
      <c r="Q309">
        <v>0</v>
      </c>
      <c r="R309" t="s">
        <v>35</v>
      </c>
      <c r="S309">
        <v>2</v>
      </c>
    </row>
    <row r="310" spans="1:22" x14ac:dyDescent="0.45">
      <c r="A310" t="str">
        <f>"10569584"</f>
        <v>10569584</v>
      </c>
      <c r="B310" t="s">
        <v>22</v>
      </c>
      <c r="C310" s="1">
        <v>43938</v>
      </c>
      <c r="D310">
        <v>406500</v>
      </c>
      <c r="E310" t="s">
        <v>74</v>
      </c>
      <c r="F310">
        <v>1961</v>
      </c>
      <c r="G310">
        <v>1326</v>
      </c>
      <c r="H310" t="s">
        <v>193</v>
      </c>
      <c r="I310" t="str">
        <f t="shared" si="4"/>
        <v>25</v>
      </c>
      <c r="J310">
        <v>60026</v>
      </c>
      <c r="K310">
        <v>1951</v>
      </c>
      <c r="L310">
        <v>9</v>
      </c>
      <c r="M310">
        <v>2</v>
      </c>
      <c r="N310">
        <v>0</v>
      </c>
      <c r="O310" t="s">
        <v>41</v>
      </c>
      <c r="P310">
        <v>5</v>
      </c>
      <c r="Q310">
        <v>0</v>
      </c>
      <c r="R310" t="s">
        <v>26</v>
      </c>
      <c r="S310">
        <v>2.5</v>
      </c>
      <c r="T310">
        <v>1</v>
      </c>
      <c r="U310">
        <v>485</v>
      </c>
    </row>
    <row r="311" spans="1:22" x14ac:dyDescent="0.45">
      <c r="A311" t="str">
        <f>"10162935"</f>
        <v>10162935</v>
      </c>
      <c r="B311" t="s">
        <v>22</v>
      </c>
      <c r="C311" s="1">
        <v>43578</v>
      </c>
      <c r="D311">
        <v>408500</v>
      </c>
      <c r="E311" t="s">
        <v>74</v>
      </c>
      <c r="F311">
        <v>1958</v>
      </c>
      <c r="G311">
        <v>2400</v>
      </c>
      <c r="H311" t="s">
        <v>95</v>
      </c>
      <c r="I311" t="str">
        <f t="shared" si="4"/>
        <v>25</v>
      </c>
      <c r="J311">
        <v>60025</v>
      </c>
      <c r="K311">
        <v>1787</v>
      </c>
      <c r="L311">
        <v>8</v>
      </c>
      <c r="M311">
        <v>2</v>
      </c>
      <c r="N311">
        <v>0</v>
      </c>
      <c r="O311" t="s">
        <v>25</v>
      </c>
      <c r="P311">
        <v>4</v>
      </c>
      <c r="Q311">
        <v>0</v>
      </c>
      <c r="R311" t="s">
        <v>26</v>
      </c>
      <c r="S311">
        <v>1.5</v>
      </c>
      <c r="U311">
        <v>483</v>
      </c>
    </row>
    <row r="312" spans="1:22" x14ac:dyDescent="0.45">
      <c r="A312" t="str">
        <f>"10810355"</f>
        <v>10810355</v>
      </c>
      <c r="B312" t="s">
        <v>22</v>
      </c>
      <c r="C312" s="1">
        <v>44109</v>
      </c>
      <c r="D312">
        <v>409500</v>
      </c>
      <c r="E312" t="s">
        <v>37</v>
      </c>
      <c r="F312">
        <v>1956</v>
      </c>
      <c r="G312">
        <v>2254</v>
      </c>
      <c r="H312" t="s">
        <v>95</v>
      </c>
      <c r="I312" t="str">
        <f t="shared" si="4"/>
        <v>25</v>
      </c>
      <c r="J312">
        <v>60025</v>
      </c>
      <c r="K312">
        <v>0</v>
      </c>
      <c r="L312">
        <v>8</v>
      </c>
      <c r="M312">
        <v>2</v>
      </c>
      <c r="N312">
        <v>0</v>
      </c>
      <c r="O312" t="s">
        <v>25</v>
      </c>
      <c r="P312">
        <v>4</v>
      </c>
      <c r="Q312">
        <v>0</v>
      </c>
      <c r="R312" t="s">
        <v>26</v>
      </c>
      <c r="S312">
        <v>2</v>
      </c>
      <c r="V312" t="s">
        <v>36</v>
      </c>
    </row>
    <row r="313" spans="1:22" x14ac:dyDescent="0.45">
      <c r="A313" t="str">
        <f>"10275196"</f>
        <v>10275196</v>
      </c>
      <c r="B313" t="s">
        <v>22</v>
      </c>
      <c r="C313" s="1">
        <v>43599</v>
      </c>
      <c r="D313">
        <v>410000</v>
      </c>
      <c r="E313" t="s">
        <v>74</v>
      </c>
      <c r="F313">
        <v>1959</v>
      </c>
      <c r="G313">
        <v>2936</v>
      </c>
      <c r="H313" t="s">
        <v>34</v>
      </c>
      <c r="I313" t="str">
        <f t="shared" si="4"/>
        <v>25</v>
      </c>
      <c r="J313">
        <v>60025</v>
      </c>
      <c r="K313">
        <v>0</v>
      </c>
      <c r="L313">
        <v>9</v>
      </c>
      <c r="M313">
        <v>2</v>
      </c>
      <c r="N313">
        <v>1</v>
      </c>
      <c r="O313" t="s">
        <v>25</v>
      </c>
      <c r="P313">
        <v>4</v>
      </c>
      <c r="Q313">
        <v>0</v>
      </c>
      <c r="R313" t="s">
        <v>26</v>
      </c>
      <c r="S313">
        <v>1</v>
      </c>
    </row>
    <row r="314" spans="1:22" x14ac:dyDescent="0.45">
      <c r="A314" t="str">
        <f>"10730248"</f>
        <v>10730248</v>
      </c>
      <c r="B314" t="s">
        <v>22</v>
      </c>
      <c r="C314" s="1">
        <v>44047</v>
      </c>
      <c r="D314">
        <v>410000</v>
      </c>
      <c r="E314" t="s">
        <v>37</v>
      </c>
      <c r="F314">
        <v>1958</v>
      </c>
      <c r="G314">
        <v>2911</v>
      </c>
      <c r="H314" t="s">
        <v>194</v>
      </c>
      <c r="I314" t="str">
        <f t="shared" si="4"/>
        <v>25</v>
      </c>
      <c r="J314">
        <v>60025</v>
      </c>
      <c r="K314">
        <v>1650</v>
      </c>
      <c r="L314">
        <v>8</v>
      </c>
      <c r="M314">
        <v>2</v>
      </c>
      <c r="N314">
        <v>1</v>
      </c>
      <c r="O314" t="s">
        <v>41</v>
      </c>
      <c r="P314">
        <v>4</v>
      </c>
      <c r="Q314">
        <v>0</v>
      </c>
      <c r="R314" t="s">
        <v>26</v>
      </c>
      <c r="S314">
        <v>2</v>
      </c>
    </row>
    <row r="315" spans="1:22" x14ac:dyDescent="0.45">
      <c r="A315" t="str">
        <f>"10304448"</f>
        <v>10304448</v>
      </c>
      <c r="B315" t="s">
        <v>22</v>
      </c>
      <c r="C315" s="1">
        <v>43605</v>
      </c>
      <c r="D315">
        <v>412000</v>
      </c>
      <c r="E315" t="s">
        <v>37</v>
      </c>
      <c r="F315">
        <v>1956</v>
      </c>
      <c r="G315">
        <v>620</v>
      </c>
      <c r="H315" t="s">
        <v>170</v>
      </c>
      <c r="I315" t="str">
        <f t="shared" si="4"/>
        <v>25</v>
      </c>
      <c r="J315">
        <v>60025</v>
      </c>
      <c r="K315">
        <v>1196</v>
      </c>
      <c r="L315">
        <v>7</v>
      </c>
      <c r="M315">
        <v>1</v>
      </c>
      <c r="N315">
        <v>1</v>
      </c>
      <c r="O315" t="s">
        <v>41</v>
      </c>
      <c r="P315">
        <v>3</v>
      </c>
      <c r="Q315">
        <v>0</v>
      </c>
      <c r="R315" t="s">
        <v>26</v>
      </c>
      <c r="S315">
        <v>1</v>
      </c>
      <c r="V315" t="s">
        <v>36</v>
      </c>
    </row>
    <row r="316" spans="1:22" x14ac:dyDescent="0.45">
      <c r="A316" t="str">
        <f>"10770055"</f>
        <v>10770055</v>
      </c>
      <c r="B316" t="s">
        <v>22</v>
      </c>
      <c r="C316" s="1">
        <v>44113</v>
      </c>
      <c r="D316">
        <v>412000</v>
      </c>
      <c r="E316" t="s">
        <v>60</v>
      </c>
      <c r="F316">
        <v>1950</v>
      </c>
      <c r="G316">
        <v>1205</v>
      </c>
      <c r="H316" t="s">
        <v>195</v>
      </c>
      <c r="I316" t="str">
        <f t="shared" si="4"/>
        <v>25</v>
      </c>
      <c r="J316">
        <v>60025</v>
      </c>
      <c r="K316">
        <v>1502</v>
      </c>
      <c r="L316">
        <v>8</v>
      </c>
      <c r="M316">
        <v>3</v>
      </c>
      <c r="N316">
        <v>0</v>
      </c>
      <c r="O316" t="s">
        <v>41</v>
      </c>
      <c r="P316">
        <v>5</v>
      </c>
      <c r="Q316">
        <v>0</v>
      </c>
      <c r="R316" t="s">
        <v>35</v>
      </c>
      <c r="S316">
        <v>2</v>
      </c>
    </row>
    <row r="317" spans="1:22" x14ac:dyDescent="0.45">
      <c r="A317" t="str">
        <f>"10545241"</f>
        <v>10545241</v>
      </c>
      <c r="B317" t="s">
        <v>22</v>
      </c>
      <c r="C317" s="1">
        <v>43973</v>
      </c>
      <c r="D317">
        <v>412000</v>
      </c>
      <c r="E317" t="s">
        <v>37</v>
      </c>
      <c r="F317">
        <v>1960</v>
      </c>
      <c r="G317">
        <v>317</v>
      </c>
      <c r="H317" t="s">
        <v>69</v>
      </c>
      <c r="I317" t="str">
        <f t="shared" si="4"/>
        <v>25</v>
      </c>
      <c r="J317">
        <v>60025</v>
      </c>
      <c r="K317">
        <v>1681</v>
      </c>
      <c r="L317">
        <v>8</v>
      </c>
      <c r="M317">
        <v>2</v>
      </c>
      <c r="N317">
        <v>0</v>
      </c>
      <c r="O317" t="s">
        <v>41</v>
      </c>
      <c r="P317">
        <v>3</v>
      </c>
      <c r="Q317">
        <v>0</v>
      </c>
      <c r="R317" t="s">
        <v>35</v>
      </c>
      <c r="S317">
        <v>3</v>
      </c>
    </row>
    <row r="318" spans="1:22" x14ac:dyDescent="0.45">
      <c r="A318" t="str">
        <f>"10791844"</f>
        <v>10791844</v>
      </c>
      <c r="B318" t="s">
        <v>22</v>
      </c>
      <c r="C318" s="1">
        <v>44138</v>
      </c>
      <c r="D318">
        <v>412500</v>
      </c>
      <c r="E318" t="s">
        <v>74</v>
      </c>
      <c r="F318">
        <v>1960</v>
      </c>
      <c r="G318">
        <v>627</v>
      </c>
      <c r="H318" t="s">
        <v>116</v>
      </c>
      <c r="I318" t="str">
        <f t="shared" si="4"/>
        <v>25</v>
      </c>
      <c r="J318">
        <v>60025</v>
      </c>
      <c r="K318">
        <v>2500</v>
      </c>
      <c r="L318">
        <v>11</v>
      </c>
      <c r="M318">
        <v>2</v>
      </c>
      <c r="N318">
        <v>0</v>
      </c>
      <c r="O318" t="s">
        <v>25</v>
      </c>
      <c r="P318">
        <v>4</v>
      </c>
      <c r="Q318">
        <v>0</v>
      </c>
      <c r="R318" t="s">
        <v>26</v>
      </c>
      <c r="S318">
        <v>1.5</v>
      </c>
    </row>
    <row r="319" spans="1:22" x14ac:dyDescent="0.45">
      <c r="A319" t="str">
        <f>"10269376"</f>
        <v>10269376</v>
      </c>
      <c r="B319" t="s">
        <v>22</v>
      </c>
      <c r="C319" s="1">
        <v>43572</v>
      </c>
      <c r="D319">
        <v>413500</v>
      </c>
      <c r="E319" t="s">
        <v>37</v>
      </c>
      <c r="F319">
        <v>1961</v>
      </c>
      <c r="G319">
        <v>936</v>
      </c>
      <c r="H319" t="s">
        <v>174</v>
      </c>
      <c r="I319" t="str">
        <f t="shared" si="4"/>
        <v>25</v>
      </c>
      <c r="J319">
        <v>60025</v>
      </c>
      <c r="K319">
        <v>1600</v>
      </c>
      <c r="L319">
        <v>9</v>
      </c>
      <c r="M319">
        <v>2</v>
      </c>
      <c r="N319">
        <v>1</v>
      </c>
      <c r="O319" t="s">
        <v>25</v>
      </c>
      <c r="P319">
        <v>4</v>
      </c>
      <c r="Q319">
        <v>0</v>
      </c>
      <c r="T319">
        <v>2</v>
      </c>
      <c r="V319" t="s">
        <v>71</v>
      </c>
    </row>
    <row r="320" spans="1:22" x14ac:dyDescent="0.45">
      <c r="A320" t="str">
        <f>"10374990"</f>
        <v>10374990</v>
      </c>
      <c r="B320" t="s">
        <v>22</v>
      </c>
      <c r="C320" s="1">
        <v>43654</v>
      </c>
      <c r="D320">
        <v>415000</v>
      </c>
      <c r="E320" t="s">
        <v>60</v>
      </c>
      <c r="F320">
        <v>1954</v>
      </c>
      <c r="G320">
        <v>111</v>
      </c>
      <c r="H320" t="s">
        <v>63</v>
      </c>
      <c r="I320" t="str">
        <f t="shared" si="4"/>
        <v>25</v>
      </c>
      <c r="J320">
        <v>60025</v>
      </c>
      <c r="K320">
        <v>928</v>
      </c>
      <c r="L320">
        <v>7</v>
      </c>
      <c r="M320">
        <v>1</v>
      </c>
      <c r="N320">
        <v>1</v>
      </c>
      <c r="O320" t="s">
        <v>25</v>
      </c>
      <c r="P320">
        <v>3</v>
      </c>
      <c r="Q320">
        <v>0</v>
      </c>
      <c r="R320" t="s">
        <v>35</v>
      </c>
      <c r="S320">
        <v>2.5</v>
      </c>
      <c r="V320" t="s">
        <v>196</v>
      </c>
    </row>
    <row r="321" spans="1:22" x14ac:dyDescent="0.45">
      <c r="A321" t="str">
        <f>"10918082"</f>
        <v>10918082</v>
      </c>
      <c r="B321" t="s">
        <v>22</v>
      </c>
      <c r="C321" s="1">
        <v>44202</v>
      </c>
      <c r="D321">
        <v>415000</v>
      </c>
      <c r="E321" t="s">
        <v>60</v>
      </c>
      <c r="F321" t="s">
        <v>29</v>
      </c>
      <c r="G321">
        <v>325</v>
      </c>
      <c r="H321" t="s">
        <v>89</v>
      </c>
      <c r="I321" t="str">
        <f t="shared" si="4"/>
        <v>25</v>
      </c>
      <c r="J321">
        <v>60025</v>
      </c>
      <c r="K321">
        <v>0</v>
      </c>
      <c r="L321">
        <v>9</v>
      </c>
      <c r="M321">
        <v>2</v>
      </c>
      <c r="N321">
        <v>0</v>
      </c>
      <c r="O321" t="s">
        <v>25</v>
      </c>
      <c r="P321">
        <v>4</v>
      </c>
      <c r="Q321">
        <v>0</v>
      </c>
      <c r="R321" t="s">
        <v>35</v>
      </c>
      <c r="S321">
        <v>2</v>
      </c>
    </row>
    <row r="322" spans="1:22" x14ac:dyDescent="0.45">
      <c r="A322" t="str">
        <f>"10540399"</f>
        <v>10540399</v>
      </c>
      <c r="B322" t="s">
        <v>22</v>
      </c>
      <c r="C322" s="1">
        <v>43913</v>
      </c>
      <c r="D322">
        <v>415000</v>
      </c>
      <c r="E322" t="s">
        <v>60</v>
      </c>
      <c r="F322" t="s">
        <v>29</v>
      </c>
      <c r="G322">
        <v>2140</v>
      </c>
      <c r="H322" t="s">
        <v>197</v>
      </c>
      <c r="I322" t="str">
        <f t="shared" ref="I322:I385" si="5">"25"</f>
        <v>25</v>
      </c>
      <c r="J322">
        <v>60025</v>
      </c>
      <c r="K322">
        <v>0</v>
      </c>
      <c r="L322">
        <v>8</v>
      </c>
      <c r="M322">
        <v>2</v>
      </c>
      <c r="N322">
        <v>0</v>
      </c>
      <c r="O322" t="s">
        <v>25</v>
      </c>
      <c r="P322">
        <v>4</v>
      </c>
      <c r="Q322">
        <v>0</v>
      </c>
      <c r="R322" t="s">
        <v>35</v>
      </c>
      <c r="S322">
        <v>2</v>
      </c>
      <c r="V322" t="s">
        <v>33</v>
      </c>
    </row>
    <row r="323" spans="1:22" x14ac:dyDescent="0.45">
      <c r="A323" t="str">
        <f>"10092003"</f>
        <v>10092003</v>
      </c>
      <c r="B323" t="s">
        <v>22</v>
      </c>
      <c r="C323" s="1">
        <v>43518</v>
      </c>
      <c r="D323">
        <v>415000</v>
      </c>
      <c r="E323" t="s">
        <v>23</v>
      </c>
      <c r="F323">
        <v>1957</v>
      </c>
      <c r="G323">
        <v>506</v>
      </c>
      <c r="H323" t="s">
        <v>159</v>
      </c>
      <c r="I323" t="str">
        <f t="shared" si="5"/>
        <v>25</v>
      </c>
      <c r="J323">
        <v>60025</v>
      </c>
      <c r="K323">
        <v>1707</v>
      </c>
      <c r="L323">
        <v>8</v>
      </c>
      <c r="M323">
        <v>2</v>
      </c>
      <c r="N323">
        <v>1</v>
      </c>
      <c r="O323" t="s">
        <v>41</v>
      </c>
      <c r="P323">
        <v>3</v>
      </c>
      <c r="Q323">
        <v>0</v>
      </c>
      <c r="R323" t="s">
        <v>26</v>
      </c>
      <c r="S323">
        <v>2</v>
      </c>
      <c r="V323" t="s">
        <v>27</v>
      </c>
    </row>
    <row r="324" spans="1:22" x14ac:dyDescent="0.45">
      <c r="A324" t="str">
        <f>"10631282"</f>
        <v>10631282</v>
      </c>
      <c r="B324" t="s">
        <v>22</v>
      </c>
      <c r="C324" s="1">
        <v>44035</v>
      </c>
      <c r="D324">
        <v>416900</v>
      </c>
      <c r="E324" t="s">
        <v>23</v>
      </c>
      <c r="F324">
        <v>1959</v>
      </c>
      <c r="G324">
        <v>1110</v>
      </c>
      <c r="H324" t="s">
        <v>198</v>
      </c>
      <c r="I324" t="str">
        <f t="shared" si="5"/>
        <v>25</v>
      </c>
      <c r="J324">
        <v>60025</v>
      </c>
      <c r="K324">
        <v>1313</v>
      </c>
      <c r="L324">
        <v>8</v>
      </c>
      <c r="M324">
        <v>2</v>
      </c>
      <c r="N324">
        <v>1</v>
      </c>
      <c r="O324" t="s">
        <v>41</v>
      </c>
      <c r="P324">
        <v>3</v>
      </c>
      <c r="Q324">
        <v>0</v>
      </c>
      <c r="R324" t="s">
        <v>26</v>
      </c>
      <c r="S324">
        <v>2</v>
      </c>
      <c r="V324" t="s">
        <v>27</v>
      </c>
    </row>
    <row r="325" spans="1:22" x14ac:dyDescent="0.45">
      <c r="A325" t="str">
        <f>"10365920"</f>
        <v>10365920</v>
      </c>
      <c r="B325" t="s">
        <v>22</v>
      </c>
      <c r="C325" s="1">
        <v>43633</v>
      </c>
      <c r="D325">
        <v>417000</v>
      </c>
      <c r="E325" t="s">
        <v>37</v>
      </c>
      <c r="F325">
        <v>1960</v>
      </c>
      <c r="G325">
        <v>1230</v>
      </c>
      <c r="H325" t="s">
        <v>122</v>
      </c>
      <c r="I325" t="str">
        <f t="shared" si="5"/>
        <v>25</v>
      </c>
      <c r="J325">
        <v>60025</v>
      </c>
      <c r="K325">
        <v>1137</v>
      </c>
      <c r="L325">
        <v>7</v>
      </c>
      <c r="M325">
        <v>2</v>
      </c>
      <c r="N325">
        <v>0</v>
      </c>
      <c r="O325" t="s">
        <v>41</v>
      </c>
      <c r="P325">
        <v>3</v>
      </c>
      <c r="Q325">
        <v>0</v>
      </c>
      <c r="R325" t="s">
        <v>26</v>
      </c>
      <c r="S325">
        <v>2</v>
      </c>
    </row>
    <row r="326" spans="1:22" x14ac:dyDescent="0.45">
      <c r="A326" t="str">
        <f>"10313679"</f>
        <v>10313679</v>
      </c>
      <c r="B326" t="s">
        <v>22</v>
      </c>
      <c r="C326" s="1">
        <v>43619</v>
      </c>
      <c r="D326">
        <v>418000</v>
      </c>
      <c r="E326" t="s">
        <v>60</v>
      </c>
      <c r="F326">
        <v>1954</v>
      </c>
      <c r="G326">
        <v>315</v>
      </c>
      <c r="H326" t="s">
        <v>89</v>
      </c>
      <c r="I326" t="str">
        <f t="shared" si="5"/>
        <v>25</v>
      </c>
      <c r="J326">
        <v>60025</v>
      </c>
      <c r="K326">
        <v>984</v>
      </c>
      <c r="L326">
        <v>7</v>
      </c>
      <c r="M326">
        <v>2</v>
      </c>
      <c r="N326">
        <v>0</v>
      </c>
      <c r="O326" t="s">
        <v>25</v>
      </c>
      <c r="P326">
        <v>3</v>
      </c>
      <c r="Q326">
        <v>0</v>
      </c>
      <c r="R326" t="s">
        <v>35</v>
      </c>
      <c r="S326">
        <v>2.5</v>
      </c>
      <c r="T326">
        <v>2</v>
      </c>
      <c r="U326">
        <v>984</v>
      </c>
      <c r="V326" t="s">
        <v>33</v>
      </c>
    </row>
    <row r="327" spans="1:22" x14ac:dyDescent="0.45">
      <c r="A327" t="str">
        <f>"10319222"</f>
        <v>10319222</v>
      </c>
      <c r="B327" t="s">
        <v>22</v>
      </c>
      <c r="C327" s="1">
        <v>43628</v>
      </c>
      <c r="D327">
        <v>420000</v>
      </c>
      <c r="E327" t="s">
        <v>60</v>
      </c>
      <c r="F327">
        <v>1951</v>
      </c>
      <c r="G327">
        <v>11</v>
      </c>
      <c r="H327" t="s">
        <v>160</v>
      </c>
      <c r="I327" t="str">
        <f t="shared" si="5"/>
        <v>25</v>
      </c>
      <c r="J327">
        <v>60025</v>
      </c>
      <c r="K327">
        <v>0</v>
      </c>
      <c r="L327">
        <v>8</v>
      </c>
      <c r="M327">
        <v>2</v>
      </c>
      <c r="N327">
        <v>0</v>
      </c>
      <c r="O327" t="s">
        <v>25</v>
      </c>
      <c r="P327">
        <v>3</v>
      </c>
      <c r="Q327">
        <v>0</v>
      </c>
      <c r="R327" t="s">
        <v>26</v>
      </c>
      <c r="S327">
        <v>1</v>
      </c>
    </row>
    <row r="328" spans="1:22" x14ac:dyDescent="0.45">
      <c r="A328" t="str">
        <f>"10388423"</f>
        <v>10388423</v>
      </c>
      <c r="B328" t="s">
        <v>22</v>
      </c>
      <c r="C328" s="1">
        <v>43672</v>
      </c>
      <c r="D328">
        <v>420000</v>
      </c>
      <c r="E328" t="s">
        <v>60</v>
      </c>
      <c r="F328">
        <v>1941</v>
      </c>
      <c r="G328">
        <v>914</v>
      </c>
      <c r="H328" t="s">
        <v>128</v>
      </c>
      <c r="I328" t="str">
        <f t="shared" si="5"/>
        <v>25</v>
      </c>
      <c r="J328">
        <v>60025</v>
      </c>
      <c r="K328">
        <v>2017</v>
      </c>
      <c r="L328">
        <v>8</v>
      </c>
      <c r="M328">
        <v>3</v>
      </c>
      <c r="N328">
        <v>0</v>
      </c>
      <c r="O328" t="s">
        <v>25</v>
      </c>
      <c r="P328">
        <v>4</v>
      </c>
      <c r="Q328">
        <v>0</v>
      </c>
      <c r="R328" t="s">
        <v>26</v>
      </c>
      <c r="S328">
        <v>2</v>
      </c>
    </row>
    <row r="329" spans="1:22" x14ac:dyDescent="0.45">
      <c r="A329" t="str">
        <f>"10762316"</f>
        <v>10762316</v>
      </c>
      <c r="B329" t="s">
        <v>22</v>
      </c>
      <c r="C329" s="1">
        <v>44069</v>
      </c>
      <c r="D329">
        <v>420000</v>
      </c>
      <c r="E329" t="s">
        <v>60</v>
      </c>
      <c r="F329">
        <v>1976</v>
      </c>
      <c r="G329">
        <v>1630</v>
      </c>
      <c r="H329" t="s">
        <v>199</v>
      </c>
      <c r="I329" t="str">
        <f t="shared" si="5"/>
        <v>25</v>
      </c>
      <c r="J329">
        <v>60025</v>
      </c>
      <c r="K329">
        <v>1996</v>
      </c>
      <c r="L329">
        <v>8</v>
      </c>
      <c r="M329">
        <v>2</v>
      </c>
      <c r="N329">
        <v>1</v>
      </c>
      <c r="O329" t="s">
        <v>25</v>
      </c>
      <c r="P329">
        <v>4</v>
      </c>
      <c r="Q329">
        <v>0</v>
      </c>
      <c r="R329" t="s">
        <v>26</v>
      </c>
      <c r="S329">
        <v>2</v>
      </c>
    </row>
    <row r="330" spans="1:22" x14ac:dyDescent="0.45">
      <c r="A330" t="str">
        <f>"10821011"</f>
        <v>10821011</v>
      </c>
      <c r="B330" t="s">
        <v>22</v>
      </c>
      <c r="C330" s="1">
        <v>44104</v>
      </c>
      <c r="D330">
        <v>420000</v>
      </c>
      <c r="E330" t="s">
        <v>60</v>
      </c>
      <c r="F330">
        <v>1955</v>
      </c>
      <c r="G330">
        <v>1909</v>
      </c>
      <c r="H330" t="s">
        <v>127</v>
      </c>
      <c r="I330" t="str">
        <f t="shared" si="5"/>
        <v>25</v>
      </c>
      <c r="J330">
        <v>60025</v>
      </c>
      <c r="K330">
        <v>0</v>
      </c>
      <c r="L330">
        <v>11</v>
      </c>
      <c r="M330">
        <v>3</v>
      </c>
      <c r="N330">
        <v>1</v>
      </c>
      <c r="O330" t="s">
        <v>41</v>
      </c>
      <c r="P330">
        <v>5</v>
      </c>
      <c r="Q330">
        <v>2</v>
      </c>
      <c r="R330" t="s">
        <v>35</v>
      </c>
      <c r="S330">
        <v>2</v>
      </c>
    </row>
    <row r="331" spans="1:22" x14ac:dyDescent="0.45">
      <c r="A331" t="str">
        <f>"10453295"</f>
        <v>10453295</v>
      </c>
      <c r="B331" t="s">
        <v>22</v>
      </c>
      <c r="C331" s="1">
        <v>43840</v>
      </c>
      <c r="D331">
        <v>420000</v>
      </c>
      <c r="E331" t="s">
        <v>31</v>
      </c>
      <c r="F331">
        <v>1959</v>
      </c>
      <c r="G331">
        <v>1205</v>
      </c>
      <c r="H331" t="s">
        <v>101</v>
      </c>
      <c r="I331" t="str">
        <f t="shared" si="5"/>
        <v>25</v>
      </c>
      <c r="J331">
        <v>60025</v>
      </c>
      <c r="K331">
        <v>0</v>
      </c>
      <c r="L331">
        <v>9</v>
      </c>
      <c r="M331">
        <v>2</v>
      </c>
      <c r="N331">
        <v>0</v>
      </c>
      <c r="O331" t="s">
        <v>41</v>
      </c>
      <c r="P331">
        <v>3</v>
      </c>
      <c r="Q331">
        <v>0</v>
      </c>
      <c r="R331" t="s">
        <v>35</v>
      </c>
      <c r="S331">
        <v>2</v>
      </c>
    </row>
    <row r="332" spans="1:22" x14ac:dyDescent="0.45">
      <c r="A332" t="str">
        <f>"10481315"</f>
        <v>10481315</v>
      </c>
      <c r="B332" t="s">
        <v>22</v>
      </c>
      <c r="C332" s="1">
        <v>43741</v>
      </c>
      <c r="D332">
        <v>420000</v>
      </c>
      <c r="E332" t="s">
        <v>37</v>
      </c>
      <c r="F332">
        <v>1968</v>
      </c>
      <c r="G332">
        <v>3038</v>
      </c>
      <c r="H332" t="s">
        <v>168</v>
      </c>
      <c r="I332" t="str">
        <f t="shared" si="5"/>
        <v>25</v>
      </c>
      <c r="J332">
        <v>60026</v>
      </c>
      <c r="K332">
        <v>2256</v>
      </c>
      <c r="L332">
        <v>12</v>
      </c>
      <c r="M332">
        <v>5</v>
      </c>
      <c r="N332">
        <v>1</v>
      </c>
      <c r="O332" t="s">
        <v>41</v>
      </c>
      <c r="P332">
        <v>6</v>
      </c>
      <c r="Q332">
        <v>0</v>
      </c>
      <c r="R332" t="s">
        <v>26</v>
      </c>
      <c r="S332">
        <v>2</v>
      </c>
    </row>
    <row r="333" spans="1:22" x14ac:dyDescent="0.45">
      <c r="A333" t="str">
        <f>"10779576"</f>
        <v>10779576</v>
      </c>
      <c r="B333" t="s">
        <v>22</v>
      </c>
      <c r="C333" s="1">
        <v>44181</v>
      </c>
      <c r="D333">
        <v>420000</v>
      </c>
      <c r="E333" t="s">
        <v>31</v>
      </c>
      <c r="F333">
        <v>1953</v>
      </c>
      <c r="G333">
        <v>247</v>
      </c>
      <c r="H333" t="s">
        <v>56</v>
      </c>
      <c r="I333" t="str">
        <f t="shared" si="5"/>
        <v>25</v>
      </c>
      <c r="J333">
        <v>60025</v>
      </c>
      <c r="K333">
        <v>1372</v>
      </c>
      <c r="L333">
        <v>8</v>
      </c>
      <c r="M333">
        <v>3</v>
      </c>
      <c r="N333">
        <v>0</v>
      </c>
      <c r="O333" t="s">
        <v>25</v>
      </c>
      <c r="P333">
        <v>3</v>
      </c>
      <c r="Q333">
        <v>1</v>
      </c>
      <c r="R333" t="s">
        <v>35</v>
      </c>
      <c r="S333">
        <v>2</v>
      </c>
    </row>
    <row r="334" spans="1:22" x14ac:dyDescent="0.45">
      <c r="A334" t="str">
        <f>"10589158"</f>
        <v>10589158</v>
      </c>
      <c r="B334" t="s">
        <v>22</v>
      </c>
      <c r="C334" s="1">
        <v>43882</v>
      </c>
      <c r="D334">
        <v>420000</v>
      </c>
      <c r="E334" t="s">
        <v>23</v>
      </c>
      <c r="F334">
        <v>1957</v>
      </c>
      <c r="G334">
        <v>2212</v>
      </c>
      <c r="H334" t="s">
        <v>34</v>
      </c>
      <c r="I334" t="str">
        <f t="shared" si="5"/>
        <v>25</v>
      </c>
      <c r="J334">
        <v>60025</v>
      </c>
      <c r="K334">
        <v>0</v>
      </c>
      <c r="L334">
        <v>6</v>
      </c>
      <c r="M334">
        <v>2</v>
      </c>
      <c r="N334">
        <v>0</v>
      </c>
      <c r="O334" t="s">
        <v>41</v>
      </c>
      <c r="P334">
        <v>3</v>
      </c>
      <c r="Q334">
        <v>0</v>
      </c>
      <c r="R334" t="s">
        <v>35</v>
      </c>
      <c r="S334">
        <v>2</v>
      </c>
      <c r="V334" t="s">
        <v>27</v>
      </c>
    </row>
    <row r="335" spans="1:22" x14ac:dyDescent="0.45">
      <c r="A335" t="str">
        <f>"10121789"</f>
        <v>10121789</v>
      </c>
      <c r="B335" t="s">
        <v>22</v>
      </c>
      <c r="C335" s="1">
        <v>43497</v>
      </c>
      <c r="D335">
        <v>421000</v>
      </c>
      <c r="E335" t="s">
        <v>60</v>
      </c>
      <c r="F335" t="s">
        <v>29</v>
      </c>
      <c r="G335">
        <v>1736</v>
      </c>
      <c r="H335" t="s">
        <v>200</v>
      </c>
      <c r="I335" t="str">
        <f t="shared" si="5"/>
        <v>25</v>
      </c>
      <c r="J335">
        <v>60025</v>
      </c>
      <c r="K335">
        <v>0</v>
      </c>
      <c r="L335">
        <v>11</v>
      </c>
      <c r="M335">
        <v>2</v>
      </c>
      <c r="N335">
        <v>0</v>
      </c>
      <c r="O335" t="s">
        <v>25</v>
      </c>
      <c r="P335">
        <v>4</v>
      </c>
      <c r="Q335">
        <v>0</v>
      </c>
      <c r="R335" t="s">
        <v>35</v>
      </c>
      <c r="S335">
        <v>2.5</v>
      </c>
    </row>
    <row r="336" spans="1:22" x14ac:dyDescent="0.45">
      <c r="A336" t="str">
        <f>"10267111"</f>
        <v>10267111</v>
      </c>
      <c r="B336" t="s">
        <v>22</v>
      </c>
      <c r="C336" s="1">
        <v>43682</v>
      </c>
      <c r="D336">
        <v>421500</v>
      </c>
      <c r="E336" t="s">
        <v>148</v>
      </c>
      <c r="F336">
        <v>1947</v>
      </c>
      <c r="G336">
        <v>3500</v>
      </c>
      <c r="H336" t="s">
        <v>81</v>
      </c>
      <c r="I336" t="str">
        <f t="shared" si="5"/>
        <v>25</v>
      </c>
      <c r="J336">
        <v>60025</v>
      </c>
      <c r="K336">
        <v>2340</v>
      </c>
      <c r="L336">
        <v>7</v>
      </c>
      <c r="M336">
        <v>2</v>
      </c>
      <c r="N336">
        <v>0</v>
      </c>
      <c r="O336" t="s">
        <v>25</v>
      </c>
      <c r="P336">
        <v>4</v>
      </c>
      <c r="Q336">
        <v>0</v>
      </c>
      <c r="R336" t="s">
        <v>26</v>
      </c>
      <c r="S336">
        <v>2</v>
      </c>
      <c r="V336" t="s">
        <v>148</v>
      </c>
    </row>
    <row r="337" spans="1:22" x14ac:dyDescent="0.45">
      <c r="A337" t="str">
        <f>"10775602"</f>
        <v>10775602</v>
      </c>
      <c r="B337" t="s">
        <v>22</v>
      </c>
      <c r="C337" s="1">
        <v>44099</v>
      </c>
      <c r="D337">
        <v>422350</v>
      </c>
      <c r="E337" t="s">
        <v>37</v>
      </c>
      <c r="F337">
        <v>1957</v>
      </c>
      <c r="G337">
        <v>1101</v>
      </c>
      <c r="H337" t="s">
        <v>173</v>
      </c>
      <c r="I337" t="str">
        <f t="shared" si="5"/>
        <v>25</v>
      </c>
      <c r="J337">
        <v>60025</v>
      </c>
      <c r="K337">
        <v>1351</v>
      </c>
      <c r="L337">
        <v>7</v>
      </c>
      <c r="M337">
        <v>2</v>
      </c>
      <c r="N337">
        <v>1</v>
      </c>
      <c r="O337" t="s">
        <v>41</v>
      </c>
      <c r="P337">
        <v>3</v>
      </c>
      <c r="Q337">
        <v>0</v>
      </c>
      <c r="R337" t="s">
        <v>35</v>
      </c>
      <c r="S337">
        <v>2.5</v>
      </c>
      <c r="V337" t="s">
        <v>36</v>
      </c>
    </row>
    <row r="338" spans="1:22" x14ac:dyDescent="0.45">
      <c r="A338" t="str">
        <f>"10346188"</f>
        <v>10346188</v>
      </c>
      <c r="B338" t="s">
        <v>22</v>
      </c>
      <c r="C338" s="1">
        <v>43629</v>
      </c>
      <c r="D338">
        <v>424000</v>
      </c>
      <c r="E338" t="s">
        <v>60</v>
      </c>
      <c r="F338">
        <v>1950</v>
      </c>
      <c r="G338">
        <v>107</v>
      </c>
      <c r="H338" t="s">
        <v>63</v>
      </c>
      <c r="I338" t="str">
        <f t="shared" si="5"/>
        <v>25</v>
      </c>
      <c r="J338">
        <v>60025</v>
      </c>
      <c r="K338">
        <v>2016</v>
      </c>
      <c r="L338">
        <v>9</v>
      </c>
      <c r="M338">
        <v>2</v>
      </c>
      <c r="N338">
        <v>0</v>
      </c>
      <c r="O338" t="s">
        <v>25</v>
      </c>
      <c r="P338">
        <v>3</v>
      </c>
      <c r="Q338">
        <v>1</v>
      </c>
      <c r="R338" t="s">
        <v>35</v>
      </c>
      <c r="S338">
        <v>1</v>
      </c>
    </row>
    <row r="339" spans="1:22" x14ac:dyDescent="0.45">
      <c r="A339" t="str">
        <f>"10266984"</f>
        <v>10266984</v>
      </c>
      <c r="B339" t="s">
        <v>22</v>
      </c>
      <c r="C339" s="1">
        <v>43566</v>
      </c>
      <c r="D339">
        <v>425000</v>
      </c>
      <c r="E339" t="s">
        <v>23</v>
      </c>
      <c r="F339">
        <v>1953</v>
      </c>
      <c r="G339">
        <v>848</v>
      </c>
      <c r="H339" t="s">
        <v>201</v>
      </c>
      <c r="I339" t="str">
        <f t="shared" si="5"/>
        <v>25</v>
      </c>
      <c r="J339">
        <v>60025</v>
      </c>
      <c r="K339">
        <v>1730</v>
      </c>
      <c r="L339">
        <v>9</v>
      </c>
      <c r="M339">
        <v>2</v>
      </c>
      <c r="N339">
        <v>0</v>
      </c>
      <c r="O339" t="s">
        <v>41</v>
      </c>
      <c r="P339">
        <v>3</v>
      </c>
      <c r="Q339">
        <v>0</v>
      </c>
      <c r="R339" t="s">
        <v>35</v>
      </c>
      <c r="S339">
        <v>2</v>
      </c>
      <c r="V339" t="s">
        <v>27</v>
      </c>
    </row>
    <row r="340" spans="1:22" x14ac:dyDescent="0.45">
      <c r="A340" t="str">
        <f>"10137499"</f>
        <v>10137499</v>
      </c>
      <c r="B340" t="s">
        <v>22</v>
      </c>
      <c r="C340" s="1">
        <v>43494</v>
      </c>
      <c r="D340">
        <v>425000</v>
      </c>
      <c r="E340" t="s">
        <v>60</v>
      </c>
      <c r="F340">
        <v>1956</v>
      </c>
      <c r="G340">
        <v>914</v>
      </c>
      <c r="H340" t="s">
        <v>202</v>
      </c>
      <c r="I340" t="str">
        <f t="shared" si="5"/>
        <v>25</v>
      </c>
      <c r="J340">
        <v>60025</v>
      </c>
      <c r="K340">
        <v>1397</v>
      </c>
      <c r="L340">
        <v>7</v>
      </c>
      <c r="M340">
        <v>2</v>
      </c>
      <c r="N340">
        <v>0</v>
      </c>
      <c r="O340" t="s">
        <v>41</v>
      </c>
      <c r="P340">
        <v>3</v>
      </c>
      <c r="Q340">
        <v>0</v>
      </c>
      <c r="R340" t="s">
        <v>35</v>
      </c>
      <c r="S340">
        <v>2</v>
      </c>
      <c r="V340" t="s">
        <v>36</v>
      </c>
    </row>
    <row r="341" spans="1:22" x14ac:dyDescent="0.45">
      <c r="A341" t="str">
        <f>"10709409"</f>
        <v>10709409</v>
      </c>
      <c r="B341" t="s">
        <v>22</v>
      </c>
      <c r="C341" s="1">
        <v>44032</v>
      </c>
      <c r="D341">
        <v>425000</v>
      </c>
      <c r="E341" t="s">
        <v>23</v>
      </c>
      <c r="F341">
        <v>1955</v>
      </c>
      <c r="G341">
        <v>1333</v>
      </c>
      <c r="H341" t="s">
        <v>180</v>
      </c>
      <c r="I341" t="str">
        <f t="shared" si="5"/>
        <v>25</v>
      </c>
      <c r="J341">
        <v>60025</v>
      </c>
      <c r="K341">
        <v>0</v>
      </c>
      <c r="L341">
        <v>10</v>
      </c>
      <c r="M341">
        <v>2</v>
      </c>
      <c r="N341">
        <v>1</v>
      </c>
      <c r="O341" t="s">
        <v>41</v>
      </c>
      <c r="P341">
        <v>3</v>
      </c>
      <c r="Q341">
        <v>1</v>
      </c>
      <c r="R341" t="s">
        <v>26</v>
      </c>
      <c r="S341">
        <v>2</v>
      </c>
      <c r="V341" t="s">
        <v>27</v>
      </c>
    </row>
    <row r="342" spans="1:22" x14ac:dyDescent="0.45">
      <c r="A342" t="str">
        <f>"10351331"</f>
        <v>10351331</v>
      </c>
      <c r="B342" t="s">
        <v>22</v>
      </c>
      <c r="C342" s="1">
        <v>43644</v>
      </c>
      <c r="D342">
        <v>425000</v>
      </c>
      <c r="E342" t="s">
        <v>37</v>
      </c>
      <c r="F342">
        <v>1968</v>
      </c>
      <c r="G342">
        <v>2234</v>
      </c>
      <c r="H342" t="s">
        <v>203</v>
      </c>
      <c r="I342" t="str">
        <f t="shared" si="5"/>
        <v>25</v>
      </c>
      <c r="J342">
        <v>60026</v>
      </c>
      <c r="K342">
        <v>0</v>
      </c>
      <c r="L342">
        <v>7</v>
      </c>
      <c r="M342">
        <v>2</v>
      </c>
      <c r="N342">
        <v>0</v>
      </c>
      <c r="O342" t="s">
        <v>25</v>
      </c>
      <c r="P342">
        <v>3</v>
      </c>
      <c r="Q342">
        <v>0</v>
      </c>
      <c r="R342" t="s">
        <v>26</v>
      </c>
      <c r="S342">
        <v>2</v>
      </c>
    </row>
    <row r="343" spans="1:22" x14ac:dyDescent="0.45">
      <c r="A343" t="str">
        <f>"10573620"</f>
        <v>10573620</v>
      </c>
      <c r="B343" t="s">
        <v>22</v>
      </c>
      <c r="C343" s="1">
        <v>43808</v>
      </c>
      <c r="D343">
        <v>425000</v>
      </c>
      <c r="E343" t="s">
        <v>60</v>
      </c>
      <c r="F343">
        <v>1955</v>
      </c>
      <c r="G343">
        <v>3119</v>
      </c>
      <c r="H343" t="s">
        <v>204</v>
      </c>
      <c r="I343" t="str">
        <f t="shared" si="5"/>
        <v>25</v>
      </c>
      <c r="J343">
        <v>60025</v>
      </c>
      <c r="K343">
        <v>2600</v>
      </c>
      <c r="L343">
        <v>10</v>
      </c>
      <c r="M343">
        <v>3</v>
      </c>
      <c r="N343">
        <v>0</v>
      </c>
      <c r="P343">
        <v>4</v>
      </c>
      <c r="Q343">
        <v>0</v>
      </c>
      <c r="R343" t="s">
        <v>35</v>
      </c>
      <c r="S343">
        <v>2</v>
      </c>
    </row>
    <row r="344" spans="1:22" x14ac:dyDescent="0.45">
      <c r="A344" t="str">
        <f>"10839477"</f>
        <v>10839477</v>
      </c>
      <c r="B344" t="s">
        <v>22</v>
      </c>
      <c r="C344" s="1">
        <v>44132</v>
      </c>
      <c r="D344">
        <v>425000</v>
      </c>
      <c r="E344" t="s">
        <v>23</v>
      </c>
      <c r="F344">
        <v>1965</v>
      </c>
      <c r="G344">
        <v>516</v>
      </c>
      <c r="H344" t="s">
        <v>80</v>
      </c>
      <c r="I344" t="str">
        <f t="shared" si="5"/>
        <v>25</v>
      </c>
      <c r="J344">
        <v>60025</v>
      </c>
      <c r="K344">
        <v>2432</v>
      </c>
      <c r="L344">
        <v>10</v>
      </c>
      <c r="M344">
        <v>3</v>
      </c>
      <c r="N344">
        <v>0</v>
      </c>
      <c r="O344" t="s">
        <v>41</v>
      </c>
      <c r="P344">
        <v>3</v>
      </c>
      <c r="Q344">
        <v>1</v>
      </c>
      <c r="R344" t="s">
        <v>26</v>
      </c>
      <c r="S344">
        <v>2</v>
      </c>
      <c r="V344" t="s">
        <v>27</v>
      </c>
    </row>
    <row r="345" spans="1:22" x14ac:dyDescent="0.45">
      <c r="A345" t="str">
        <f>"10782867"</f>
        <v>10782867</v>
      </c>
      <c r="B345" t="s">
        <v>22</v>
      </c>
      <c r="C345" s="1">
        <v>44088</v>
      </c>
      <c r="D345">
        <v>425000</v>
      </c>
      <c r="E345" t="s">
        <v>60</v>
      </c>
      <c r="F345">
        <v>1951</v>
      </c>
      <c r="G345">
        <v>1934</v>
      </c>
      <c r="H345" t="s">
        <v>181</v>
      </c>
      <c r="I345" t="str">
        <f t="shared" si="5"/>
        <v>25</v>
      </c>
      <c r="J345">
        <v>60025</v>
      </c>
      <c r="K345">
        <v>1674</v>
      </c>
      <c r="L345">
        <v>8</v>
      </c>
      <c r="M345">
        <v>1</v>
      </c>
      <c r="N345">
        <v>1</v>
      </c>
      <c r="O345" t="s">
        <v>25</v>
      </c>
      <c r="P345">
        <v>3</v>
      </c>
      <c r="Q345">
        <v>0</v>
      </c>
      <c r="R345" t="s">
        <v>26</v>
      </c>
      <c r="S345">
        <v>1</v>
      </c>
    </row>
    <row r="346" spans="1:22" x14ac:dyDescent="0.45">
      <c r="A346" t="str">
        <f>"10696495"</f>
        <v>10696495</v>
      </c>
      <c r="B346" t="s">
        <v>22</v>
      </c>
      <c r="C346" s="1">
        <v>44049</v>
      </c>
      <c r="D346">
        <v>425000</v>
      </c>
      <c r="E346" t="s">
        <v>23</v>
      </c>
      <c r="F346">
        <v>1957</v>
      </c>
      <c r="G346">
        <v>1341</v>
      </c>
      <c r="H346" t="s">
        <v>178</v>
      </c>
      <c r="I346" t="str">
        <f t="shared" si="5"/>
        <v>25</v>
      </c>
      <c r="J346">
        <v>60025</v>
      </c>
      <c r="K346">
        <v>1800</v>
      </c>
      <c r="L346">
        <v>8</v>
      </c>
      <c r="M346">
        <v>1</v>
      </c>
      <c r="N346">
        <v>1</v>
      </c>
      <c r="O346" t="s">
        <v>25</v>
      </c>
      <c r="P346">
        <v>3</v>
      </c>
      <c r="Q346">
        <v>0</v>
      </c>
      <c r="R346" t="s">
        <v>26</v>
      </c>
      <c r="S346">
        <v>1.5</v>
      </c>
    </row>
    <row r="347" spans="1:22" x14ac:dyDescent="0.45">
      <c r="A347" t="str">
        <f>"10320678"</f>
        <v>10320678</v>
      </c>
      <c r="B347" t="s">
        <v>22</v>
      </c>
      <c r="C347" s="1">
        <v>43616</v>
      </c>
      <c r="D347">
        <v>425000</v>
      </c>
      <c r="E347" t="s">
        <v>37</v>
      </c>
      <c r="F347">
        <v>1954</v>
      </c>
      <c r="G347">
        <v>1240</v>
      </c>
      <c r="H347" t="s">
        <v>205</v>
      </c>
      <c r="I347" t="str">
        <f t="shared" si="5"/>
        <v>25</v>
      </c>
      <c r="J347">
        <v>60025</v>
      </c>
      <c r="K347">
        <v>1500</v>
      </c>
      <c r="L347">
        <v>8</v>
      </c>
      <c r="M347">
        <v>1</v>
      </c>
      <c r="N347">
        <v>1</v>
      </c>
      <c r="O347" t="s">
        <v>25</v>
      </c>
      <c r="P347">
        <v>3</v>
      </c>
      <c r="Q347">
        <v>0</v>
      </c>
      <c r="R347" t="s">
        <v>35</v>
      </c>
      <c r="S347">
        <v>2.5</v>
      </c>
      <c r="V347" t="s">
        <v>71</v>
      </c>
    </row>
    <row r="348" spans="1:22" x14ac:dyDescent="0.45">
      <c r="A348" t="str">
        <f>"10486135"</f>
        <v>10486135</v>
      </c>
      <c r="B348" t="s">
        <v>22</v>
      </c>
      <c r="C348" s="1">
        <v>43892</v>
      </c>
      <c r="D348">
        <v>425000</v>
      </c>
      <c r="E348" t="s">
        <v>37</v>
      </c>
      <c r="F348">
        <v>1958</v>
      </c>
      <c r="G348">
        <v>3825</v>
      </c>
      <c r="H348" t="s">
        <v>131</v>
      </c>
      <c r="I348" t="str">
        <f t="shared" si="5"/>
        <v>25</v>
      </c>
      <c r="J348">
        <v>60025</v>
      </c>
      <c r="K348">
        <v>2100</v>
      </c>
      <c r="L348">
        <v>9</v>
      </c>
      <c r="M348">
        <v>2</v>
      </c>
      <c r="N348">
        <v>1</v>
      </c>
      <c r="O348" t="s">
        <v>25</v>
      </c>
      <c r="P348">
        <v>4</v>
      </c>
      <c r="Q348">
        <v>0</v>
      </c>
      <c r="R348" t="s">
        <v>26</v>
      </c>
      <c r="S348">
        <v>2</v>
      </c>
    </row>
    <row r="349" spans="1:22" x14ac:dyDescent="0.45">
      <c r="A349" t="str">
        <f>"10802296"</f>
        <v>10802296</v>
      </c>
      <c r="B349" t="s">
        <v>22</v>
      </c>
      <c r="C349" s="1">
        <v>44067</v>
      </c>
      <c r="D349">
        <v>425500</v>
      </c>
      <c r="E349" t="s">
        <v>31</v>
      </c>
      <c r="F349">
        <v>1955</v>
      </c>
      <c r="G349">
        <v>3215</v>
      </c>
      <c r="H349" t="s">
        <v>206</v>
      </c>
      <c r="I349" t="str">
        <f t="shared" si="5"/>
        <v>25</v>
      </c>
      <c r="J349">
        <v>60025</v>
      </c>
      <c r="K349">
        <v>1780</v>
      </c>
      <c r="L349">
        <v>7</v>
      </c>
      <c r="M349">
        <v>3</v>
      </c>
      <c r="N349">
        <v>0</v>
      </c>
      <c r="O349" t="s">
        <v>25</v>
      </c>
      <c r="P349">
        <v>3</v>
      </c>
      <c r="Q349">
        <v>0</v>
      </c>
      <c r="R349" t="s">
        <v>26</v>
      </c>
      <c r="S349">
        <v>2.5</v>
      </c>
      <c r="V349" t="s">
        <v>33</v>
      </c>
    </row>
    <row r="350" spans="1:22" x14ac:dyDescent="0.45">
      <c r="A350" t="str">
        <f>"10597531"</f>
        <v>10597531</v>
      </c>
      <c r="B350" t="s">
        <v>22</v>
      </c>
      <c r="C350" s="1">
        <v>43917</v>
      </c>
      <c r="D350">
        <v>426000</v>
      </c>
      <c r="E350" t="s">
        <v>74</v>
      </c>
      <c r="F350">
        <v>1958</v>
      </c>
      <c r="G350">
        <v>107</v>
      </c>
      <c r="H350" t="s">
        <v>113</v>
      </c>
      <c r="I350" t="str">
        <f t="shared" si="5"/>
        <v>25</v>
      </c>
      <c r="J350">
        <v>60025</v>
      </c>
      <c r="K350">
        <v>1529</v>
      </c>
      <c r="L350">
        <v>8</v>
      </c>
      <c r="M350">
        <v>2</v>
      </c>
      <c r="N350">
        <v>0</v>
      </c>
      <c r="O350" t="s">
        <v>25</v>
      </c>
      <c r="P350">
        <v>4</v>
      </c>
      <c r="Q350">
        <v>0</v>
      </c>
      <c r="R350" t="s">
        <v>26</v>
      </c>
      <c r="S350">
        <v>1</v>
      </c>
      <c r="U350">
        <v>464</v>
      </c>
    </row>
    <row r="351" spans="1:22" x14ac:dyDescent="0.45">
      <c r="A351" t="str">
        <f>"10441522"</f>
        <v>10441522</v>
      </c>
      <c r="B351" t="s">
        <v>22</v>
      </c>
      <c r="C351" s="1">
        <v>43693</v>
      </c>
      <c r="D351">
        <v>427500</v>
      </c>
      <c r="E351" t="s">
        <v>74</v>
      </c>
      <c r="F351">
        <v>1964</v>
      </c>
      <c r="G351">
        <v>401</v>
      </c>
      <c r="H351" t="s">
        <v>63</v>
      </c>
      <c r="I351" t="str">
        <f t="shared" si="5"/>
        <v>25</v>
      </c>
      <c r="J351">
        <v>60025</v>
      </c>
      <c r="K351">
        <v>2030</v>
      </c>
      <c r="L351">
        <v>7</v>
      </c>
      <c r="M351">
        <v>2</v>
      </c>
      <c r="N351">
        <v>0</v>
      </c>
      <c r="O351" t="s">
        <v>25</v>
      </c>
      <c r="P351">
        <v>3</v>
      </c>
      <c r="Q351">
        <v>0</v>
      </c>
      <c r="R351" t="s">
        <v>26</v>
      </c>
      <c r="S351">
        <v>2</v>
      </c>
      <c r="V351" t="s">
        <v>36</v>
      </c>
    </row>
    <row r="352" spans="1:22" x14ac:dyDescent="0.45">
      <c r="A352" t="str">
        <f>"10267871"</f>
        <v>10267871</v>
      </c>
      <c r="B352" t="s">
        <v>22</v>
      </c>
      <c r="C352" s="1">
        <v>43608</v>
      </c>
      <c r="D352">
        <v>428400</v>
      </c>
      <c r="E352" t="s">
        <v>23</v>
      </c>
      <c r="F352">
        <v>1962</v>
      </c>
      <c r="G352">
        <v>230</v>
      </c>
      <c r="H352" t="s">
        <v>107</v>
      </c>
      <c r="I352" t="str">
        <f t="shared" si="5"/>
        <v>25</v>
      </c>
      <c r="J352">
        <v>60025</v>
      </c>
      <c r="K352">
        <v>2471</v>
      </c>
      <c r="L352">
        <v>13</v>
      </c>
      <c r="M352">
        <v>3</v>
      </c>
      <c r="N352">
        <v>0</v>
      </c>
      <c r="O352" t="s">
        <v>25</v>
      </c>
      <c r="P352">
        <v>4</v>
      </c>
      <c r="Q352">
        <v>0</v>
      </c>
      <c r="R352" t="s">
        <v>26</v>
      </c>
      <c r="S352">
        <v>2.5</v>
      </c>
      <c r="V352" t="s">
        <v>27</v>
      </c>
    </row>
    <row r="353" spans="1:22" x14ac:dyDescent="0.45">
      <c r="A353" t="str">
        <f>"10263946"</f>
        <v>10263946</v>
      </c>
      <c r="B353" t="s">
        <v>22</v>
      </c>
      <c r="C353" s="1">
        <v>43535</v>
      </c>
      <c r="D353">
        <v>428475</v>
      </c>
      <c r="E353" t="s">
        <v>31</v>
      </c>
      <c r="F353">
        <v>1952</v>
      </c>
      <c r="G353">
        <v>215</v>
      </c>
      <c r="H353" t="s">
        <v>207</v>
      </c>
      <c r="I353" t="str">
        <f t="shared" si="5"/>
        <v>25</v>
      </c>
      <c r="J353">
        <v>60025</v>
      </c>
      <c r="K353">
        <v>2127</v>
      </c>
      <c r="L353">
        <v>8</v>
      </c>
      <c r="M353">
        <v>2</v>
      </c>
      <c r="N353">
        <v>0</v>
      </c>
      <c r="O353" t="s">
        <v>25</v>
      </c>
      <c r="P353">
        <v>3</v>
      </c>
      <c r="Q353">
        <v>0</v>
      </c>
      <c r="R353" t="s">
        <v>35</v>
      </c>
      <c r="S353">
        <v>2</v>
      </c>
    </row>
    <row r="354" spans="1:22" x14ac:dyDescent="0.45">
      <c r="A354" t="str">
        <f>"10305186"</f>
        <v>10305186</v>
      </c>
      <c r="B354" t="s">
        <v>22</v>
      </c>
      <c r="C354" s="1">
        <v>43594</v>
      </c>
      <c r="D354">
        <v>430000</v>
      </c>
      <c r="E354" t="s">
        <v>60</v>
      </c>
      <c r="F354">
        <v>1953</v>
      </c>
      <c r="G354">
        <v>1159</v>
      </c>
      <c r="H354" t="s">
        <v>175</v>
      </c>
      <c r="I354" t="str">
        <f t="shared" si="5"/>
        <v>25</v>
      </c>
      <c r="J354">
        <v>60025</v>
      </c>
      <c r="K354">
        <v>1100</v>
      </c>
      <c r="L354">
        <v>9</v>
      </c>
      <c r="M354">
        <v>1</v>
      </c>
      <c r="N354">
        <v>1</v>
      </c>
      <c r="O354" t="s">
        <v>25</v>
      </c>
      <c r="P354">
        <v>3</v>
      </c>
      <c r="Q354">
        <v>0</v>
      </c>
      <c r="R354" t="s">
        <v>26</v>
      </c>
      <c r="S354">
        <v>1</v>
      </c>
      <c r="U354">
        <v>550</v>
      </c>
      <c r="V354" t="s">
        <v>67</v>
      </c>
    </row>
    <row r="355" spans="1:22" x14ac:dyDescent="0.45">
      <c r="A355" t="str">
        <f>"10128290"</f>
        <v>10128290</v>
      </c>
      <c r="B355" t="s">
        <v>22</v>
      </c>
      <c r="C355" s="1">
        <v>43545</v>
      </c>
      <c r="D355">
        <v>430000</v>
      </c>
      <c r="E355" t="s">
        <v>74</v>
      </c>
      <c r="F355">
        <v>1963</v>
      </c>
      <c r="G355">
        <v>445</v>
      </c>
      <c r="H355" t="s">
        <v>157</v>
      </c>
      <c r="I355" t="str">
        <f t="shared" si="5"/>
        <v>25</v>
      </c>
      <c r="J355">
        <v>60025</v>
      </c>
      <c r="K355">
        <v>1325</v>
      </c>
      <c r="L355">
        <v>8</v>
      </c>
      <c r="M355">
        <v>3</v>
      </c>
      <c r="N355">
        <v>0</v>
      </c>
      <c r="O355" t="s">
        <v>25</v>
      </c>
      <c r="P355">
        <v>4</v>
      </c>
      <c r="Q355">
        <v>0</v>
      </c>
      <c r="R355" t="s">
        <v>26</v>
      </c>
      <c r="S355">
        <v>1</v>
      </c>
      <c r="U355">
        <v>0</v>
      </c>
      <c r="V355" t="s">
        <v>36</v>
      </c>
    </row>
    <row r="356" spans="1:22" x14ac:dyDescent="0.45">
      <c r="A356" t="str">
        <f>"10310649"</f>
        <v>10310649</v>
      </c>
      <c r="B356" t="s">
        <v>22</v>
      </c>
      <c r="C356" s="1">
        <v>43615</v>
      </c>
      <c r="D356">
        <v>430000</v>
      </c>
      <c r="E356" t="s">
        <v>60</v>
      </c>
      <c r="F356">
        <v>1956</v>
      </c>
      <c r="G356">
        <v>950</v>
      </c>
      <c r="H356" t="s">
        <v>208</v>
      </c>
      <c r="I356" t="str">
        <f t="shared" si="5"/>
        <v>25</v>
      </c>
      <c r="J356">
        <v>60025</v>
      </c>
      <c r="K356">
        <v>0</v>
      </c>
      <c r="L356">
        <v>7</v>
      </c>
      <c r="M356">
        <v>1</v>
      </c>
      <c r="N356">
        <v>0</v>
      </c>
      <c r="O356" t="s">
        <v>25</v>
      </c>
      <c r="P356">
        <v>3</v>
      </c>
      <c r="Q356">
        <v>0</v>
      </c>
      <c r="R356" t="s">
        <v>26</v>
      </c>
      <c r="S356">
        <v>1</v>
      </c>
      <c r="T356">
        <v>2</v>
      </c>
      <c r="V356" t="s">
        <v>209</v>
      </c>
    </row>
    <row r="357" spans="1:22" x14ac:dyDescent="0.45">
      <c r="A357" t="str">
        <f>"10765758"</f>
        <v>10765758</v>
      </c>
      <c r="B357" t="s">
        <v>22</v>
      </c>
      <c r="C357" s="1">
        <v>44095</v>
      </c>
      <c r="D357">
        <v>432000</v>
      </c>
      <c r="E357" t="s">
        <v>37</v>
      </c>
      <c r="F357">
        <v>1958</v>
      </c>
      <c r="G357">
        <v>210</v>
      </c>
      <c r="H357" t="s">
        <v>95</v>
      </c>
      <c r="I357" t="str">
        <f t="shared" si="5"/>
        <v>25</v>
      </c>
      <c r="J357">
        <v>60025</v>
      </c>
      <c r="K357">
        <v>1225</v>
      </c>
      <c r="L357">
        <v>7</v>
      </c>
      <c r="M357">
        <v>2</v>
      </c>
      <c r="N357">
        <v>0</v>
      </c>
      <c r="O357" t="s">
        <v>25</v>
      </c>
      <c r="P357">
        <v>3</v>
      </c>
      <c r="Q357">
        <v>0</v>
      </c>
      <c r="R357" t="s">
        <v>26</v>
      </c>
      <c r="S357">
        <v>2</v>
      </c>
      <c r="V357" t="s">
        <v>71</v>
      </c>
    </row>
    <row r="358" spans="1:22" x14ac:dyDescent="0.45">
      <c r="A358" t="str">
        <f>"10302227"</f>
        <v>10302227</v>
      </c>
      <c r="B358" t="s">
        <v>22</v>
      </c>
      <c r="C358" s="1">
        <v>43571</v>
      </c>
      <c r="D358">
        <v>433000</v>
      </c>
      <c r="E358" t="s">
        <v>31</v>
      </c>
      <c r="F358">
        <v>1924</v>
      </c>
      <c r="G358">
        <v>1824</v>
      </c>
      <c r="H358" t="s">
        <v>136</v>
      </c>
      <c r="I358" t="str">
        <f t="shared" si="5"/>
        <v>25</v>
      </c>
      <c r="J358">
        <v>60025</v>
      </c>
      <c r="K358">
        <v>2100</v>
      </c>
      <c r="L358">
        <v>10</v>
      </c>
      <c r="M358">
        <v>3</v>
      </c>
      <c r="N358">
        <v>0</v>
      </c>
      <c r="O358" t="s">
        <v>41</v>
      </c>
      <c r="P358">
        <v>5</v>
      </c>
      <c r="Q358">
        <v>0</v>
      </c>
      <c r="R358" t="s">
        <v>35</v>
      </c>
      <c r="S358">
        <v>3</v>
      </c>
      <c r="U358">
        <v>1200</v>
      </c>
      <c r="V358" t="s">
        <v>47</v>
      </c>
    </row>
    <row r="359" spans="1:22" x14ac:dyDescent="0.45">
      <c r="A359" t="str">
        <f>"10856712"</f>
        <v>10856712</v>
      </c>
      <c r="B359" t="s">
        <v>22</v>
      </c>
      <c r="C359" s="1">
        <v>44165</v>
      </c>
      <c r="D359">
        <v>435000</v>
      </c>
      <c r="E359" t="s">
        <v>64</v>
      </c>
      <c r="F359">
        <v>1968</v>
      </c>
      <c r="G359">
        <v>2428</v>
      </c>
      <c r="H359" t="s">
        <v>210</v>
      </c>
      <c r="I359" t="str">
        <f t="shared" si="5"/>
        <v>25</v>
      </c>
      <c r="J359">
        <v>60026</v>
      </c>
      <c r="K359">
        <v>0</v>
      </c>
      <c r="L359">
        <v>8</v>
      </c>
      <c r="M359">
        <v>2</v>
      </c>
      <c r="N359">
        <v>1</v>
      </c>
      <c r="O359" t="s">
        <v>25</v>
      </c>
      <c r="P359">
        <v>3</v>
      </c>
      <c r="Q359">
        <v>0</v>
      </c>
      <c r="R359" t="s">
        <v>26</v>
      </c>
      <c r="S359">
        <v>2</v>
      </c>
      <c r="V359" t="s">
        <v>71</v>
      </c>
    </row>
    <row r="360" spans="1:22" x14ac:dyDescent="0.45">
      <c r="A360" t="str">
        <f>"10557524"</f>
        <v>10557524</v>
      </c>
      <c r="B360" t="s">
        <v>22</v>
      </c>
      <c r="C360" s="1">
        <v>43860</v>
      </c>
      <c r="D360">
        <v>435000</v>
      </c>
      <c r="E360" t="s">
        <v>23</v>
      </c>
      <c r="F360">
        <v>1954</v>
      </c>
      <c r="G360">
        <v>905</v>
      </c>
      <c r="H360" t="s">
        <v>201</v>
      </c>
      <c r="I360" t="str">
        <f t="shared" si="5"/>
        <v>25</v>
      </c>
      <c r="J360">
        <v>60025</v>
      </c>
      <c r="K360">
        <v>2322</v>
      </c>
      <c r="L360">
        <v>8</v>
      </c>
      <c r="M360">
        <v>2</v>
      </c>
      <c r="N360">
        <v>0</v>
      </c>
      <c r="O360" t="s">
        <v>41</v>
      </c>
      <c r="P360">
        <v>3</v>
      </c>
      <c r="Q360">
        <v>1</v>
      </c>
      <c r="R360" t="s">
        <v>35</v>
      </c>
      <c r="S360">
        <v>2.5</v>
      </c>
    </row>
    <row r="361" spans="1:22" x14ac:dyDescent="0.45">
      <c r="A361" t="str">
        <f>"10332065"</f>
        <v>10332065</v>
      </c>
      <c r="B361" t="s">
        <v>22</v>
      </c>
      <c r="C361" s="1">
        <v>43675</v>
      </c>
      <c r="D361">
        <v>435000</v>
      </c>
      <c r="E361" t="s">
        <v>60</v>
      </c>
      <c r="F361">
        <v>1958</v>
      </c>
      <c r="G361">
        <v>309</v>
      </c>
      <c r="H361" t="s">
        <v>164</v>
      </c>
      <c r="I361" t="str">
        <f t="shared" si="5"/>
        <v>25</v>
      </c>
      <c r="J361">
        <v>60025</v>
      </c>
      <c r="K361">
        <v>0</v>
      </c>
      <c r="L361">
        <v>7</v>
      </c>
      <c r="M361">
        <v>2</v>
      </c>
      <c r="N361">
        <v>0</v>
      </c>
      <c r="O361" t="s">
        <v>25</v>
      </c>
      <c r="P361">
        <v>3</v>
      </c>
      <c r="Q361">
        <v>0</v>
      </c>
      <c r="R361" t="s">
        <v>26</v>
      </c>
      <c r="S361">
        <v>2</v>
      </c>
      <c r="V361" t="s">
        <v>71</v>
      </c>
    </row>
    <row r="362" spans="1:22" x14ac:dyDescent="0.45">
      <c r="A362" t="str">
        <f>"10277206"</f>
        <v>10277206</v>
      </c>
      <c r="B362" t="s">
        <v>22</v>
      </c>
      <c r="C362" s="1">
        <v>43550</v>
      </c>
      <c r="D362">
        <v>435000</v>
      </c>
      <c r="E362" t="s">
        <v>23</v>
      </c>
      <c r="F362">
        <v>1961</v>
      </c>
      <c r="G362">
        <v>30</v>
      </c>
      <c r="H362" t="s">
        <v>96</v>
      </c>
      <c r="I362" t="str">
        <f t="shared" si="5"/>
        <v>25</v>
      </c>
      <c r="J362">
        <v>60025</v>
      </c>
      <c r="K362">
        <v>0</v>
      </c>
      <c r="L362">
        <v>9</v>
      </c>
      <c r="M362">
        <v>3</v>
      </c>
      <c r="N362">
        <v>0</v>
      </c>
      <c r="O362" t="s">
        <v>41</v>
      </c>
      <c r="P362">
        <v>3</v>
      </c>
      <c r="Q362">
        <v>2</v>
      </c>
      <c r="R362" t="s">
        <v>26</v>
      </c>
      <c r="S362">
        <v>2.5</v>
      </c>
      <c r="V362" t="s">
        <v>27</v>
      </c>
    </row>
    <row r="363" spans="1:22" x14ac:dyDescent="0.45">
      <c r="A363" t="str">
        <f>"10463829"</f>
        <v>10463829</v>
      </c>
      <c r="B363" t="s">
        <v>22</v>
      </c>
      <c r="C363" s="1">
        <v>43945</v>
      </c>
      <c r="D363">
        <v>435000</v>
      </c>
      <c r="E363" t="s">
        <v>37</v>
      </c>
      <c r="F363">
        <v>1959</v>
      </c>
      <c r="G363">
        <v>1110</v>
      </c>
      <c r="H363" t="s">
        <v>170</v>
      </c>
      <c r="I363" t="str">
        <f t="shared" si="5"/>
        <v>25</v>
      </c>
      <c r="J363">
        <v>60025</v>
      </c>
      <c r="K363">
        <v>2903</v>
      </c>
      <c r="L363">
        <v>9</v>
      </c>
      <c r="M363">
        <v>3</v>
      </c>
      <c r="N363">
        <v>1</v>
      </c>
      <c r="O363" t="s">
        <v>41</v>
      </c>
      <c r="P363">
        <v>4</v>
      </c>
      <c r="Q363">
        <v>0</v>
      </c>
      <c r="R363" t="s">
        <v>26</v>
      </c>
      <c r="S363">
        <v>2.5</v>
      </c>
      <c r="V363" t="s">
        <v>36</v>
      </c>
    </row>
    <row r="364" spans="1:22" x14ac:dyDescent="0.45">
      <c r="A364" t="str">
        <f>"10887522"</f>
        <v>10887522</v>
      </c>
      <c r="B364" t="s">
        <v>22</v>
      </c>
      <c r="C364" s="1">
        <v>44155</v>
      </c>
      <c r="D364">
        <v>435500</v>
      </c>
      <c r="E364" t="s">
        <v>37</v>
      </c>
      <c r="F364">
        <v>1958</v>
      </c>
      <c r="G364">
        <v>34</v>
      </c>
      <c r="H364" t="s">
        <v>58</v>
      </c>
      <c r="I364" t="str">
        <f t="shared" si="5"/>
        <v>25</v>
      </c>
      <c r="J364">
        <v>60025</v>
      </c>
      <c r="K364">
        <v>1700</v>
      </c>
      <c r="L364">
        <v>6</v>
      </c>
      <c r="M364">
        <v>2</v>
      </c>
      <c r="N364">
        <v>0</v>
      </c>
      <c r="O364" t="s">
        <v>25</v>
      </c>
      <c r="P364">
        <v>3</v>
      </c>
      <c r="Q364">
        <v>0</v>
      </c>
      <c r="R364" t="s">
        <v>35</v>
      </c>
      <c r="S364">
        <v>2.1</v>
      </c>
    </row>
    <row r="365" spans="1:22" x14ac:dyDescent="0.45">
      <c r="A365" t="str">
        <f>"10411490"</f>
        <v>10411490</v>
      </c>
      <c r="B365" t="s">
        <v>22</v>
      </c>
      <c r="C365" s="1">
        <v>43699</v>
      </c>
      <c r="D365">
        <v>437000</v>
      </c>
      <c r="E365" t="s">
        <v>23</v>
      </c>
      <c r="F365">
        <v>1974</v>
      </c>
      <c r="G365">
        <v>1440</v>
      </c>
      <c r="H365" t="s">
        <v>112</v>
      </c>
      <c r="I365" t="str">
        <f t="shared" si="5"/>
        <v>25</v>
      </c>
      <c r="J365">
        <v>60025</v>
      </c>
      <c r="K365">
        <v>1723</v>
      </c>
      <c r="L365">
        <v>6</v>
      </c>
      <c r="M365">
        <v>2</v>
      </c>
      <c r="N365">
        <v>1</v>
      </c>
      <c r="O365" t="s">
        <v>25</v>
      </c>
      <c r="P365">
        <v>2</v>
      </c>
      <c r="Q365">
        <v>0</v>
      </c>
      <c r="R365" t="s">
        <v>26</v>
      </c>
      <c r="S365">
        <v>2</v>
      </c>
      <c r="V365" t="s">
        <v>27</v>
      </c>
    </row>
    <row r="366" spans="1:22" x14ac:dyDescent="0.45">
      <c r="A366" t="str">
        <f>"10547593"</f>
        <v>10547593</v>
      </c>
      <c r="B366" t="s">
        <v>22</v>
      </c>
      <c r="C366" s="1">
        <v>43906</v>
      </c>
      <c r="D366">
        <v>437500</v>
      </c>
      <c r="E366" t="s">
        <v>60</v>
      </c>
      <c r="F366">
        <v>1923</v>
      </c>
      <c r="G366">
        <v>1761</v>
      </c>
      <c r="H366" t="s">
        <v>211</v>
      </c>
      <c r="I366" t="str">
        <f t="shared" si="5"/>
        <v>25</v>
      </c>
      <c r="J366">
        <v>60025</v>
      </c>
      <c r="K366">
        <v>1577</v>
      </c>
      <c r="L366">
        <v>10</v>
      </c>
      <c r="M366">
        <v>4</v>
      </c>
      <c r="N366">
        <v>0</v>
      </c>
      <c r="O366" t="s">
        <v>25</v>
      </c>
      <c r="P366">
        <v>4</v>
      </c>
      <c r="Q366">
        <v>0</v>
      </c>
      <c r="R366" t="s">
        <v>35</v>
      </c>
      <c r="S366">
        <v>2.5</v>
      </c>
    </row>
    <row r="367" spans="1:22" x14ac:dyDescent="0.45">
      <c r="A367" t="str">
        <f>"10699011"</f>
        <v>10699011</v>
      </c>
      <c r="B367" t="s">
        <v>22</v>
      </c>
      <c r="C367" s="1">
        <v>44083</v>
      </c>
      <c r="D367">
        <v>438200</v>
      </c>
      <c r="E367" t="s">
        <v>60</v>
      </c>
      <c r="F367">
        <v>1952</v>
      </c>
      <c r="G367">
        <v>615</v>
      </c>
      <c r="H367" t="s">
        <v>92</v>
      </c>
      <c r="I367" t="str">
        <f t="shared" si="5"/>
        <v>25</v>
      </c>
      <c r="J367">
        <v>60025</v>
      </c>
      <c r="K367">
        <v>2136</v>
      </c>
      <c r="L367">
        <v>9</v>
      </c>
      <c r="M367">
        <v>3</v>
      </c>
      <c r="N367">
        <v>0</v>
      </c>
      <c r="O367" t="s">
        <v>25</v>
      </c>
      <c r="P367">
        <v>4</v>
      </c>
      <c r="Q367">
        <v>0</v>
      </c>
      <c r="R367" t="s">
        <v>35</v>
      </c>
      <c r="S367">
        <v>4</v>
      </c>
      <c r="V367" t="s">
        <v>67</v>
      </c>
    </row>
    <row r="368" spans="1:22" x14ac:dyDescent="0.45">
      <c r="A368" t="str">
        <f>"10510962"</f>
        <v>10510962</v>
      </c>
      <c r="B368" t="s">
        <v>22</v>
      </c>
      <c r="C368" s="1">
        <v>43770</v>
      </c>
      <c r="D368">
        <v>439000</v>
      </c>
      <c r="E368" t="s">
        <v>23</v>
      </c>
      <c r="F368">
        <v>1985</v>
      </c>
      <c r="G368">
        <v>2712</v>
      </c>
      <c r="H368" t="s">
        <v>188</v>
      </c>
      <c r="I368" t="str">
        <f t="shared" si="5"/>
        <v>25</v>
      </c>
      <c r="J368">
        <v>60025</v>
      </c>
      <c r="K368">
        <v>2343</v>
      </c>
      <c r="L368">
        <v>9</v>
      </c>
      <c r="M368">
        <v>2</v>
      </c>
      <c r="N368">
        <v>1</v>
      </c>
      <c r="O368" t="s">
        <v>25</v>
      </c>
      <c r="P368">
        <v>3</v>
      </c>
      <c r="Q368">
        <v>0</v>
      </c>
      <c r="R368" t="s">
        <v>26</v>
      </c>
      <c r="S368">
        <v>2</v>
      </c>
      <c r="U368">
        <v>518</v>
      </c>
      <c r="V368" t="s">
        <v>27</v>
      </c>
    </row>
    <row r="369" spans="1:22" x14ac:dyDescent="0.45">
      <c r="A369" t="str">
        <f>"10449269"</f>
        <v>10449269</v>
      </c>
      <c r="B369" t="s">
        <v>22</v>
      </c>
      <c r="C369" s="1">
        <v>43692</v>
      </c>
      <c r="D369">
        <v>440000</v>
      </c>
      <c r="E369" t="s">
        <v>23</v>
      </c>
      <c r="F369">
        <v>1952</v>
      </c>
      <c r="G369">
        <v>906</v>
      </c>
      <c r="H369" t="s">
        <v>151</v>
      </c>
      <c r="I369" t="str">
        <f t="shared" si="5"/>
        <v>25</v>
      </c>
      <c r="J369">
        <v>60025</v>
      </c>
      <c r="K369">
        <v>1651</v>
      </c>
      <c r="L369">
        <v>7</v>
      </c>
      <c r="M369">
        <v>2</v>
      </c>
      <c r="N369">
        <v>0</v>
      </c>
      <c r="O369" t="s">
        <v>25</v>
      </c>
      <c r="P369">
        <v>3</v>
      </c>
      <c r="Q369">
        <v>0</v>
      </c>
      <c r="R369" t="s">
        <v>26</v>
      </c>
      <c r="S369">
        <v>2</v>
      </c>
      <c r="T369">
        <v>2</v>
      </c>
      <c r="U369">
        <v>1200</v>
      </c>
      <c r="V369" t="s">
        <v>27</v>
      </c>
    </row>
    <row r="370" spans="1:22" x14ac:dyDescent="0.45">
      <c r="A370" t="str">
        <f>"10656025"</f>
        <v>10656025</v>
      </c>
      <c r="B370" t="s">
        <v>22</v>
      </c>
      <c r="C370" s="1">
        <v>43928</v>
      </c>
      <c r="D370">
        <v>440000</v>
      </c>
      <c r="E370" t="s">
        <v>23</v>
      </c>
      <c r="F370">
        <v>1955</v>
      </c>
      <c r="G370">
        <v>1010</v>
      </c>
      <c r="H370" t="s">
        <v>158</v>
      </c>
      <c r="I370" t="str">
        <f t="shared" si="5"/>
        <v>25</v>
      </c>
      <c r="J370">
        <v>60025</v>
      </c>
      <c r="K370">
        <v>0</v>
      </c>
      <c r="L370">
        <v>8</v>
      </c>
      <c r="M370">
        <v>2</v>
      </c>
      <c r="N370">
        <v>0</v>
      </c>
      <c r="O370" t="s">
        <v>25</v>
      </c>
      <c r="P370">
        <v>3</v>
      </c>
      <c r="Q370">
        <v>0</v>
      </c>
      <c r="R370" t="s">
        <v>192</v>
      </c>
      <c r="S370">
        <v>2</v>
      </c>
      <c r="V370" t="s">
        <v>27</v>
      </c>
    </row>
    <row r="371" spans="1:22" x14ac:dyDescent="0.45">
      <c r="A371" t="str">
        <f>"10729274"</f>
        <v>10729274</v>
      </c>
      <c r="B371" t="s">
        <v>22</v>
      </c>
      <c r="C371" s="1">
        <v>44034</v>
      </c>
      <c r="D371">
        <v>440000</v>
      </c>
      <c r="E371" t="s">
        <v>37</v>
      </c>
      <c r="F371">
        <v>1957</v>
      </c>
      <c r="G371">
        <v>1107</v>
      </c>
      <c r="H371" t="s">
        <v>170</v>
      </c>
      <c r="I371" t="str">
        <f t="shared" si="5"/>
        <v>25</v>
      </c>
      <c r="J371">
        <v>60025</v>
      </c>
      <c r="K371">
        <v>1422</v>
      </c>
      <c r="L371">
        <v>7</v>
      </c>
      <c r="M371">
        <v>2</v>
      </c>
      <c r="N371">
        <v>1</v>
      </c>
      <c r="O371" t="s">
        <v>41</v>
      </c>
      <c r="P371">
        <v>3</v>
      </c>
      <c r="Q371">
        <v>0</v>
      </c>
      <c r="R371" t="s">
        <v>35</v>
      </c>
      <c r="S371">
        <v>2</v>
      </c>
      <c r="V371" t="s">
        <v>36</v>
      </c>
    </row>
    <row r="372" spans="1:22" x14ac:dyDescent="0.45">
      <c r="A372" t="str">
        <f>"10531669"</f>
        <v>10531669</v>
      </c>
      <c r="B372" t="s">
        <v>22</v>
      </c>
      <c r="C372" s="1">
        <v>43840</v>
      </c>
      <c r="D372">
        <v>440000</v>
      </c>
      <c r="E372" t="s">
        <v>31</v>
      </c>
      <c r="F372" t="s">
        <v>29</v>
      </c>
      <c r="G372">
        <v>201</v>
      </c>
      <c r="H372" t="s">
        <v>77</v>
      </c>
      <c r="I372" t="str">
        <f t="shared" si="5"/>
        <v>25</v>
      </c>
      <c r="J372">
        <v>60025</v>
      </c>
      <c r="K372">
        <v>2256</v>
      </c>
      <c r="L372">
        <v>11</v>
      </c>
      <c r="M372">
        <v>2</v>
      </c>
      <c r="N372">
        <v>1</v>
      </c>
      <c r="O372" t="s">
        <v>41</v>
      </c>
      <c r="P372">
        <v>3</v>
      </c>
      <c r="Q372">
        <v>0</v>
      </c>
      <c r="R372" t="s">
        <v>26</v>
      </c>
      <c r="S372">
        <v>1</v>
      </c>
      <c r="U372">
        <v>763</v>
      </c>
      <c r="V372" t="s">
        <v>33</v>
      </c>
    </row>
    <row r="373" spans="1:22" x14ac:dyDescent="0.45">
      <c r="A373" t="str">
        <f>"10622322"</f>
        <v>10622322</v>
      </c>
      <c r="B373" t="s">
        <v>22</v>
      </c>
      <c r="C373" s="1">
        <v>44113</v>
      </c>
      <c r="D373">
        <v>440000</v>
      </c>
      <c r="E373" t="s">
        <v>60</v>
      </c>
      <c r="F373">
        <v>1966</v>
      </c>
      <c r="G373">
        <v>1722</v>
      </c>
      <c r="H373" t="s">
        <v>212</v>
      </c>
      <c r="I373" t="str">
        <f t="shared" si="5"/>
        <v>25</v>
      </c>
      <c r="J373">
        <v>60025</v>
      </c>
      <c r="K373">
        <v>2908</v>
      </c>
      <c r="L373">
        <v>9</v>
      </c>
      <c r="M373">
        <v>2</v>
      </c>
      <c r="N373">
        <v>1</v>
      </c>
      <c r="O373" t="s">
        <v>25</v>
      </c>
      <c r="P373">
        <v>4</v>
      </c>
      <c r="Q373">
        <v>0</v>
      </c>
      <c r="R373" t="s">
        <v>26</v>
      </c>
      <c r="S373">
        <v>2</v>
      </c>
      <c r="V373" t="s">
        <v>67</v>
      </c>
    </row>
    <row r="374" spans="1:22" x14ac:dyDescent="0.45">
      <c r="A374" t="str">
        <f>"10524219"</f>
        <v>10524219</v>
      </c>
      <c r="B374" t="s">
        <v>22</v>
      </c>
      <c r="C374" s="1">
        <v>44036</v>
      </c>
      <c r="D374">
        <v>440000</v>
      </c>
      <c r="E374" t="s">
        <v>37</v>
      </c>
      <c r="F374">
        <v>1960</v>
      </c>
      <c r="G374">
        <v>3829</v>
      </c>
      <c r="H374" t="s">
        <v>213</v>
      </c>
      <c r="I374" t="str">
        <f t="shared" si="5"/>
        <v>25</v>
      </c>
      <c r="J374">
        <v>60025</v>
      </c>
      <c r="K374">
        <v>0</v>
      </c>
      <c r="L374">
        <v>9</v>
      </c>
      <c r="M374">
        <v>2</v>
      </c>
      <c r="N374">
        <v>2</v>
      </c>
      <c r="O374" t="s">
        <v>25</v>
      </c>
      <c r="P374">
        <v>4</v>
      </c>
      <c r="Q374">
        <v>0</v>
      </c>
      <c r="R374" t="s">
        <v>26</v>
      </c>
      <c r="S374">
        <v>2</v>
      </c>
    </row>
    <row r="375" spans="1:22" x14ac:dyDescent="0.45">
      <c r="A375" t="str">
        <f>"10813116"</f>
        <v>10813116</v>
      </c>
      <c r="B375" t="s">
        <v>22</v>
      </c>
      <c r="C375" s="1">
        <v>44147</v>
      </c>
      <c r="D375">
        <v>440000</v>
      </c>
      <c r="E375" t="s">
        <v>60</v>
      </c>
      <c r="F375">
        <v>1946</v>
      </c>
      <c r="G375">
        <v>1833</v>
      </c>
      <c r="H375" t="s">
        <v>126</v>
      </c>
      <c r="I375" t="str">
        <f t="shared" si="5"/>
        <v>25</v>
      </c>
      <c r="J375">
        <v>60025</v>
      </c>
      <c r="K375">
        <v>3615</v>
      </c>
      <c r="L375">
        <v>9</v>
      </c>
      <c r="M375">
        <v>3</v>
      </c>
      <c r="N375">
        <v>0</v>
      </c>
      <c r="O375" t="s">
        <v>25</v>
      </c>
      <c r="P375">
        <v>4</v>
      </c>
      <c r="Q375">
        <v>0</v>
      </c>
      <c r="R375" t="s">
        <v>26</v>
      </c>
      <c r="S375">
        <v>2</v>
      </c>
    </row>
    <row r="376" spans="1:22" x14ac:dyDescent="0.45">
      <c r="A376" t="str">
        <f>"10545588"</f>
        <v>10545588</v>
      </c>
      <c r="B376" t="s">
        <v>22</v>
      </c>
      <c r="C376" s="1">
        <v>44057</v>
      </c>
      <c r="D376">
        <v>440000</v>
      </c>
      <c r="E376" t="s">
        <v>23</v>
      </c>
      <c r="F376">
        <v>1969</v>
      </c>
      <c r="G376">
        <v>526</v>
      </c>
      <c r="H376" t="s">
        <v>214</v>
      </c>
      <c r="I376" t="str">
        <f t="shared" si="5"/>
        <v>25</v>
      </c>
      <c r="J376">
        <v>60025</v>
      </c>
      <c r="K376">
        <v>2249</v>
      </c>
      <c r="L376">
        <v>8</v>
      </c>
      <c r="M376">
        <v>4</v>
      </c>
      <c r="N376">
        <v>0</v>
      </c>
      <c r="O376" t="s">
        <v>41</v>
      </c>
      <c r="P376">
        <v>3</v>
      </c>
      <c r="Q376">
        <v>0</v>
      </c>
      <c r="R376" t="s">
        <v>26</v>
      </c>
      <c r="S376">
        <v>2</v>
      </c>
      <c r="V376" t="s">
        <v>27</v>
      </c>
    </row>
    <row r="377" spans="1:22" x14ac:dyDescent="0.45">
      <c r="A377" t="str">
        <f>"10427398"</f>
        <v>10427398</v>
      </c>
      <c r="B377" t="s">
        <v>22</v>
      </c>
      <c r="C377" s="1">
        <v>43682</v>
      </c>
      <c r="D377">
        <v>442500</v>
      </c>
      <c r="E377" t="s">
        <v>23</v>
      </c>
      <c r="F377">
        <v>1958</v>
      </c>
      <c r="G377">
        <v>512</v>
      </c>
      <c r="H377" t="s">
        <v>40</v>
      </c>
      <c r="I377" t="str">
        <f t="shared" si="5"/>
        <v>25</v>
      </c>
      <c r="J377">
        <v>60025</v>
      </c>
      <c r="K377">
        <v>1316</v>
      </c>
      <c r="L377">
        <v>9</v>
      </c>
      <c r="M377">
        <v>2</v>
      </c>
      <c r="N377">
        <v>1</v>
      </c>
      <c r="O377" t="s">
        <v>41</v>
      </c>
      <c r="P377">
        <v>3</v>
      </c>
      <c r="Q377">
        <v>1</v>
      </c>
      <c r="R377" t="s">
        <v>35</v>
      </c>
      <c r="S377">
        <v>2</v>
      </c>
      <c r="V377" t="s">
        <v>47</v>
      </c>
    </row>
    <row r="378" spans="1:22" x14ac:dyDescent="0.45">
      <c r="A378" t="str">
        <f>"10744812"</f>
        <v>10744812</v>
      </c>
      <c r="B378" t="s">
        <v>22</v>
      </c>
      <c r="C378" s="1">
        <v>44125</v>
      </c>
      <c r="D378">
        <v>442500</v>
      </c>
      <c r="E378" t="s">
        <v>60</v>
      </c>
      <c r="F378">
        <v>1973</v>
      </c>
      <c r="G378">
        <v>3839</v>
      </c>
      <c r="H378" t="s">
        <v>215</v>
      </c>
      <c r="I378" t="str">
        <f t="shared" si="5"/>
        <v>25</v>
      </c>
      <c r="J378">
        <v>60026</v>
      </c>
      <c r="K378">
        <v>3084</v>
      </c>
      <c r="L378">
        <v>9</v>
      </c>
      <c r="M378">
        <v>2</v>
      </c>
      <c r="N378">
        <v>1</v>
      </c>
      <c r="O378" t="s">
        <v>25</v>
      </c>
      <c r="P378">
        <v>4</v>
      </c>
      <c r="Q378">
        <v>0</v>
      </c>
      <c r="R378" t="s">
        <v>26</v>
      </c>
      <c r="S378">
        <v>2</v>
      </c>
    </row>
    <row r="379" spans="1:22" x14ac:dyDescent="0.45">
      <c r="A379" t="str">
        <f>"10893585"</f>
        <v>10893585</v>
      </c>
      <c r="B379" t="s">
        <v>22</v>
      </c>
      <c r="C379" s="1">
        <v>44147</v>
      </c>
      <c r="D379">
        <v>445000</v>
      </c>
      <c r="E379" t="s">
        <v>23</v>
      </c>
      <c r="F379">
        <v>1953</v>
      </c>
      <c r="G379">
        <v>848</v>
      </c>
      <c r="H379" t="s">
        <v>201</v>
      </c>
      <c r="I379" t="str">
        <f t="shared" si="5"/>
        <v>25</v>
      </c>
      <c r="J379">
        <v>60025</v>
      </c>
      <c r="K379">
        <v>0</v>
      </c>
      <c r="L379">
        <v>9</v>
      </c>
      <c r="M379">
        <v>2</v>
      </c>
      <c r="N379">
        <v>0</v>
      </c>
      <c r="O379" t="s">
        <v>41</v>
      </c>
      <c r="P379">
        <v>3</v>
      </c>
      <c r="Q379">
        <v>0</v>
      </c>
      <c r="R379" t="s">
        <v>35</v>
      </c>
      <c r="S379">
        <v>2</v>
      </c>
      <c r="V379" t="s">
        <v>27</v>
      </c>
    </row>
    <row r="380" spans="1:22" x14ac:dyDescent="0.45">
      <c r="A380" t="str">
        <f>"10749234"</f>
        <v>10749234</v>
      </c>
      <c r="B380" t="s">
        <v>22</v>
      </c>
      <c r="C380" s="1">
        <v>44028</v>
      </c>
      <c r="D380">
        <v>445000</v>
      </c>
      <c r="E380" t="s">
        <v>74</v>
      </c>
      <c r="F380">
        <v>1959</v>
      </c>
      <c r="G380">
        <v>1225</v>
      </c>
      <c r="H380" t="s">
        <v>101</v>
      </c>
      <c r="I380" t="str">
        <f t="shared" si="5"/>
        <v>25</v>
      </c>
      <c r="J380">
        <v>60025</v>
      </c>
      <c r="K380">
        <v>1440</v>
      </c>
      <c r="L380">
        <v>7</v>
      </c>
      <c r="M380">
        <v>2</v>
      </c>
      <c r="N380">
        <v>0</v>
      </c>
      <c r="O380" t="s">
        <v>41</v>
      </c>
      <c r="P380">
        <v>3</v>
      </c>
      <c r="Q380">
        <v>0</v>
      </c>
      <c r="R380" t="s">
        <v>26</v>
      </c>
      <c r="S380">
        <v>1.5</v>
      </c>
    </row>
    <row r="381" spans="1:22" x14ac:dyDescent="0.45">
      <c r="A381" t="str">
        <f>"10760895"</f>
        <v>10760895</v>
      </c>
      <c r="B381" t="s">
        <v>22</v>
      </c>
      <c r="C381" s="1">
        <v>44090</v>
      </c>
      <c r="D381">
        <v>445000</v>
      </c>
      <c r="E381" t="s">
        <v>74</v>
      </c>
      <c r="F381">
        <v>1968</v>
      </c>
      <c r="G381">
        <v>3223</v>
      </c>
      <c r="H381" t="s">
        <v>216</v>
      </c>
      <c r="I381" t="str">
        <f t="shared" si="5"/>
        <v>25</v>
      </c>
      <c r="J381">
        <v>60026</v>
      </c>
      <c r="K381">
        <v>2111</v>
      </c>
      <c r="L381">
        <v>8</v>
      </c>
      <c r="M381">
        <v>2</v>
      </c>
      <c r="N381">
        <v>1</v>
      </c>
      <c r="O381" t="s">
        <v>25</v>
      </c>
      <c r="P381">
        <v>3</v>
      </c>
      <c r="Q381">
        <v>0</v>
      </c>
      <c r="R381" t="s">
        <v>26</v>
      </c>
      <c r="S381">
        <v>2</v>
      </c>
    </row>
    <row r="382" spans="1:22" x14ac:dyDescent="0.45">
      <c r="A382" t="str">
        <f>"10680482"</f>
        <v>10680482</v>
      </c>
      <c r="B382" t="s">
        <v>22</v>
      </c>
      <c r="C382" s="1">
        <v>44029</v>
      </c>
      <c r="D382">
        <v>445000</v>
      </c>
      <c r="E382" t="s">
        <v>74</v>
      </c>
      <c r="F382">
        <v>1962</v>
      </c>
      <c r="G382">
        <v>1040</v>
      </c>
      <c r="H382" t="s">
        <v>217</v>
      </c>
      <c r="I382" t="str">
        <f t="shared" si="5"/>
        <v>25</v>
      </c>
      <c r="J382">
        <v>60025</v>
      </c>
      <c r="K382">
        <v>2200</v>
      </c>
      <c r="L382">
        <v>9</v>
      </c>
      <c r="M382">
        <v>2</v>
      </c>
      <c r="N382">
        <v>1</v>
      </c>
      <c r="O382" t="s">
        <v>25</v>
      </c>
      <c r="P382">
        <v>4</v>
      </c>
      <c r="Q382">
        <v>0</v>
      </c>
      <c r="R382" t="s">
        <v>26</v>
      </c>
      <c r="S382">
        <v>2</v>
      </c>
      <c r="V382" t="s">
        <v>36</v>
      </c>
    </row>
    <row r="383" spans="1:22" x14ac:dyDescent="0.45">
      <c r="A383" t="str">
        <f>"10124572"</f>
        <v>10124572</v>
      </c>
      <c r="B383" t="s">
        <v>22</v>
      </c>
      <c r="C383" s="1">
        <v>43644</v>
      </c>
      <c r="D383">
        <v>445000</v>
      </c>
      <c r="E383" t="s">
        <v>23</v>
      </c>
      <c r="F383">
        <v>1955</v>
      </c>
      <c r="G383">
        <v>805</v>
      </c>
      <c r="H383" t="s">
        <v>184</v>
      </c>
      <c r="I383" t="str">
        <f t="shared" si="5"/>
        <v>25</v>
      </c>
      <c r="J383">
        <v>60025</v>
      </c>
      <c r="K383">
        <v>1600</v>
      </c>
      <c r="L383">
        <v>7</v>
      </c>
      <c r="M383">
        <v>2</v>
      </c>
      <c r="N383">
        <v>0</v>
      </c>
      <c r="O383" t="s">
        <v>25</v>
      </c>
      <c r="P383">
        <v>4</v>
      </c>
      <c r="Q383">
        <v>0</v>
      </c>
      <c r="R383" t="s">
        <v>35</v>
      </c>
      <c r="S383">
        <v>2</v>
      </c>
      <c r="V383" t="s">
        <v>27</v>
      </c>
    </row>
    <row r="384" spans="1:22" x14ac:dyDescent="0.45">
      <c r="A384" t="str">
        <f>"10624297"</f>
        <v>10624297</v>
      </c>
      <c r="B384" t="s">
        <v>22</v>
      </c>
      <c r="C384" s="1">
        <v>43945</v>
      </c>
      <c r="D384">
        <v>445000</v>
      </c>
      <c r="E384" t="s">
        <v>60</v>
      </c>
      <c r="F384">
        <v>1978</v>
      </c>
      <c r="G384">
        <v>3858</v>
      </c>
      <c r="H384" t="s">
        <v>218</v>
      </c>
      <c r="I384" t="str">
        <f t="shared" si="5"/>
        <v>25</v>
      </c>
      <c r="J384">
        <v>60025</v>
      </c>
      <c r="K384">
        <v>2800</v>
      </c>
      <c r="L384">
        <v>10</v>
      </c>
      <c r="M384">
        <v>2</v>
      </c>
      <c r="N384">
        <v>1</v>
      </c>
      <c r="O384" t="s">
        <v>25</v>
      </c>
      <c r="P384">
        <v>4</v>
      </c>
      <c r="Q384">
        <v>0</v>
      </c>
      <c r="R384" t="s">
        <v>26</v>
      </c>
      <c r="S384">
        <v>2</v>
      </c>
      <c r="U384">
        <v>1150</v>
      </c>
    </row>
    <row r="385" spans="1:22" x14ac:dyDescent="0.45">
      <c r="A385" t="str">
        <f>"10848129"</f>
        <v>10848129</v>
      </c>
      <c r="B385" t="s">
        <v>22</v>
      </c>
      <c r="C385" s="1">
        <v>44120</v>
      </c>
      <c r="D385">
        <v>447824</v>
      </c>
      <c r="E385" t="s">
        <v>60</v>
      </c>
      <c r="F385">
        <v>1969</v>
      </c>
      <c r="G385">
        <v>2736</v>
      </c>
      <c r="H385" t="s">
        <v>219</v>
      </c>
      <c r="I385" t="str">
        <f t="shared" si="5"/>
        <v>25</v>
      </c>
      <c r="J385">
        <v>60025</v>
      </c>
      <c r="K385">
        <v>3149</v>
      </c>
      <c r="L385">
        <v>10</v>
      </c>
      <c r="M385">
        <v>2</v>
      </c>
      <c r="N385">
        <v>1</v>
      </c>
      <c r="O385" t="s">
        <v>25</v>
      </c>
      <c r="P385">
        <v>4</v>
      </c>
      <c r="Q385">
        <v>0</v>
      </c>
      <c r="R385" t="s">
        <v>26</v>
      </c>
      <c r="S385">
        <v>2</v>
      </c>
      <c r="V385" t="s">
        <v>67</v>
      </c>
    </row>
    <row r="386" spans="1:22" x14ac:dyDescent="0.45">
      <c r="A386" t="str">
        <f>"10486851"</f>
        <v>10486851</v>
      </c>
      <c r="B386" t="s">
        <v>22</v>
      </c>
      <c r="C386" s="1">
        <v>43837</v>
      </c>
      <c r="D386">
        <v>448000</v>
      </c>
      <c r="E386" t="s">
        <v>23</v>
      </c>
      <c r="F386">
        <v>1956</v>
      </c>
      <c r="G386">
        <v>1422</v>
      </c>
      <c r="H386" t="s">
        <v>126</v>
      </c>
      <c r="I386" t="str">
        <f t="shared" ref="I386:I449" si="6">"25"</f>
        <v>25</v>
      </c>
      <c r="J386">
        <v>60025</v>
      </c>
      <c r="K386">
        <v>2236</v>
      </c>
      <c r="L386">
        <v>7</v>
      </c>
      <c r="M386">
        <v>3</v>
      </c>
      <c r="N386">
        <v>0</v>
      </c>
      <c r="O386" t="s">
        <v>41</v>
      </c>
      <c r="P386">
        <v>3</v>
      </c>
      <c r="Q386">
        <v>0</v>
      </c>
      <c r="R386" t="s">
        <v>26</v>
      </c>
      <c r="S386">
        <v>1</v>
      </c>
      <c r="U386">
        <v>0</v>
      </c>
      <c r="V386" t="s">
        <v>27</v>
      </c>
    </row>
    <row r="387" spans="1:22" x14ac:dyDescent="0.45">
      <c r="A387" t="str">
        <f>"10410000"</f>
        <v>10410000</v>
      </c>
      <c r="B387" t="s">
        <v>22</v>
      </c>
      <c r="C387" s="1">
        <v>43669</v>
      </c>
      <c r="D387">
        <v>448500</v>
      </c>
      <c r="E387" t="s">
        <v>60</v>
      </c>
      <c r="F387">
        <v>1962</v>
      </c>
      <c r="G387">
        <v>3314</v>
      </c>
      <c r="H387" t="s">
        <v>145</v>
      </c>
      <c r="I387" t="str">
        <f t="shared" si="6"/>
        <v>25</v>
      </c>
      <c r="J387">
        <v>60026</v>
      </c>
      <c r="K387">
        <v>0</v>
      </c>
      <c r="L387">
        <v>8</v>
      </c>
      <c r="M387">
        <v>1</v>
      </c>
      <c r="N387">
        <v>1</v>
      </c>
      <c r="O387" t="s">
        <v>25</v>
      </c>
      <c r="P387">
        <v>4</v>
      </c>
      <c r="Q387">
        <v>0</v>
      </c>
      <c r="R387" t="s">
        <v>26</v>
      </c>
      <c r="S387">
        <v>1.5</v>
      </c>
      <c r="V387" t="s">
        <v>67</v>
      </c>
    </row>
    <row r="388" spans="1:22" x14ac:dyDescent="0.45">
      <c r="A388" t="str">
        <f>"10681055"</f>
        <v>10681055</v>
      </c>
      <c r="B388" t="s">
        <v>22</v>
      </c>
      <c r="C388" s="1">
        <v>44022</v>
      </c>
      <c r="D388">
        <v>449000</v>
      </c>
      <c r="E388" t="s">
        <v>23</v>
      </c>
      <c r="F388">
        <v>1974</v>
      </c>
      <c r="G388">
        <v>1611</v>
      </c>
      <c r="H388" t="s">
        <v>220</v>
      </c>
      <c r="I388" t="str">
        <f t="shared" si="6"/>
        <v>25</v>
      </c>
      <c r="J388">
        <v>60025</v>
      </c>
      <c r="K388">
        <v>2232</v>
      </c>
      <c r="L388">
        <v>10</v>
      </c>
      <c r="M388">
        <v>2</v>
      </c>
      <c r="N388">
        <v>1</v>
      </c>
      <c r="O388" t="s">
        <v>25</v>
      </c>
      <c r="P388">
        <v>4</v>
      </c>
      <c r="Q388">
        <v>0</v>
      </c>
      <c r="R388" t="s">
        <v>26</v>
      </c>
      <c r="S388">
        <v>2</v>
      </c>
      <c r="V388" t="s">
        <v>27</v>
      </c>
    </row>
    <row r="389" spans="1:22" x14ac:dyDescent="0.45">
      <c r="A389" t="str">
        <f>"10669113"</f>
        <v>10669113</v>
      </c>
      <c r="B389" t="s">
        <v>22</v>
      </c>
      <c r="C389" s="1">
        <v>44014</v>
      </c>
      <c r="D389">
        <v>450000</v>
      </c>
      <c r="E389" t="s">
        <v>60</v>
      </c>
      <c r="F389">
        <v>1950</v>
      </c>
      <c r="G389">
        <v>327</v>
      </c>
      <c r="H389" t="s">
        <v>52</v>
      </c>
      <c r="I389" t="str">
        <f t="shared" si="6"/>
        <v>25</v>
      </c>
      <c r="J389">
        <v>60025</v>
      </c>
      <c r="K389">
        <v>1500</v>
      </c>
      <c r="L389">
        <v>8</v>
      </c>
      <c r="M389">
        <v>2</v>
      </c>
      <c r="N389">
        <v>1</v>
      </c>
      <c r="O389" t="s">
        <v>41</v>
      </c>
      <c r="P389">
        <v>4</v>
      </c>
      <c r="Q389">
        <v>0</v>
      </c>
      <c r="R389" t="s">
        <v>35</v>
      </c>
      <c r="S389">
        <v>2</v>
      </c>
    </row>
    <row r="390" spans="1:22" x14ac:dyDescent="0.45">
      <c r="A390" t="str">
        <f>"10745540"</f>
        <v>10745540</v>
      </c>
      <c r="B390" t="s">
        <v>22</v>
      </c>
      <c r="C390" s="1">
        <v>44068</v>
      </c>
      <c r="D390">
        <v>450000</v>
      </c>
      <c r="E390" t="s">
        <v>23</v>
      </c>
      <c r="F390">
        <v>1956</v>
      </c>
      <c r="G390">
        <v>2421</v>
      </c>
      <c r="H390" t="s">
        <v>221</v>
      </c>
      <c r="I390" t="str">
        <f t="shared" si="6"/>
        <v>25</v>
      </c>
      <c r="J390">
        <v>60025</v>
      </c>
      <c r="K390">
        <v>0</v>
      </c>
      <c r="L390">
        <v>7</v>
      </c>
      <c r="M390">
        <v>2</v>
      </c>
      <c r="N390">
        <v>0</v>
      </c>
      <c r="O390" t="s">
        <v>25</v>
      </c>
      <c r="P390">
        <v>2</v>
      </c>
      <c r="Q390">
        <v>0</v>
      </c>
      <c r="R390" t="s">
        <v>26</v>
      </c>
      <c r="S390">
        <v>2</v>
      </c>
      <c r="V390" t="s">
        <v>27</v>
      </c>
    </row>
    <row r="391" spans="1:22" x14ac:dyDescent="0.45">
      <c r="A391" t="str">
        <f>"10816209"</f>
        <v>10816209</v>
      </c>
      <c r="B391" t="s">
        <v>22</v>
      </c>
      <c r="C391" s="1">
        <v>44137</v>
      </c>
      <c r="D391">
        <v>450000</v>
      </c>
      <c r="E391" t="s">
        <v>23</v>
      </c>
      <c r="F391">
        <v>1953</v>
      </c>
      <c r="G391">
        <v>2608</v>
      </c>
      <c r="H391" t="s">
        <v>83</v>
      </c>
      <c r="I391" t="str">
        <f t="shared" si="6"/>
        <v>25</v>
      </c>
      <c r="J391">
        <v>60025</v>
      </c>
      <c r="K391">
        <v>1350</v>
      </c>
      <c r="L391">
        <v>9</v>
      </c>
      <c r="M391">
        <v>2</v>
      </c>
      <c r="N391">
        <v>0</v>
      </c>
      <c r="O391" t="s">
        <v>41</v>
      </c>
      <c r="P391">
        <v>3</v>
      </c>
      <c r="Q391">
        <v>0</v>
      </c>
      <c r="R391" t="s">
        <v>35</v>
      </c>
      <c r="S391">
        <v>2</v>
      </c>
      <c r="U391">
        <v>1240</v>
      </c>
      <c r="V391" t="s">
        <v>27</v>
      </c>
    </row>
    <row r="392" spans="1:22" x14ac:dyDescent="0.45">
      <c r="A392" t="str">
        <f>"10451876"</f>
        <v>10451876</v>
      </c>
      <c r="B392" t="s">
        <v>22</v>
      </c>
      <c r="C392" s="1">
        <v>43693</v>
      </c>
      <c r="D392">
        <v>450000</v>
      </c>
      <c r="E392" t="s">
        <v>60</v>
      </c>
      <c r="F392">
        <v>1970</v>
      </c>
      <c r="G392">
        <v>1610</v>
      </c>
      <c r="H392" t="s">
        <v>101</v>
      </c>
      <c r="I392" t="str">
        <f t="shared" si="6"/>
        <v>25</v>
      </c>
      <c r="J392">
        <v>60026</v>
      </c>
      <c r="K392">
        <v>2769</v>
      </c>
      <c r="L392">
        <v>10</v>
      </c>
      <c r="M392">
        <v>2</v>
      </c>
      <c r="N392">
        <v>1</v>
      </c>
      <c r="O392" t="s">
        <v>25</v>
      </c>
      <c r="P392">
        <v>5</v>
      </c>
      <c r="Q392">
        <v>0</v>
      </c>
      <c r="R392" t="s">
        <v>26</v>
      </c>
      <c r="S392">
        <v>2.5</v>
      </c>
      <c r="V392" t="s">
        <v>67</v>
      </c>
    </row>
    <row r="393" spans="1:22" x14ac:dyDescent="0.45">
      <c r="A393" t="str">
        <f>"10428500"</f>
        <v>10428500</v>
      </c>
      <c r="B393" t="s">
        <v>22</v>
      </c>
      <c r="C393" s="1">
        <v>43784</v>
      </c>
      <c r="D393">
        <v>450000</v>
      </c>
      <c r="E393" t="s">
        <v>60</v>
      </c>
      <c r="F393">
        <v>1969</v>
      </c>
      <c r="G393">
        <v>3220</v>
      </c>
      <c r="H393" t="s">
        <v>155</v>
      </c>
      <c r="I393" t="str">
        <f t="shared" si="6"/>
        <v>25</v>
      </c>
      <c r="J393">
        <v>60026</v>
      </c>
      <c r="K393">
        <v>2306</v>
      </c>
      <c r="L393">
        <v>9</v>
      </c>
      <c r="M393">
        <v>2</v>
      </c>
      <c r="N393">
        <v>1</v>
      </c>
      <c r="O393" t="s">
        <v>25</v>
      </c>
      <c r="P393">
        <v>4</v>
      </c>
      <c r="Q393">
        <v>0</v>
      </c>
      <c r="R393" t="s">
        <v>26</v>
      </c>
      <c r="S393">
        <v>2</v>
      </c>
      <c r="T393">
        <v>2</v>
      </c>
      <c r="V393" t="s">
        <v>71</v>
      </c>
    </row>
    <row r="394" spans="1:22" x14ac:dyDescent="0.45">
      <c r="A394" t="str">
        <f>"10409831"</f>
        <v>10409831</v>
      </c>
      <c r="B394" t="s">
        <v>22</v>
      </c>
      <c r="C394" s="1">
        <v>43711</v>
      </c>
      <c r="D394">
        <v>450000</v>
      </c>
      <c r="E394" t="s">
        <v>23</v>
      </c>
      <c r="F394">
        <v>1983</v>
      </c>
      <c r="G394">
        <v>4011</v>
      </c>
      <c r="H394" t="s">
        <v>222</v>
      </c>
      <c r="I394" t="str">
        <f t="shared" si="6"/>
        <v>25</v>
      </c>
      <c r="J394">
        <v>60025</v>
      </c>
      <c r="K394">
        <v>2500</v>
      </c>
      <c r="L394">
        <v>10</v>
      </c>
      <c r="M394">
        <v>2</v>
      </c>
      <c r="N394">
        <v>1</v>
      </c>
      <c r="O394" t="s">
        <v>41</v>
      </c>
      <c r="P394">
        <v>3</v>
      </c>
      <c r="Q394">
        <v>1</v>
      </c>
      <c r="R394" t="s">
        <v>26</v>
      </c>
      <c r="S394">
        <v>2</v>
      </c>
      <c r="U394">
        <v>2500</v>
      </c>
      <c r="V394" t="s">
        <v>27</v>
      </c>
    </row>
    <row r="395" spans="1:22" x14ac:dyDescent="0.45">
      <c r="A395" t="str">
        <f>"10777300"</f>
        <v>10777300</v>
      </c>
      <c r="B395" t="s">
        <v>22</v>
      </c>
      <c r="C395" s="1">
        <v>44090</v>
      </c>
      <c r="D395">
        <v>450000</v>
      </c>
      <c r="E395" t="s">
        <v>23</v>
      </c>
      <c r="F395">
        <v>1954</v>
      </c>
      <c r="G395">
        <v>330</v>
      </c>
      <c r="H395" t="s">
        <v>223</v>
      </c>
      <c r="I395" t="str">
        <f t="shared" si="6"/>
        <v>25</v>
      </c>
      <c r="J395">
        <v>60025</v>
      </c>
      <c r="K395">
        <v>1369</v>
      </c>
      <c r="L395">
        <v>10</v>
      </c>
      <c r="M395">
        <v>2</v>
      </c>
      <c r="N395">
        <v>0</v>
      </c>
      <c r="O395" t="s">
        <v>41</v>
      </c>
      <c r="P395">
        <v>3</v>
      </c>
      <c r="Q395">
        <v>0</v>
      </c>
      <c r="R395" t="s">
        <v>26</v>
      </c>
      <c r="S395">
        <v>2</v>
      </c>
      <c r="V395" t="s">
        <v>27</v>
      </c>
    </row>
    <row r="396" spans="1:22" x14ac:dyDescent="0.45">
      <c r="A396" t="str">
        <f>"10615688"</f>
        <v>10615688</v>
      </c>
      <c r="B396" t="s">
        <v>22</v>
      </c>
      <c r="C396" s="1">
        <v>43927</v>
      </c>
      <c r="D396">
        <v>450000</v>
      </c>
      <c r="E396" t="s">
        <v>74</v>
      </c>
      <c r="F396">
        <v>1973</v>
      </c>
      <c r="G396">
        <v>3920</v>
      </c>
      <c r="H396" t="s">
        <v>215</v>
      </c>
      <c r="I396" t="str">
        <f t="shared" si="6"/>
        <v>25</v>
      </c>
      <c r="J396">
        <v>60026</v>
      </c>
      <c r="K396">
        <v>2359</v>
      </c>
      <c r="L396">
        <v>9</v>
      </c>
      <c r="M396">
        <v>2</v>
      </c>
      <c r="N396">
        <v>1</v>
      </c>
      <c r="O396" t="s">
        <v>25</v>
      </c>
      <c r="P396">
        <v>4</v>
      </c>
      <c r="Q396">
        <v>0</v>
      </c>
      <c r="R396" t="s">
        <v>26</v>
      </c>
      <c r="S396">
        <v>2</v>
      </c>
      <c r="V396" t="s">
        <v>224</v>
      </c>
    </row>
    <row r="397" spans="1:22" x14ac:dyDescent="0.45">
      <c r="A397" t="str">
        <f>"10272999"</f>
        <v>10272999</v>
      </c>
      <c r="B397" t="s">
        <v>22</v>
      </c>
      <c r="C397" s="1">
        <v>43598</v>
      </c>
      <c r="D397">
        <v>452000</v>
      </c>
      <c r="E397" t="s">
        <v>23</v>
      </c>
      <c r="F397">
        <v>1960</v>
      </c>
      <c r="G397">
        <v>3148</v>
      </c>
      <c r="H397" t="s">
        <v>225</v>
      </c>
      <c r="I397" t="str">
        <f t="shared" si="6"/>
        <v>25</v>
      </c>
      <c r="J397">
        <v>60026</v>
      </c>
      <c r="K397">
        <v>1405</v>
      </c>
      <c r="L397">
        <v>7</v>
      </c>
      <c r="M397">
        <v>2</v>
      </c>
      <c r="N397">
        <v>0</v>
      </c>
      <c r="O397" t="s">
        <v>25</v>
      </c>
      <c r="P397">
        <v>3</v>
      </c>
      <c r="Q397">
        <v>0</v>
      </c>
      <c r="R397" t="s">
        <v>26</v>
      </c>
      <c r="S397">
        <v>2</v>
      </c>
      <c r="V397" t="s">
        <v>27</v>
      </c>
    </row>
    <row r="398" spans="1:22" x14ac:dyDescent="0.45">
      <c r="A398" t="str">
        <f>"10701669"</f>
        <v>10701669</v>
      </c>
      <c r="B398" t="s">
        <v>22</v>
      </c>
      <c r="C398" s="1">
        <v>44034</v>
      </c>
      <c r="D398">
        <v>452500</v>
      </c>
      <c r="E398" t="s">
        <v>60</v>
      </c>
      <c r="F398">
        <v>1922</v>
      </c>
      <c r="G398">
        <v>2023</v>
      </c>
      <c r="H398" t="s">
        <v>115</v>
      </c>
      <c r="I398" t="str">
        <f t="shared" si="6"/>
        <v>25</v>
      </c>
      <c r="J398">
        <v>60025</v>
      </c>
      <c r="K398">
        <v>0</v>
      </c>
      <c r="L398">
        <v>11</v>
      </c>
      <c r="M398">
        <v>3</v>
      </c>
      <c r="N398">
        <v>0</v>
      </c>
      <c r="O398" t="s">
        <v>25</v>
      </c>
      <c r="P398">
        <v>4</v>
      </c>
      <c r="Q398">
        <v>0</v>
      </c>
      <c r="R398" t="s">
        <v>35</v>
      </c>
      <c r="S398">
        <v>2</v>
      </c>
      <c r="V398" t="s">
        <v>226</v>
      </c>
    </row>
    <row r="399" spans="1:22" x14ac:dyDescent="0.45">
      <c r="A399" t="str">
        <f>"10501649"</f>
        <v>10501649</v>
      </c>
      <c r="B399" t="s">
        <v>22</v>
      </c>
      <c r="C399" s="1">
        <v>43801</v>
      </c>
      <c r="D399">
        <v>452500</v>
      </c>
      <c r="E399" t="s">
        <v>60</v>
      </c>
      <c r="F399">
        <v>1965</v>
      </c>
      <c r="G399">
        <v>1635</v>
      </c>
      <c r="H399" t="s">
        <v>177</v>
      </c>
      <c r="I399" t="str">
        <f t="shared" si="6"/>
        <v>25</v>
      </c>
      <c r="J399">
        <v>60026</v>
      </c>
      <c r="K399">
        <v>2142</v>
      </c>
      <c r="L399">
        <v>8</v>
      </c>
      <c r="M399">
        <v>2</v>
      </c>
      <c r="N399">
        <v>1</v>
      </c>
      <c r="O399" t="s">
        <v>25</v>
      </c>
      <c r="P399">
        <v>4</v>
      </c>
      <c r="Q399">
        <v>0</v>
      </c>
      <c r="R399" t="s">
        <v>26</v>
      </c>
      <c r="S399">
        <v>2</v>
      </c>
      <c r="V399" t="s">
        <v>67</v>
      </c>
    </row>
    <row r="400" spans="1:22" x14ac:dyDescent="0.45">
      <c r="A400" t="str">
        <f>"10612038"</f>
        <v>10612038</v>
      </c>
      <c r="B400" t="s">
        <v>22</v>
      </c>
      <c r="C400" s="1">
        <v>43868</v>
      </c>
      <c r="D400">
        <v>452500</v>
      </c>
      <c r="E400" t="s">
        <v>37</v>
      </c>
      <c r="F400">
        <v>1958</v>
      </c>
      <c r="G400">
        <v>1240</v>
      </c>
      <c r="H400" t="s">
        <v>227</v>
      </c>
      <c r="I400" t="str">
        <f t="shared" si="6"/>
        <v>25</v>
      </c>
      <c r="J400">
        <v>60025</v>
      </c>
      <c r="K400">
        <v>0</v>
      </c>
      <c r="L400">
        <v>10</v>
      </c>
      <c r="M400">
        <v>3</v>
      </c>
      <c r="N400">
        <v>1</v>
      </c>
      <c r="O400" t="s">
        <v>41</v>
      </c>
      <c r="P400">
        <v>4</v>
      </c>
      <c r="Q400">
        <v>0</v>
      </c>
      <c r="R400" t="s">
        <v>35</v>
      </c>
      <c r="S400">
        <v>2.5</v>
      </c>
      <c r="T400">
        <v>2</v>
      </c>
    </row>
    <row r="401" spans="1:22" x14ac:dyDescent="0.45">
      <c r="A401" t="str">
        <f>"10148474"</f>
        <v>10148474</v>
      </c>
      <c r="B401" t="s">
        <v>22</v>
      </c>
      <c r="C401" s="1">
        <v>43507</v>
      </c>
      <c r="D401">
        <v>455000</v>
      </c>
      <c r="E401" t="s">
        <v>23</v>
      </c>
      <c r="F401">
        <v>1956</v>
      </c>
      <c r="G401">
        <v>2325</v>
      </c>
      <c r="H401" t="s">
        <v>228</v>
      </c>
      <c r="I401" t="str">
        <f t="shared" si="6"/>
        <v>25</v>
      </c>
      <c r="J401">
        <v>60025</v>
      </c>
      <c r="K401">
        <v>1742</v>
      </c>
      <c r="L401">
        <v>7</v>
      </c>
      <c r="M401">
        <v>1</v>
      </c>
      <c r="N401">
        <v>1</v>
      </c>
      <c r="O401" t="s">
        <v>25</v>
      </c>
      <c r="P401">
        <v>3</v>
      </c>
      <c r="Q401">
        <v>0</v>
      </c>
      <c r="R401" t="s">
        <v>26</v>
      </c>
      <c r="S401">
        <v>2.1</v>
      </c>
      <c r="V401" t="s">
        <v>27</v>
      </c>
    </row>
    <row r="402" spans="1:22" x14ac:dyDescent="0.45">
      <c r="A402" t="str">
        <f>"10444364"</f>
        <v>10444364</v>
      </c>
      <c r="B402" t="s">
        <v>22</v>
      </c>
      <c r="C402" s="1">
        <v>43759</v>
      </c>
      <c r="D402">
        <v>455000</v>
      </c>
      <c r="E402" t="s">
        <v>60</v>
      </c>
      <c r="F402">
        <v>1966</v>
      </c>
      <c r="G402">
        <v>1722</v>
      </c>
      <c r="H402" t="s">
        <v>212</v>
      </c>
      <c r="I402" t="str">
        <f t="shared" si="6"/>
        <v>25</v>
      </c>
      <c r="J402">
        <v>60026</v>
      </c>
      <c r="K402">
        <v>2908</v>
      </c>
      <c r="L402">
        <v>9</v>
      </c>
      <c r="M402">
        <v>2</v>
      </c>
      <c r="N402">
        <v>1</v>
      </c>
      <c r="O402" t="s">
        <v>25</v>
      </c>
      <c r="P402">
        <v>4</v>
      </c>
      <c r="Q402">
        <v>0</v>
      </c>
      <c r="R402" t="s">
        <v>26</v>
      </c>
      <c r="S402">
        <v>2</v>
      </c>
      <c r="V402" t="s">
        <v>67</v>
      </c>
    </row>
    <row r="403" spans="1:22" x14ac:dyDescent="0.45">
      <c r="A403" t="str">
        <f>"10576617"</f>
        <v>10576617</v>
      </c>
      <c r="B403" t="s">
        <v>22</v>
      </c>
      <c r="C403" s="1">
        <v>43886</v>
      </c>
      <c r="D403">
        <v>456000</v>
      </c>
      <c r="E403" t="s">
        <v>37</v>
      </c>
      <c r="F403">
        <v>1957</v>
      </c>
      <c r="G403">
        <v>940</v>
      </c>
      <c r="H403" t="s">
        <v>61</v>
      </c>
      <c r="I403" t="str">
        <f t="shared" si="6"/>
        <v>25</v>
      </c>
      <c r="J403">
        <v>60025</v>
      </c>
      <c r="K403">
        <v>1692</v>
      </c>
      <c r="L403">
        <v>8</v>
      </c>
      <c r="M403">
        <v>2</v>
      </c>
      <c r="N403">
        <v>0</v>
      </c>
      <c r="O403" t="s">
        <v>25</v>
      </c>
      <c r="P403">
        <v>3</v>
      </c>
      <c r="Q403">
        <v>0</v>
      </c>
      <c r="R403" t="s">
        <v>26</v>
      </c>
      <c r="S403">
        <v>2.1</v>
      </c>
      <c r="V403" t="s">
        <v>36</v>
      </c>
    </row>
    <row r="404" spans="1:22" x14ac:dyDescent="0.45">
      <c r="A404" t="str">
        <f>"10507329"</f>
        <v>10507329</v>
      </c>
      <c r="B404" t="s">
        <v>22</v>
      </c>
      <c r="C404" s="1">
        <v>43805</v>
      </c>
      <c r="D404">
        <v>457000</v>
      </c>
      <c r="E404" t="s">
        <v>74</v>
      </c>
      <c r="F404">
        <v>1959</v>
      </c>
      <c r="G404">
        <v>501</v>
      </c>
      <c r="H404" t="s">
        <v>118</v>
      </c>
      <c r="I404" t="str">
        <f t="shared" si="6"/>
        <v>25</v>
      </c>
      <c r="J404">
        <v>60025</v>
      </c>
      <c r="K404">
        <v>2680</v>
      </c>
      <c r="L404">
        <v>9</v>
      </c>
      <c r="M404">
        <v>3</v>
      </c>
      <c r="N404">
        <v>0</v>
      </c>
      <c r="O404" t="s">
        <v>25</v>
      </c>
      <c r="P404">
        <v>4</v>
      </c>
      <c r="Q404">
        <v>0</v>
      </c>
      <c r="R404" t="s">
        <v>35</v>
      </c>
      <c r="S404">
        <v>2</v>
      </c>
    </row>
    <row r="405" spans="1:22" x14ac:dyDescent="0.45">
      <c r="A405" t="str">
        <f>"10343147"</f>
        <v>10343147</v>
      </c>
      <c r="B405" t="s">
        <v>22</v>
      </c>
      <c r="C405" s="1">
        <v>43608</v>
      </c>
      <c r="D405">
        <v>460000</v>
      </c>
      <c r="E405" t="s">
        <v>229</v>
      </c>
      <c r="F405">
        <v>1962</v>
      </c>
      <c r="G405">
        <v>1000</v>
      </c>
      <c r="H405" t="s">
        <v>208</v>
      </c>
      <c r="I405" t="str">
        <f t="shared" si="6"/>
        <v>25</v>
      </c>
      <c r="J405">
        <v>60025</v>
      </c>
      <c r="K405">
        <v>1250</v>
      </c>
      <c r="L405">
        <v>7</v>
      </c>
      <c r="M405">
        <v>1</v>
      </c>
      <c r="N405">
        <v>1</v>
      </c>
      <c r="O405" t="s">
        <v>25</v>
      </c>
      <c r="P405">
        <v>3</v>
      </c>
      <c r="Q405">
        <v>0</v>
      </c>
      <c r="T405">
        <v>6</v>
      </c>
    </row>
    <row r="406" spans="1:22" x14ac:dyDescent="0.45">
      <c r="A406" t="str">
        <f>"10507011"</f>
        <v>10507011</v>
      </c>
      <c r="B406" t="s">
        <v>22</v>
      </c>
      <c r="C406" s="1">
        <v>43900</v>
      </c>
      <c r="D406">
        <v>460000</v>
      </c>
      <c r="E406" t="s">
        <v>60</v>
      </c>
      <c r="F406">
        <v>1930</v>
      </c>
      <c r="G406">
        <v>1611</v>
      </c>
      <c r="H406" t="s">
        <v>230</v>
      </c>
      <c r="I406" t="str">
        <f t="shared" si="6"/>
        <v>25</v>
      </c>
      <c r="J406">
        <v>60025</v>
      </c>
      <c r="K406">
        <v>1715</v>
      </c>
      <c r="L406">
        <v>6</v>
      </c>
      <c r="M406">
        <v>1</v>
      </c>
      <c r="N406">
        <v>1</v>
      </c>
      <c r="O406" t="s">
        <v>25</v>
      </c>
      <c r="P406">
        <v>3</v>
      </c>
      <c r="Q406">
        <v>0</v>
      </c>
      <c r="R406" t="s">
        <v>35</v>
      </c>
      <c r="S406">
        <v>2</v>
      </c>
    </row>
    <row r="407" spans="1:22" x14ac:dyDescent="0.45">
      <c r="A407" t="str">
        <f>"10769995"</f>
        <v>10769995</v>
      </c>
      <c r="B407" t="s">
        <v>22</v>
      </c>
      <c r="C407" s="1">
        <v>44067</v>
      </c>
      <c r="D407">
        <v>460000</v>
      </c>
      <c r="E407" t="s">
        <v>37</v>
      </c>
      <c r="F407">
        <v>1958</v>
      </c>
      <c r="G407">
        <v>1230</v>
      </c>
      <c r="H407" t="s">
        <v>205</v>
      </c>
      <c r="I407" t="str">
        <f t="shared" si="6"/>
        <v>25</v>
      </c>
      <c r="J407">
        <v>60025</v>
      </c>
      <c r="K407">
        <v>1422</v>
      </c>
      <c r="L407">
        <v>7</v>
      </c>
      <c r="M407">
        <v>2</v>
      </c>
      <c r="N407">
        <v>1</v>
      </c>
      <c r="O407" t="s">
        <v>41</v>
      </c>
      <c r="P407">
        <v>3</v>
      </c>
      <c r="Q407">
        <v>0</v>
      </c>
      <c r="R407" t="s">
        <v>35</v>
      </c>
      <c r="S407">
        <v>2</v>
      </c>
    </row>
    <row r="408" spans="1:22" x14ac:dyDescent="0.45">
      <c r="A408" t="str">
        <f>"10386704"</f>
        <v>10386704</v>
      </c>
      <c r="B408" t="s">
        <v>22</v>
      </c>
      <c r="C408" s="1">
        <v>43892</v>
      </c>
      <c r="D408">
        <v>460000</v>
      </c>
      <c r="E408" t="s">
        <v>23</v>
      </c>
      <c r="F408">
        <v>1973</v>
      </c>
      <c r="G408">
        <v>1629</v>
      </c>
      <c r="H408" t="s">
        <v>231</v>
      </c>
      <c r="I408" t="str">
        <f t="shared" si="6"/>
        <v>25</v>
      </c>
      <c r="J408">
        <v>60025</v>
      </c>
      <c r="K408">
        <v>2259</v>
      </c>
      <c r="L408">
        <v>9</v>
      </c>
      <c r="M408">
        <v>3</v>
      </c>
      <c r="N408">
        <v>1</v>
      </c>
      <c r="O408" t="s">
        <v>41</v>
      </c>
      <c r="P408">
        <v>4</v>
      </c>
      <c r="Q408">
        <v>0</v>
      </c>
      <c r="R408" t="s">
        <v>26</v>
      </c>
      <c r="S408">
        <v>2</v>
      </c>
      <c r="V408" t="s">
        <v>27</v>
      </c>
    </row>
    <row r="409" spans="1:22" x14ac:dyDescent="0.45">
      <c r="A409" t="str">
        <f>"10501634"</f>
        <v>10501634</v>
      </c>
      <c r="B409" t="s">
        <v>22</v>
      </c>
      <c r="C409" s="1">
        <v>43783</v>
      </c>
      <c r="D409">
        <v>460000</v>
      </c>
      <c r="E409" t="s">
        <v>23</v>
      </c>
      <c r="F409">
        <v>1965</v>
      </c>
      <c r="G409">
        <v>1800</v>
      </c>
      <c r="H409" t="s">
        <v>232</v>
      </c>
      <c r="I409" t="str">
        <f t="shared" si="6"/>
        <v>25</v>
      </c>
      <c r="J409">
        <v>60025</v>
      </c>
      <c r="K409">
        <v>2060</v>
      </c>
      <c r="L409">
        <v>8</v>
      </c>
      <c r="M409">
        <v>2</v>
      </c>
      <c r="N409">
        <v>0</v>
      </c>
      <c r="O409" t="s">
        <v>25</v>
      </c>
      <c r="P409">
        <v>3</v>
      </c>
      <c r="Q409">
        <v>0</v>
      </c>
      <c r="R409" t="s">
        <v>26</v>
      </c>
      <c r="S409">
        <v>2</v>
      </c>
      <c r="V409" t="s">
        <v>27</v>
      </c>
    </row>
    <row r="410" spans="1:22" x14ac:dyDescent="0.45">
      <c r="A410" t="str">
        <f>"10914114"</f>
        <v>10914114</v>
      </c>
      <c r="B410" t="s">
        <v>22</v>
      </c>
      <c r="C410" s="1">
        <v>44195</v>
      </c>
      <c r="D410">
        <v>460000</v>
      </c>
      <c r="E410" t="s">
        <v>31</v>
      </c>
      <c r="F410" t="s">
        <v>29</v>
      </c>
      <c r="G410">
        <v>910</v>
      </c>
      <c r="H410" t="s">
        <v>233</v>
      </c>
      <c r="I410" t="str">
        <f t="shared" si="6"/>
        <v>25</v>
      </c>
      <c r="J410">
        <v>60025</v>
      </c>
      <c r="K410">
        <v>0</v>
      </c>
      <c r="L410">
        <v>7</v>
      </c>
      <c r="M410">
        <v>2</v>
      </c>
      <c r="N410">
        <v>0</v>
      </c>
      <c r="O410" t="s">
        <v>41</v>
      </c>
      <c r="P410">
        <v>3</v>
      </c>
      <c r="Q410">
        <v>0</v>
      </c>
      <c r="R410" t="s">
        <v>26</v>
      </c>
      <c r="S410">
        <v>2</v>
      </c>
      <c r="V410" t="s">
        <v>71</v>
      </c>
    </row>
    <row r="411" spans="1:22" x14ac:dyDescent="0.45">
      <c r="A411" t="str">
        <f>"10925995"</f>
        <v>10925995</v>
      </c>
      <c r="B411" t="s">
        <v>22</v>
      </c>
      <c r="C411" s="1">
        <v>44196</v>
      </c>
      <c r="D411">
        <v>460000</v>
      </c>
      <c r="E411" t="s">
        <v>60</v>
      </c>
      <c r="F411">
        <v>1943</v>
      </c>
      <c r="G411">
        <v>705</v>
      </c>
      <c r="H411" t="s">
        <v>234</v>
      </c>
      <c r="I411" t="str">
        <f t="shared" si="6"/>
        <v>25</v>
      </c>
      <c r="J411">
        <v>60025</v>
      </c>
      <c r="K411">
        <v>2829</v>
      </c>
      <c r="L411">
        <v>9</v>
      </c>
      <c r="M411">
        <v>3</v>
      </c>
      <c r="N411">
        <v>0</v>
      </c>
      <c r="O411" t="s">
        <v>25</v>
      </c>
      <c r="P411">
        <v>4</v>
      </c>
      <c r="Q411">
        <v>0</v>
      </c>
      <c r="R411" t="s">
        <v>26</v>
      </c>
      <c r="S411">
        <v>2</v>
      </c>
    </row>
    <row r="412" spans="1:22" x14ac:dyDescent="0.45">
      <c r="A412" t="str">
        <f>"10631855"</f>
        <v>10631855</v>
      </c>
      <c r="B412" t="s">
        <v>22</v>
      </c>
      <c r="C412" s="1">
        <v>43917</v>
      </c>
      <c r="D412">
        <v>460000</v>
      </c>
      <c r="E412" t="s">
        <v>74</v>
      </c>
      <c r="F412">
        <v>1973</v>
      </c>
      <c r="G412">
        <v>4037</v>
      </c>
      <c r="H412" t="s">
        <v>215</v>
      </c>
      <c r="I412" t="str">
        <f t="shared" si="6"/>
        <v>25</v>
      </c>
      <c r="J412">
        <v>60026</v>
      </c>
      <c r="K412">
        <v>2359</v>
      </c>
      <c r="L412">
        <v>8</v>
      </c>
      <c r="M412">
        <v>2</v>
      </c>
      <c r="N412">
        <v>1</v>
      </c>
      <c r="O412" t="s">
        <v>25</v>
      </c>
      <c r="P412">
        <v>4</v>
      </c>
      <c r="Q412">
        <v>0</v>
      </c>
      <c r="R412" t="s">
        <v>26</v>
      </c>
      <c r="S412">
        <v>2</v>
      </c>
    </row>
    <row r="413" spans="1:22" x14ac:dyDescent="0.45">
      <c r="A413" t="str">
        <f>"10682908"</f>
        <v>10682908</v>
      </c>
      <c r="B413" t="s">
        <v>22</v>
      </c>
      <c r="C413" s="1">
        <v>44083</v>
      </c>
      <c r="D413">
        <v>462000</v>
      </c>
      <c r="E413" t="s">
        <v>31</v>
      </c>
      <c r="F413">
        <v>1960</v>
      </c>
      <c r="G413">
        <v>2452</v>
      </c>
      <c r="H413" t="s">
        <v>235</v>
      </c>
      <c r="I413" t="str">
        <f t="shared" si="6"/>
        <v>25</v>
      </c>
      <c r="J413">
        <v>60025</v>
      </c>
      <c r="K413">
        <v>1850</v>
      </c>
      <c r="L413">
        <v>8</v>
      </c>
      <c r="M413">
        <v>2</v>
      </c>
      <c r="N413">
        <v>0</v>
      </c>
      <c r="O413" t="s">
        <v>25</v>
      </c>
      <c r="P413">
        <v>4</v>
      </c>
      <c r="Q413">
        <v>0</v>
      </c>
      <c r="R413" t="s">
        <v>26</v>
      </c>
      <c r="S413">
        <v>2</v>
      </c>
      <c r="V413" t="s">
        <v>36</v>
      </c>
    </row>
    <row r="414" spans="1:22" x14ac:dyDescent="0.45">
      <c r="A414" t="str">
        <f>"10306969"</f>
        <v>10306969</v>
      </c>
      <c r="B414" t="s">
        <v>22</v>
      </c>
      <c r="C414" s="1">
        <v>43608</v>
      </c>
      <c r="D414">
        <v>465000</v>
      </c>
      <c r="E414" t="s">
        <v>60</v>
      </c>
      <c r="F414">
        <v>1940</v>
      </c>
      <c r="G414">
        <v>7</v>
      </c>
      <c r="H414" t="s">
        <v>236</v>
      </c>
      <c r="I414" t="str">
        <f t="shared" si="6"/>
        <v>25</v>
      </c>
      <c r="J414">
        <v>60029</v>
      </c>
      <c r="K414">
        <v>0</v>
      </c>
      <c r="L414">
        <v>7</v>
      </c>
      <c r="M414">
        <v>1</v>
      </c>
      <c r="N414">
        <v>1</v>
      </c>
      <c r="O414" t="s">
        <v>25</v>
      </c>
      <c r="P414">
        <v>3</v>
      </c>
      <c r="Q414">
        <v>0</v>
      </c>
      <c r="R414" t="s">
        <v>26</v>
      </c>
      <c r="S414">
        <v>1</v>
      </c>
    </row>
    <row r="415" spans="1:22" x14ac:dyDescent="0.45">
      <c r="A415" t="str">
        <f>"10498936"</f>
        <v>10498936</v>
      </c>
      <c r="B415" t="s">
        <v>22</v>
      </c>
      <c r="C415" s="1">
        <v>43903</v>
      </c>
      <c r="D415">
        <v>465000</v>
      </c>
      <c r="E415" t="s">
        <v>60</v>
      </c>
      <c r="F415">
        <v>1988</v>
      </c>
      <c r="G415">
        <v>4315</v>
      </c>
      <c r="H415" t="s">
        <v>237</v>
      </c>
      <c r="I415" t="str">
        <f t="shared" si="6"/>
        <v>25</v>
      </c>
      <c r="J415">
        <v>60026</v>
      </c>
      <c r="K415">
        <v>2401</v>
      </c>
      <c r="L415">
        <v>10</v>
      </c>
      <c r="M415">
        <v>2</v>
      </c>
      <c r="N415">
        <v>1</v>
      </c>
      <c r="O415" t="s">
        <v>25</v>
      </c>
      <c r="P415">
        <v>4</v>
      </c>
      <c r="Q415">
        <v>0</v>
      </c>
      <c r="R415" t="s">
        <v>26</v>
      </c>
      <c r="S415">
        <v>2</v>
      </c>
      <c r="V415" t="s">
        <v>67</v>
      </c>
    </row>
    <row r="416" spans="1:22" x14ac:dyDescent="0.45">
      <c r="A416" t="str">
        <f>"10714581"</f>
        <v>10714581</v>
      </c>
      <c r="B416" t="s">
        <v>22</v>
      </c>
      <c r="C416" s="1">
        <v>44071</v>
      </c>
      <c r="D416">
        <v>465000</v>
      </c>
      <c r="E416" t="s">
        <v>60</v>
      </c>
      <c r="F416">
        <v>1942</v>
      </c>
      <c r="G416">
        <v>604</v>
      </c>
      <c r="H416" t="s">
        <v>128</v>
      </c>
      <c r="I416" t="str">
        <f t="shared" si="6"/>
        <v>25</v>
      </c>
      <c r="J416">
        <v>60025</v>
      </c>
      <c r="K416">
        <v>0</v>
      </c>
      <c r="L416">
        <v>10</v>
      </c>
      <c r="M416">
        <v>3</v>
      </c>
      <c r="N416">
        <v>0</v>
      </c>
      <c r="O416" t="s">
        <v>25</v>
      </c>
      <c r="P416">
        <v>5</v>
      </c>
      <c r="Q416">
        <v>0</v>
      </c>
      <c r="R416" t="s">
        <v>26</v>
      </c>
      <c r="S416">
        <v>2</v>
      </c>
    </row>
    <row r="417" spans="1:22" x14ac:dyDescent="0.45">
      <c r="A417" t="str">
        <f>"10518271"</f>
        <v>10518271</v>
      </c>
      <c r="B417" t="s">
        <v>22</v>
      </c>
      <c r="C417" s="1">
        <v>43825</v>
      </c>
      <c r="D417">
        <v>465420</v>
      </c>
      <c r="E417" t="s">
        <v>60</v>
      </c>
      <c r="F417">
        <v>1989</v>
      </c>
      <c r="G417">
        <v>1909</v>
      </c>
      <c r="H417" t="s">
        <v>238</v>
      </c>
      <c r="I417" t="str">
        <f t="shared" si="6"/>
        <v>25</v>
      </c>
      <c r="J417">
        <v>60026</v>
      </c>
      <c r="K417">
        <v>2662</v>
      </c>
      <c r="L417">
        <v>9</v>
      </c>
      <c r="M417">
        <v>2</v>
      </c>
      <c r="N417">
        <v>1</v>
      </c>
      <c r="O417" t="s">
        <v>25</v>
      </c>
      <c r="P417">
        <v>4</v>
      </c>
      <c r="Q417">
        <v>0</v>
      </c>
      <c r="R417" t="s">
        <v>26</v>
      </c>
      <c r="S417">
        <v>2</v>
      </c>
      <c r="V417" t="s">
        <v>67</v>
      </c>
    </row>
    <row r="418" spans="1:22" x14ac:dyDescent="0.45">
      <c r="A418" t="str">
        <f>"10692183"</f>
        <v>10692183</v>
      </c>
      <c r="B418" t="s">
        <v>22</v>
      </c>
      <c r="C418" s="1">
        <v>44005</v>
      </c>
      <c r="D418">
        <v>466000</v>
      </c>
      <c r="E418" t="s">
        <v>37</v>
      </c>
      <c r="F418">
        <v>1950</v>
      </c>
      <c r="G418">
        <v>115</v>
      </c>
      <c r="H418" t="s">
        <v>77</v>
      </c>
      <c r="I418" t="str">
        <f t="shared" si="6"/>
        <v>25</v>
      </c>
      <c r="J418">
        <v>60025</v>
      </c>
      <c r="K418">
        <v>1900</v>
      </c>
      <c r="L418">
        <v>9</v>
      </c>
      <c r="M418">
        <v>2</v>
      </c>
      <c r="N418">
        <v>1</v>
      </c>
      <c r="O418" t="s">
        <v>41</v>
      </c>
      <c r="P418">
        <v>4</v>
      </c>
      <c r="Q418">
        <v>0</v>
      </c>
      <c r="R418" t="s">
        <v>35</v>
      </c>
      <c r="S418">
        <v>2</v>
      </c>
      <c r="V418" t="s">
        <v>36</v>
      </c>
    </row>
    <row r="419" spans="1:22" x14ac:dyDescent="0.45">
      <c r="A419" t="str">
        <f>"10700187"</f>
        <v>10700187</v>
      </c>
      <c r="B419" t="s">
        <v>22</v>
      </c>
      <c r="C419" s="1">
        <v>44014</v>
      </c>
      <c r="D419">
        <v>469000</v>
      </c>
      <c r="E419" t="s">
        <v>37</v>
      </c>
      <c r="F419">
        <v>1966</v>
      </c>
      <c r="G419">
        <v>2318</v>
      </c>
      <c r="H419" t="s">
        <v>62</v>
      </c>
      <c r="I419" t="str">
        <f t="shared" si="6"/>
        <v>25</v>
      </c>
      <c r="J419">
        <v>60026</v>
      </c>
      <c r="K419">
        <v>0</v>
      </c>
      <c r="L419">
        <v>7</v>
      </c>
      <c r="M419">
        <v>2</v>
      </c>
      <c r="N419">
        <v>0</v>
      </c>
      <c r="O419" t="s">
        <v>41</v>
      </c>
      <c r="P419">
        <v>3</v>
      </c>
      <c r="Q419">
        <v>0</v>
      </c>
      <c r="R419" t="s">
        <v>26</v>
      </c>
      <c r="S419">
        <v>2</v>
      </c>
      <c r="V419" t="s">
        <v>71</v>
      </c>
    </row>
    <row r="420" spans="1:22" x14ac:dyDescent="0.45">
      <c r="A420" t="str">
        <f>"10827504"</f>
        <v>10827504</v>
      </c>
      <c r="B420" t="s">
        <v>22</v>
      </c>
      <c r="C420" s="1">
        <v>44095</v>
      </c>
      <c r="D420">
        <v>469000</v>
      </c>
      <c r="E420" t="s">
        <v>37</v>
      </c>
      <c r="F420">
        <v>1960</v>
      </c>
      <c r="G420">
        <v>3019</v>
      </c>
      <c r="H420" t="s">
        <v>239</v>
      </c>
      <c r="I420" t="str">
        <f t="shared" si="6"/>
        <v>25</v>
      </c>
      <c r="J420">
        <v>60025</v>
      </c>
      <c r="K420">
        <v>1614</v>
      </c>
      <c r="L420">
        <v>8</v>
      </c>
      <c r="M420">
        <v>3</v>
      </c>
      <c r="N420">
        <v>0</v>
      </c>
      <c r="O420" t="s">
        <v>41</v>
      </c>
      <c r="P420">
        <v>4</v>
      </c>
      <c r="Q420">
        <v>0</v>
      </c>
      <c r="R420" t="s">
        <v>26</v>
      </c>
      <c r="S420">
        <v>2</v>
      </c>
    </row>
    <row r="421" spans="1:22" x14ac:dyDescent="0.45">
      <c r="A421" t="str">
        <f>"10837371"</f>
        <v>10837371</v>
      </c>
      <c r="B421" t="s">
        <v>22</v>
      </c>
      <c r="C421" s="1">
        <v>44127</v>
      </c>
      <c r="D421">
        <v>470000</v>
      </c>
      <c r="E421" t="s">
        <v>37</v>
      </c>
      <c r="F421">
        <v>1960</v>
      </c>
      <c r="G421">
        <v>2943</v>
      </c>
      <c r="H421" t="s">
        <v>240</v>
      </c>
      <c r="I421" t="str">
        <f t="shared" si="6"/>
        <v>25</v>
      </c>
      <c r="J421">
        <v>60026</v>
      </c>
      <c r="K421">
        <v>1646</v>
      </c>
      <c r="L421">
        <v>8</v>
      </c>
      <c r="M421">
        <v>3</v>
      </c>
      <c r="N421">
        <v>0</v>
      </c>
      <c r="O421" t="s">
        <v>41</v>
      </c>
      <c r="P421">
        <v>4</v>
      </c>
      <c r="Q421">
        <v>0</v>
      </c>
      <c r="R421" t="s">
        <v>35</v>
      </c>
      <c r="S421">
        <v>2.5</v>
      </c>
      <c r="V421" t="s">
        <v>71</v>
      </c>
    </row>
    <row r="422" spans="1:22" x14ac:dyDescent="0.45">
      <c r="A422" t="str">
        <f>"10524633"</f>
        <v>10524633</v>
      </c>
      <c r="B422" t="s">
        <v>22</v>
      </c>
      <c r="C422" s="1">
        <v>43822</v>
      </c>
      <c r="D422">
        <v>470000</v>
      </c>
      <c r="E422" t="s">
        <v>37</v>
      </c>
      <c r="F422">
        <v>1973</v>
      </c>
      <c r="G422">
        <v>4013</v>
      </c>
      <c r="H422" t="s">
        <v>241</v>
      </c>
      <c r="I422" t="str">
        <f t="shared" si="6"/>
        <v>25</v>
      </c>
      <c r="J422">
        <v>60026</v>
      </c>
      <c r="K422">
        <v>1748</v>
      </c>
      <c r="L422">
        <v>7</v>
      </c>
      <c r="M422">
        <v>2</v>
      </c>
      <c r="N422">
        <v>1</v>
      </c>
      <c r="O422" t="s">
        <v>25</v>
      </c>
      <c r="P422">
        <v>3</v>
      </c>
      <c r="Q422">
        <v>0</v>
      </c>
      <c r="R422" t="s">
        <v>26</v>
      </c>
      <c r="S422">
        <v>2</v>
      </c>
    </row>
    <row r="423" spans="1:22" x14ac:dyDescent="0.45">
      <c r="A423" t="str">
        <f>"10311741"</f>
        <v>10311741</v>
      </c>
      <c r="B423" t="s">
        <v>22</v>
      </c>
      <c r="C423" s="1">
        <v>43584</v>
      </c>
      <c r="D423">
        <v>470650</v>
      </c>
      <c r="E423" t="s">
        <v>60</v>
      </c>
      <c r="F423">
        <v>1974</v>
      </c>
      <c r="G423">
        <v>1621</v>
      </c>
      <c r="H423" t="s">
        <v>242</v>
      </c>
      <c r="I423" t="str">
        <f t="shared" si="6"/>
        <v>25</v>
      </c>
      <c r="J423">
        <v>60025</v>
      </c>
      <c r="K423">
        <v>3026</v>
      </c>
      <c r="L423">
        <v>9</v>
      </c>
      <c r="M423">
        <v>3</v>
      </c>
      <c r="N423">
        <v>0</v>
      </c>
      <c r="O423" t="s">
        <v>41</v>
      </c>
      <c r="P423">
        <v>4</v>
      </c>
      <c r="Q423">
        <v>0</v>
      </c>
      <c r="R423" t="s">
        <v>26</v>
      </c>
      <c r="S423">
        <v>2</v>
      </c>
    </row>
    <row r="424" spans="1:22" x14ac:dyDescent="0.45">
      <c r="A424" t="str">
        <f>"10501770"</f>
        <v>10501770</v>
      </c>
      <c r="B424" t="s">
        <v>22</v>
      </c>
      <c r="C424" s="1">
        <v>43733</v>
      </c>
      <c r="D424">
        <v>471500</v>
      </c>
      <c r="E424" t="s">
        <v>60</v>
      </c>
      <c r="F424">
        <v>1978</v>
      </c>
      <c r="G424">
        <v>3612</v>
      </c>
      <c r="H424" t="s">
        <v>243</v>
      </c>
      <c r="I424" t="str">
        <f t="shared" si="6"/>
        <v>25</v>
      </c>
      <c r="J424">
        <v>60025</v>
      </c>
      <c r="K424">
        <v>2857</v>
      </c>
      <c r="L424">
        <v>9</v>
      </c>
      <c r="M424">
        <v>2</v>
      </c>
      <c r="N424">
        <v>1</v>
      </c>
      <c r="O424" t="s">
        <v>25</v>
      </c>
      <c r="P424">
        <v>5</v>
      </c>
      <c r="Q424">
        <v>0</v>
      </c>
      <c r="R424" t="s">
        <v>26</v>
      </c>
      <c r="S424">
        <v>2</v>
      </c>
    </row>
    <row r="425" spans="1:22" x14ac:dyDescent="0.45">
      <c r="A425" t="str">
        <f>"10347378"</f>
        <v>10347378</v>
      </c>
      <c r="B425" t="s">
        <v>22</v>
      </c>
      <c r="C425" s="1">
        <v>43647</v>
      </c>
      <c r="D425">
        <v>472000</v>
      </c>
      <c r="E425" t="s">
        <v>37</v>
      </c>
      <c r="F425">
        <v>1959</v>
      </c>
      <c r="G425">
        <v>1238</v>
      </c>
      <c r="H425" t="s">
        <v>101</v>
      </c>
      <c r="I425" t="str">
        <f t="shared" si="6"/>
        <v>25</v>
      </c>
      <c r="J425">
        <v>60025</v>
      </c>
      <c r="K425">
        <v>2301</v>
      </c>
      <c r="L425">
        <v>8</v>
      </c>
      <c r="M425">
        <v>2</v>
      </c>
      <c r="N425">
        <v>0</v>
      </c>
      <c r="O425" t="s">
        <v>25</v>
      </c>
      <c r="P425">
        <v>3</v>
      </c>
      <c r="Q425">
        <v>0</v>
      </c>
      <c r="R425" t="s">
        <v>35</v>
      </c>
      <c r="S425">
        <v>2.5</v>
      </c>
      <c r="V425" t="s">
        <v>71</v>
      </c>
    </row>
    <row r="426" spans="1:22" x14ac:dyDescent="0.45">
      <c r="A426" t="str">
        <f>"10309091"</f>
        <v>10309091</v>
      </c>
      <c r="B426" t="s">
        <v>22</v>
      </c>
      <c r="C426" s="1">
        <v>43630</v>
      </c>
      <c r="D426">
        <v>472000</v>
      </c>
      <c r="E426" t="s">
        <v>23</v>
      </c>
      <c r="F426">
        <v>1977</v>
      </c>
      <c r="G426">
        <v>1655</v>
      </c>
      <c r="H426" t="s">
        <v>199</v>
      </c>
      <c r="I426" t="str">
        <f t="shared" si="6"/>
        <v>25</v>
      </c>
      <c r="J426">
        <v>60025</v>
      </c>
      <c r="K426">
        <v>1790</v>
      </c>
      <c r="L426">
        <v>10</v>
      </c>
      <c r="M426">
        <v>3</v>
      </c>
      <c r="N426">
        <v>0</v>
      </c>
      <c r="O426" t="s">
        <v>41</v>
      </c>
      <c r="P426">
        <v>3</v>
      </c>
      <c r="Q426">
        <v>1</v>
      </c>
      <c r="R426" t="s">
        <v>26</v>
      </c>
      <c r="S426">
        <v>2</v>
      </c>
      <c r="V426" t="s">
        <v>27</v>
      </c>
    </row>
    <row r="427" spans="1:22" x14ac:dyDescent="0.45">
      <c r="A427" t="str">
        <f>"10415859"</f>
        <v>10415859</v>
      </c>
      <c r="B427" t="s">
        <v>22</v>
      </c>
      <c r="C427" s="1">
        <v>43754</v>
      </c>
      <c r="D427">
        <v>472000</v>
      </c>
      <c r="E427" t="s">
        <v>23</v>
      </c>
      <c r="F427">
        <v>1946</v>
      </c>
      <c r="G427">
        <v>915</v>
      </c>
      <c r="H427" t="s">
        <v>107</v>
      </c>
      <c r="I427" t="str">
        <f t="shared" si="6"/>
        <v>25</v>
      </c>
      <c r="J427">
        <v>60025</v>
      </c>
      <c r="K427">
        <v>1372</v>
      </c>
      <c r="L427">
        <v>6</v>
      </c>
      <c r="M427">
        <v>1</v>
      </c>
      <c r="N427">
        <v>0</v>
      </c>
      <c r="O427" t="s">
        <v>25</v>
      </c>
      <c r="P427">
        <v>3</v>
      </c>
      <c r="Q427">
        <v>0</v>
      </c>
      <c r="R427" t="s">
        <v>26</v>
      </c>
      <c r="S427">
        <v>1.5</v>
      </c>
    </row>
    <row r="428" spans="1:22" x14ac:dyDescent="0.45">
      <c r="A428" t="str">
        <f>"10809496"</f>
        <v>10809496</v>
      </c>
      <c r="B428" t="s">
        <v>22</v>
      </c>
      <c r="C428" s="1">
        <v>44119</v>
      </c>
      <c r="D428">
        <v>475000</v>
      </c>
      <c r="E428" t="s">
        <v>31</v>
      </c>
      <c r="F428">
        <v>1971</v>
      </c>
      <c r="G428">
        <v>2325</v>
      </c>
      <c r="H428" t="s">
        <v>244</v>
      </c>
      <c r="I428" t="str">
        <f t="shared" si="6"/>
        <v>25</v>
      </c>
      <c r="J428">
        <v>60062</v>
      </c>
      <c r="K428">
        <v>1541</v>
      </c>
      <c r="L428">
        <v>8</v>
      </c>
      <c r="M428">
        <v>3</v>
      </c>
      <c r="N428">
        <v>1</v>
      </c>
      <c r="O428" t="s">
        <v>41</v>
      </c>
      <c r="P428">
        <v>3</v>
      </c>
      <c r="Q428">
        <v>0</v>
      </c>
      <c r="R428" t="s">
        <v>26</v>
      </c>
      <c r="S428">
        <v>2</v>
      </c>
      <c r="V428" t="s">
        <v>71</v>
      </c>
    </row>
    <row r="429" spans="1:22" x14ac:dyDescent="0.45">
      <c r="A429" t="str">
        <f>"10444144"</f>
        <v>10444144</v>
      </c>
      <c r="B429" t="s">
        <v>22</v>
      </c>
      <c r="C429" s="1">
        <v>43717</v>
      </c>
      <c r="D429">
        <v>475000</v>
      </c>
      <c r="E429" t="s">
        <v>23</v>
      </c>
      <c r="F429">
        <v>1947</v>
      </c>
      <c r="G429">
        <v>1915</v>
      </c>
      <c r="H429" t="s">
        <v>245</v>
      </c>
      <c r="I429" t="str">
        <f t="shared" si="6"/>
        <v>25</v>
      </c>
      <c r="J429">
        <v>60025</v>
      </c>
      <c r="K429">
        <v>2051</v>
      </c>
      <c r="L429">
        <v>7</v>
      </c>
      <c r="M429">
        <v>2</v>
      </c>
      <c r="N429">
        <v>0</v>
      </c>
      <c r="O429" t="s">
        <v>25</v>
      </c>
      <c r="P429">
        <v>3</v>
      </c>
      <c r="Q429">
        <v>0</v>
      </c>
      <c r="R429" t="s">
        <v>35</v>
      </c>
      <c r="S429">
        <v>1.5</v>
      </c>
      <c r="V429" t="s">
        <v>27</v>
      </c>
    </row>
    <row r="430" spans="1:22" x14ac:dyDescent="0.45">
      <c r="A430" t="str">
        <f>"10439204"</f>
        <v>10439204</v>
      </c>
      <c r="B430" t="s">
        <v>22</v>
      </c>
      <c r="C430" s="1">
        <v>43738</v>
      </c>
      <c r="D430">
        <v>475000</v>
      </c>
      <c r="E430" t="s">
        <v>23</v>
      </c>
      <c r="F430">
        <v>1952</v>
      </c>
      <c r="G430">
        <v>240</v>
      </c>
      <c r="H430" t="s">
        <v>246</v>
      </c>
      <c r="I430" t="str">
        <f t="shared" si="6"/>
        <v>25</v>
      </c>
      <c r="J430">
        <v>60025</v>
      </c>
      <c r="K430">
        <v>1636</v>
      </c>
      <c r="L430">
        <v>6</v>
      </c>
      <c r="M430">
        <v>2</v>
      </c>
      <c r="N430">
        <v>0</v>
      </c>
      <c r="O430" t="s">
        <v>25</v>
      </c>
      <c r="P430">
        <v>3</v>
      </c>
      <c r="Q430">
        <v>0</v>
      </c>
      <c r="R430" t="s">
        <v>35</v>
      </c>
      <c r="S430">
        <v>2</v>
      </c>
      <c r="V430" t="s">
        <v>27</v>
      </c>
    </row>
    <row r="431" spans="1:22" x14ac:dyDescent="0.45">
      <c r="A431" t="str">
        <f>"10826914"</f>
        <v>10826914</v>
      </c>
      <c r="B431" t="s">
        <v>22</v>
      </c>
      <c r="C431" s="1">
        <v>44175</v>
      </c>
      <c r="D431">
        <v>475000</v>
      </c>
      <c r="E431" t="s">
        <v>37</v>
      </c>
      <c r="F431">
        <v>1959</v>
      </c>
      <c r="G431">
        <v>424</v>
      </c>
      <c r="H431" t="s">
        <v>247</v>
      </c>
      <c r="I431" t="str">
        <f t="shared" si="6"/>
        <v>25</v>
      </c>
      <c r="J431">
        <v>60025</v>
      </c>
      <c r="K431">
        <v>2150</v>
      </c>
      <c r="L431">
        <v>8</v>
      </c>
      <c r="M431">
        <v>3</v>
      </c>
      <c r="N431">
        <v>0</v>
      </c>
      <c r="O431" t="s">
        <v>41</v>
      </c>
      <c r="P431">
        <v>4</v>
      </c>
      <c r="Q431">
        <v>0</v>
      </c>
      <c r="R431" t="s">
        <v>26</v>
      </c>
      <c r="S431">
        <v>1</v>
      </c>
    </row>
    <row r="432" spans="1:22" x14ac:dyDescent="0.45">
      <c r="A432" t="str">
        <f>"10294641"</f>
        <v>10294641</v>
      </c>
      <c r="B432" t="s">
        <v>22</v>
      </c>
      <c r="C432" s="1">
        <v>43592</v>
      </c>
      <c r="D432">
        <v>475000</v>
      </c>
      <c r="E432" t="s">
        <v>74</v>
      </c>
      <c r="F432">
        <v>1960</v>
      </c>
      <c r="G432">
        <v>1644</v>
      </c>
      <c r="H432" t="s">
        <v>248</v>
      </c>
      <c r="I432" t="str">
        <f t="shared" si="6"/>
        <v>25</v>
      </c>
      <c r="J432">
        <v>60025</v>
      </c>
      <c r="K432">
        <v>2440</v>
      </c>
      <c r="L432">
        <v>10</v>
      </c>
      <c r="M432">
        <v>2</v>
      </c>
      <c r="N432">
        <v>2</v>
      </c>
      <c r="O432" t="s">
        <v>25</v>
      </c>
      <c r="P432">
        <v>4</v>
      </c>
      <c r="Q432">
        <v>0</v>
      </c>
      <c r="R432" t="s">
        <v>26</v>
      </c>
      <c r="S432">
        <v>2</v>
      </c>
    </row>
    <row r="433" spans="1:22" x14ac:dyDescent="0.45">
      <c r="A433" t="str">
        <f>"10666235"</f>
        <v>10666235</v>
      </c>
      <c r="B433" t="s">
        <v>22</v>
      </c>
      <c r="C433" s="1">
        <v>43951</v>
      </c>
      <c r="D433">
        <v>475000</v>
      </c>
      <c r="E433" t="s">
        <v>23</v>
      </c>
      <c r="F433">
        <v>1972</v>
      </c>
      <c r="G433">
        <v>1627</v>
      </c>
      <c r="H433" t="s">
        <v>242</v>
      </c>
      <c r="I433" t="str">
        <f t="shared" si="6"/>
        <v>25</v>
      </c>
      <c r="J433">
        <v>60025</v>
      </c>
      <c r="K433">
        <v>2259</v>
      </c>
      <c r="L433">
        <v>10</v>
      </c>
      <c r="M433">
        <v>3</v>
      </c>
      <c r="N433">
        <v>1</v>
      </c>
      <c r="O433" t="s">
        <v>41</v>
      </c>
      <c r="P433">
        <v>3</v>
      </c>
      <c r="Q433">
        <v>1</v>
      </c>
      <c r="R433" t="s">
        <v>26</v>
      </c>
      <c r="S433">
        <v>2</v>
      </c>
      <c r="V433" t="s">
        <v>27</v>
      </c>
    </row>
    <row r="434" spans="1:22" x14ac:dyDescent="0.45">
      <c r="A434" t="str">
        <f>"10377083"</f>
        <v>10377083</v>
      </c>
      <c r="B434" t="s">
        <v>22</v>
      </c>
      <c r="C434" s="1">
        <v>43677</v>
      </c>
      <c r="D434">
        <v>475000</v>
      </c>
      <c r="E434" t="s">
        <v>60</v>
      </c>
      <c r="F434">
        <v>1950</v>
      </c>
      <c r="G434">
        <v>1949</v>
      </c>
      <c r="H434" t="s">
        <v>135</v>
      </c>
      <c r="I434" t="str">
        <f t="shared" si="6"/>
        <v>25</v>
      </c>
      <c r="J434">
        <v>60025</v>
      </c>
      <c r="K434">
        <v>1623</v>
      </c>
      <c r="L434">
        <v>9</v>
      </c>
      <c r="M434">
        <v>2</v>
      </c>
      <c r="N434">
        <v>0</v>
      </c>
      <c r="O434" t="s">
        <v>25</v>
      </c>
      <c r="P434">
        <v>3</v>
      </c>
      <c r="Q434">
        <v>0</v>
      </c>
      <c r="R434" t="s">
        <v>26</v>
      </c>
      <c r="S434">
        <v>1</v>
      </c>
      <c r="V434" t="s">
        <v>33</v>
      </c>
    </row>
    <row r="435" spans="1:22" x14ac:dyDescent="0.45">
      <c r="A435" t="str">
        <f>"10896021"</f>
        <v>10896021</v>
      </c>
      <c r="B435" t="s">
        <v>22</v>
      </c>
      <c r="C435" s="1">
        <v>44155</v>
      </c>
      <c r="D435">
        <v>475000</v>
      </c>
      <c r="E435" t="s">
        <v>37</v>
      </c>
      <c r="F435">
        <v>1961</v>
      </c>
      <c r="G435">
        <v>2026</v>
      </c>
      <c r="H435" t="s">
        <v>249</v>
      </c>
      <c r="I435" t="str">
        <f t="shared" si="6"/>
        <v>25</v>
      </c>
      <c r="J435">
        <v>60025</v>
      </c>
      <c r="K435">
        <v>0</v>
      </c>
      <c r="L435">
        <v>9</v>
      </c>
      <c r="M435">
        <v>2</v>
      </c>
      <c r="N435">
        <v>0</v>
      </c>
      <c r="O435" t="s">
        <v>25</v>
      </c>
      <c r="P435">
        <v>4</v>
      </c>
      <c r="Q435">
        <v>0</v>
      </c>
      <c r="R435" t="s">
        <v>26</v>
      </c>
      <c r="S435">
        <v>2</v>
      </c>
    </row>
    <row r="436" spans="1:22" x14ac:dyDescent="0.45">
      <c r="A436" t="str">
        <f>"10448608"</f>
        <v>10448608</v>
      </c>
      <c r="B436" t="s">
        <v>22</v>
      </c>
      <c r="C436" s="1">
        <v>43756</v>
      </c>
      <c r="D436">
        <v>475000</v>
      </c>
      <c r="E436" t="s">
        <v>60</v>
      </c>
      <c r="F436">
        <v>1988</v>
      </c>
      <c r="G436">
        <v>1911</v>
      </c>
      <c r="H436" t="s">
        <v>237</v>
      </c>
      <c r="I436" t="str">
        <f t="shared" si="6"/>
        <v>25</v>
      </c>
      <c r="J436">
        <v>60025</v>
      </c>
      <c r="K436">
        <v>2543</v>
      </c>
      <c r="L436">
        <v>11</v>
      </c>
      <c r="M436">
        <v>2</v>
      </c>
      <c r="N436">
        <v>1</v>
      </c>
      <c r="O436" t="s">
        <v>25</v>
      </c>
      <c r="P436">
        <v>4</v>
      </c>
      <c r="Q436">
        <v>0</v>
      </c>
      <c r="R436" t="s">
        <v>26</v>
      </c>
      <c r="S436">
        <v>2</v>
      </c>
      <c r="V436" t="s">
        <v>67</v>
      </c>
    </row>
    <row r="437" spans="1:22" x14ac:dyDescent="0.45">
      <c r="A437" t="str">
        <f>"10306471"</f>
        <v>10306471</v>
      </c>
      <c r="B437" t="s">
        <v>22</v>
      </c>
      <c r="C437" s="1">
        <v>43598</v>
      </c>
      <c r="D437">
        <v>475000</v>
      </c>
      <c r="E437" t="s">
        <v>31</v>
      </c>
      <c r="F437">
        <v>1957</v>
      </c>
      <c r="G437">
        <v>426</v>
      </c>
      <c r="H437" t="s">
        <v>80</v>
      </c>
      <c r="I437" t="str">
        <f t="shared" si="6"/>
        <v>25</v>
      </c>
      <c r="J437">
        <v>60025</v>
      </c>
      <c r="K437">
        <v>1278</v>
      </c>
      <c r="L437">
        <v>7</v>
      </c>
      <c r="M437">
        <v>2</v>
      </c>
      <c r="N437">
        <v>0</v>
      </c>
      <c r="O437" t="s">
        <v>41</v>
      </c>
      <c r="P437">
        <v>3</v>
      </c>
      <c r="Q437">
        <v>0</v>
      </c>
      <c r="R437" t="s">
        <v>35</v>
      </c>
      <c r="S437">
        <v>2.5</v>
      </c>
      <c r="V437" t="s">
        <v>71</v>
      </c>
    </row>
    <row r="438" spans="1:22" x14ac:dyDescent="0.45">
      <c r="A438" t="str">
        <f>"10518449"</f>
        <v>10518449</v>
      </c>
      <c r="B438" t="s">
        <v>22</v>
      </c>
      <c r="C438" s="1">
        <v>43880</v>
      </c>
      <c r="D438">
        <v>475000</v>
      </c>
      <c r="E438" t="s">
        <v>60</v>
      </c>
      <c r="F438">
        <v>1919</v>
      </c>
      <c r="G438">
        <v>1936</v>
      </c>
      <c r="H438" t="s">
        <v>250</v>
      </c>
      <c r="I438" t="str">
        <f t="shared" si="6"/>
        <v>25</v>
      </c>
      <c r="J438">
        <v>60025</v>
      </c>
      <c r="K438">
        <v>1965</v>
      </c>
      <c r="L438">
        <v>9</v>
      </c>
      <c r="M438">
        <v>2</v>
      </c>
      <c r="N438">
        <v>0</v>
      </c>
      <c r="O438" t="s">
        <v>25</v>
      </c>
      <c r="P438">
        <v>3</v>
      </c>
      <c r="Q438">
        <v>0</v>
      </c>
      <c r="R438" t="s">
        <v>35</v>
      </c>
      <c r="S438">
        <v>2.5</v>
      </c>
      <c r="T438">
        <v>2</v>
      </c>
      <c r="V438" t="s">
        <v>226</v>
      </c>
    </row>
    <row r="439" spans="1:22" x14ac:dyDescent="0.45">
      <c r="A439" t="str">
        <f>"10814960"</f>
        <v>10814960</v>
      </c>
      <c r="B439" t="s">
        <v>22</v>
      </c>
      <c r="C439" s="1">
        <v>44118</v>
      </c>
      <c r="D439">
        <v>477000</v>
      </c>
      <c r="E439" t="s">
        <v>37</v>
      </c>
      <c r="F439">
        <v>1969</v>
      </c>
      <c r="G439">
        <v>3016</v>
      </c>
      <c r="H439" t="s">
        <v>168</v>
      </c>
      <c r="I439" t="str">
        <f t="shared" si="6"/>
        <v>25</v>
      </c>
      <c r="J439">
        <v>60026</v>
      </c>
      <c r="K439">
        <v>0</v>
      </c>
      <c r="L439">
        <v>8</v>
      </c>
      <c r="M439">
        <v>2</v>
      </c>
      <c r="N439">
        <v>0</v>
      </c>
      <c r="P439">
        <v>3</v>
      </c>
      <c r="Q439">
        <v>0</v>
      </c>
      <c r="R439" t="s">
        <v>26</v>
      </c>
      <c r="S439">
        <v>2</v>
      </c>
    </row>
    <row r="440" spans="1:22" x14ac:dyDescent="0.45">
      <c r="A440" t="str">
        <f>"10816305"</f>
        <v>10816305</v>
      </c>
      <c r="B440" t="s">
        <v>22</v>
      </c>
      <c r="C440" s="1">
        <v>44102</v>
      </c>
      <c r="D440">
        <v>477000</v>
      </c>
      <c r="E440" t="s">
        <v>23</v>
      </c>
      <c r="F440">
        <v>1957</v>
      </c>
      <c r="G440">
        <v>2635</v>
      </c>
      <c r="H440" t="s">
        <v>105</v>
      </c>
      <c r="I440" t="str">
        <f t="shared" si="6"/>
        <v>25</v>
      </c>
      <c r="J440">
        <v>60025</v>
      </c>
      <c r="K440">
        <v>1500</v>
      </c>
      <c r="L440">
        <v>10</v>
      </c>
      <c r="M440">
        <v>2</v>
      </c>
      <c r="N440">
        <v>0</v>
      </c>
      <c r="O440" t="s">
        <v>25</v>
      </c>
      <c r="P440">
        <v>4</v>
      </c>
      <c r="Q440">
        <v>0</v>
      </c>
      <c r="R440" t="s">
        <v>35</v>
      </c>
      <c r="S440">
        <v>2</v>
      </c>
      <c r="V440" t="s">
        <v>27</v>
      </c>
    </row>
    <row r="441" spans="1:22" x14ac:dyDescent="0.45">
      <c r="A441" t="str">
        <f>"10774540"</f>
        <v>10774540</v>
      </c>
      <c r="B441" t="s">
        <v>22</v>
      </c>
      <c r="C441" s="1">
        <v>44071</v>
      </c>
      <c r="D441">
        <v>477500</v>
      </c>
      <c r="E441" t="s">
        <v>60</v>
      </c>
      <c r="F441">
        <v>1926</v>
      </c>
      <c r="G441">
        <v>1816</v>
      </c>
      <c r="H441" t="s">
        <v>76</v>
      </c>
      <c r="I441" t="str">
        <f t="shared" si="6"/>
        <v>25</v>
      </c>
      <c r="J441">
        <v>60025</v>
      </c>
      <c r="K441">
        <v>1700</v>
      </c>
      <c r="L441">
        <v>8</v>
      </c>
      <c r="M441">
        <v>2</v>
      </c>
      <c r="N441">
        <v>0</v>
      </c>
      <c r="O441" t="s">
        <v>25</v>
      </c>
      <c r="P441">
        <v>3</v>
      </c>
      <c r="Q441">
        <v>0</v>
      </c>
      <c r="R441" t="s">
        <v>35</v>
      </c>
      <c r="S441">
        <v>2.5</v>
      </c>
      <c r="U441">
        <v>1028</v>
      </c>
    </row>
    <row r="442" spans="1:22" x14ac:dyDescent="0.45">
      <c r="A442" t="str">
        <f>"10505563"</f>
        <v>10505563</v>
      </c>
      <c r="B442" t="s">
        <v>22</v>
      </c>
      <c r="C442" s="1">
        <v>43777</v>
      </c>
      <c r="D442">
        <v>477500</v>
      </c>
      <c r="E442" t="s">
        <v>23</v>
      </c>
      <c r="F442">
        <v>1951</v>
      </c>
      <c r="G442">
        <v>636</v>
      </c>
      <c r="H442" t="s">
        <v>251</v>
      </c>
      <c r="I442" t="str">
        <f t="shared" si="6"/>
        <v>25</v>
      </c>
      <c r="J442">
        <v>60025</v>
      </c>
      <c r="K442">
        <v>1403</v>
      </c>
      <c r="L442">
        <v>9</v>
      </c>
      <c r="M442">
        <v>2</v>
      </c>
      <c r="N442">
        <v>0</v>
      </c>
      <c r="O442" t="s">
        <v>41</v>
      </c>
      <c r="P442">
        <v>3</v>
      </c>
      <c r="Q442">
        <v>0</v>
      </c>
      <c r="R442" t="s">
        <v>26</v>
      </c>
      <c r="S442">
        <v>1</v>
      </c>
      <c r="V442" t="s">
        <v>27</v>
      </c>
    </row>
    <row r="443" spans="1:22" x14ac:dyDescent="0.45">
      <c r="A443" t="str">
        <f>"10769277"</f>
        <v>10769277</v>
      </c>
      <c r="B443" t="s">
        <v>22</v>
      </c>
      <c r="C443" s="1">
        <v>44064</v>
      </c>
      <c r="D443">
        <v>479000</v>
      </c>
      <c r="E443" t="s">
        <v>23</v>
      </c>
      <c r="F443">
        <v>1953</v>
      </c>
      <c r="G443">
        <v>850</v>
      </c>
      <c r="H443" t="s">
        <v>252</v>
      </c>
      <c r="I443" t="str">
        <f t="shared" si="6"/>
        <v>25</v>
      </c>
      <c r="J443">
        <v>60025</v>
      </c>
      <c r="K443">
        <v>2531</v>
      </c>
      <c r="L443">
        <v>9</v>
      </c>
      <c r="M443">
        <v>2</v>
      </c>
      <c r="N443">
        <v>0</v>
      </c>
      <c r="O443" t="s">
        <v>41</v>
      </c>
      <c r="P443">
        <v>3</v>
      </c>
      <c r="Q443">
        <v>1</v>
      </c>
      <c r="R443" t="s">
        <v>26</v>
      </c>
      <c r="S443">
        <v>1</v>
      </c>
      <c r="U443">
        <v>1254</v>
      </c>
      <c r="V443" t="s">
        <v>27</v>
      </c>
    </row>
    <row r="444" spans="1:22" x14ac:dyDescent="0.45">
      <c r="A444" t="str">
        <f>"10625350"</f>
        <v>10625350</v>
      </c>
      <c r="B444" t="s">
        <v>22</v>
      </c>
      <c r="C444" s="1">
        <v>43909</v>
      </c>
      <c r="D444">
        <v>479900</v>
      </c>
      <c r="E444" t="s">
        <v>37</v>
      </c>
      <c r="F444">
        <v>1958</v>
      </c>
      <c r="G444">
        <v>2528</v>
      </c>
      <c r="H444" t="s">
        <v>72</v>
      </c>
      <c r="I444" t="str">
        <f t="shared" si="6"/>
        <v>25</v>
      </c>
      <c r="J444">
        <v>60025</v>
      </c>
      <c r="K444">
        <v>1900</v>
      </c>
      <c r="L444">
        <v>7</v>
      </c>
      <c r="M444">
        <v>2</v>
      </c>
      <c r="N444">
        <v>0</v>
      </c>
      <c r="O444" t="s">
        <v>41</v>
      </c>
      <c r="P444">
        <v>3</v>
      </c>
      <c r="Q444">
        <v>0</v>
      </c>
      <c r="R444" t="s">
        <v>35</v>
      </c>
      <c r="S444">
        <v>2</v>
      </c>
      <c r="T444">
        <v>2</v>
      </c>
      <c r="U444">
        <v>600</v>
      </c>
      <c r="V444" t="s">
        <v>36</v>
      </c>
    </row>
    <row r="445" spans="1:22" x14ac:dyDescent="0.45">
      <c r="A445" t="str">
        <f>"10403543"</f>
        <v>10403543</v>
      </c>
      <c r="B445" t="s">
        <v>22</v>
      </c>
      <c r="C445" s="1">
        <v>43637</v>
      </c>
      <c r="D445">
        <v>480000</v>
      </c>
      <c r="E445" t="s">
        <v>23</v>
      </c>
      <c r="F445" t="s">
        <v>29</v>
      </c>
      <c r="G445">
        <v>234</v>
      </c>
      <c r="H445" t="s">
        <v>253</v>
      </c>
      <c r="I445" t="str">
        <f t="shared" si="6"/>
        <v>25</v>
      </c>
      <c r="J445">
        <v>60025</v>
      </c>
      <c r="K445">
        <v>2320</v>
      </c>
      <c r="L445">
        <v>9</v>
      </c>
      <c r="M445">
        <v>3</v>
      </c>
      <c r="N445">
        <v>0</v>
      </c>
      <c r="O445" t="s">
        <v>41</v>
      </c>
      <c r="P445">
        <v>3</v>
      </c>
      <c r="Q445">
        <v>0</v>
      </c>
      <c r="R445" t="s">
        <v>35</v>
      </c>
      <c r="S445">
        <v>1</v>
      </c>
      <c r="V445" t="s">
        <v>27</v>
      </c>
    </row>
    <row r="446" spans="1:22" x14ac:dyDescent="0.45">
      <c r="A446" t="str">
        <f>"10726943"</f>
        <v>10726943</v>
      </c>
      <c r="B446" t="s">
        <v>22</v>
      </c>
      <c r="C446" s="1">
        <v>44054</v>
      </c>
      <c r="D446">
        <v>480000</v>
      </c>
      <c r="E446" t="s">
        <v>23</v>
      </c>
      <c r="F446">
        <v>1956</v>
      </c>
      <c r="G446">
        <v>1761</v>
      </c>
      <c r="H446" t="s">
        <v>135</v>
      </c>
      <c r="I446" t="str">
        <f t="shared" si="6"/>
        <v>25</v>
      </c>
      <c r="J446">
        <v>60025</v>
      </c>
      <c r="K446">
        <v>2708</v>
      </c>
      <c r="L446">
        <v>8</v>
      </c>
      <c r="M446">
        <v>2</v>
      </c>
      <c r="N446">
        <v>0</v>
      </c>
      <c r="O446" t="s">
        <v>41</v>
      </c>
      <c r="P446">
        <v>3</v>
      </c>
      <c r="Q446">
        <v>1</v>
      </c>
      <c r="R446" t="s">
        <v>26</v>
      </c>
      <c r="S446">
        <v>1</v>
      </c>
      <c r="U446">
        <v>1354</v>
      </c>
      <c r="V446" t="s">
        <v>27</v>
      </c>
    </row>
    <row r="447" spans="1:22" x14ac:dyDescent="0.45">
      <c r="A447" t="str">
        <f>"10559190"</f>
        <v>10559190</v>
      </c>
      <c r="B447" t="s">
        <v>22</v>
      </c>
      <c r="C447" s="1">
        <v>43815</v>
      </c>
      <c r="D447">
        <v>480000</v>
      </c>
      <c r="E447" t="s">
        <v>23</v>
      </c>
      <c r="F447">
        <v>1953</v>
      </c>
      <c r="G447">
        <v>2138</v>
      </c>
      <c r="H447" t="s">
        <v>135</v>
      </c>
      <c r="I447" t="str">
        <f t="shared" si="6"/>
        <v>25</v>
      </c>
      <c r="J447">
        <v>60025</v>
      </c>
      <c r="K447">
        <v>1655</v>
      </c>
      <c r="L447">
        <v>10</v>
      </c>
      <c r="M447">
        <v>1</v>
      </c>
      <c r="N447">
        <v>1</v>
      </c>
      <c r="O447" t="s">
        <v>25</v>
      </c>
      <c r="P447">
        <v>3</v>
      </c>
      <c r="Q447">
        <v>1</v>
      </c>
      <c r="R447" t="s">
        <v>35</v>
      </c>
      <c r="S447">
        <v>2</v>
      </c>
      <c r="U447">
        <v>1500</v>
      </c>
      <c r="V447" t="s">
        <v>27</v>
      </c>
    </row>
    <row r="448" spans="1:22" x14ac:dyDescent="0.45">
      <c r="A448" t="str">
        <f>"10112544"</f>
        <v>10112544</v>
      </c>
      <c r="B448" t="s">
        <v>22</v>
      </c>
      <c r="C448" s="1">
        <v>43637</v>
      </c>
      <c r="D448">
        <v>480000</v>
      </c>
      <c r="E448" t="s">
        <v>60</v>
      </c>
      <c r="F448">
        <v>1952</v>
      </c>
      <c r="G448">
        <v>1801</v>
      </c>
      <c r="H448" t="s">
        <v>254</v>
      </c>
      <c r="I448" t="str">
        <f t="shared" si="6"/>
        <v>25</v>
      </c>
      <c r="J448">
        <v>60025</v>
      </c>
      <c r="K448">
        <v>2305</v>
      </c>
      <c r="L448">
        <v>8</v>
      </c>
      <c r="M448">
        <v>2</v>
      </c>
      <c r="N448">
        <v>0</v>
      </c>
      <c r="O448" t="s">
        <v>25</v>
      </c>
      <c r="P448">
        <v>3</v>
      </c>
      <c r="Q448">
        <v>0</v>
      </c>
      <c r="R448" t="s">
        <v>26</v>
      </c>
      <c r="S448">
        <v>1</v>
      </c>
    </row>
    <row r="449" spans="1:22" x14ac:dyDescent="0.45">
      <c r="A449" t="str">
        <f>"10912745"</f>
        <v>10912745</v>
      </c>
      <c r="B449" t="s">
        <v>22</v>
      </c>
      <c r="C449" s="1">
        <v>44160</v>
      </c>
      <c r="D449">
        <v>484000</v>
      </c>
      <c r="E449" t="s">
        <v>23</v>
      </c>
      <c r="F449">
        <v>1959</v>
      </c>
      <c r="G449">
        <v>1238</v>
      </c>
      <c r="H449" t="s">
        <v>255</v>
      </c>
      <c r="I449" t="str">
        <f t="shared" si="6"/>
        <v>25</v>
      </c>
      <c r="J449">
        <v>60025</v>
      </c>
      <c r="K449">
        <v>1790</v>
      </c>
      <c r="L449">
        <v>8</v>
      </c>
      <c r="M449">
        <v>2</v>
      </c>
      <c r="N449">
        <v>0</v>
      </c>
      <c r="O449" t="s">
        <v>41</v>
      </c>
      <c r="P449">
        <v>2</v>
      </c>
      <c r="Q449">
        <v>1</v>
      </c>
      <c r="R449" t="s">
        <v>26</v>
      </c>
      <c r="S449">
        <v>2</v>
      </c>
      <c r="V449" t="s">
        <v>27</v>
      </c>
    </row>
    <row r="450" spans="1:22" x14ac:dyDescent="0.45">
      <c r="A450" t="str">
        <f>"10161930"</f>
        <v>10161930</v>
      </c>
      <c r="B450" t="s">
        <v>22</v>
      </c>
      <c r="C450" s="1">
        <v>43553</v>
      </c>
      <c r="D450">
        <v>484500</v>
      </c>
      <c r="E450" t="s">
        <v>60</v>
      </c>
      <c r="F450">
        <v>2001</v>
      </c>
      <c r="G450">
        <v>3821</v>
      </c>
      <c r="H450" t="s">
        <v>76</v>
      </c>
      <c r="I450" t="str">
        <f t="shared" ref="I450:I513" si="7">"25"</f>
        <v>25</v>
      </c>
      <c r="J450">
        <v>60025</v>
      </c>
      <c r="K450">
        <v>3354</v>
      </c>
      <c r="L450">
        <v>8</v>
      </c>
      <c r="M450">
        <v>2</v>
      </c>
      <c r="N450">
        <v>1</v>
      </c>
      <c r="O450" t="s">
        <v>25</v>
      </c>
      <c r="P450">
        <v>4</v>
      </c>
      <c r="Q450">
        <v>0</v>
      </c>
      <c r="R450" t="s">
        <v>26</v>
      </c>
      <c r="S450">
        <v>3</v>
      </c>
    </row>
    <row r="451" spans="1:22" x14ac:dyDescent="0.45">
      <c r="A451" t="str">
        <f>"10683754"</f>
        <v>10683754</v>
      </c>
      <c r="B451" t="s">
        <v>22</v>
      </c>
      <c r="C451" s="1">
        <v>43973</v>
      </c>
      <c r="D451">
        <v>484872</v>
      </c>
      <c r="E451" t="s">
        <v>23</v>
      </c>
      <c r="F451">
        <v>1953</v>
      </c>
      <c r="G451">
        <v>738</v>
      </c>
      <c r="H451" t="s">
        <v>80</v>
      </c>
      <c r="I451" t="str">
        <f t="shared" si="7"/>
        <v>25</v>
      </c>
      <c r="J451">
        <v>60025</v>
      </c>
      <c r="K451">
        <v>1520</v>
      </c>
      <c r="L451">
        <v>9</v>
      </c>
      <c r="M451">
        <v>2</v>
      </c>
      <c r="N451">
        <v>1</v>
      </c>
      <c r="O451" t="s">
        <v>41</v>
      </c>
      <c r="P451">
        <v>3</v>
      </c>
      <c r="Q451">
        <v>0</v>
      </c>
      <c r="R451" t="s">
        <v>35</v>
      </c>
      <c r="S451">
        <v>2</v>
      </c>
      <c r="U451">
        <v>907</v>
      </c>
      <c r="V451" t="s">
        <v>27</v>
      </c>
    </row>
    <row r="452" spans="1:22" x14ac:dyDescent="0.45">
      <c r="A452" t="str">
        <f>"10898442"</f>
        <v>10898442</v>
      </c>
      <c r="B452" t="s">
        <v>22</v>
      </c>
      <c r="C452" s="1">
        <v>44180</v>
      </c>
      <c r="D452">
        <v>485000</v>
      </c>
      <c r="E452" t="s">
        <v>23</v>
      </c>
      <c r="F452">
        <v>1957</v>
      </c>
      <c r="G452">
        <v>2562</v>
      </c>
      <c r="H452" t="s">
        <v>105</v>
      </c>
      <c r="I452" t="str">
        <f t="shared" si="7"/>
        <v>25</v>
      </c>
      <c r="J452">
        <v>60025</v>
      </c>
      <c r="K452">
        <v>2400</v>
      </c>
      <c r="L452">
        <v>9</v>
      </c>
      <c r="M452">
        <v>2</v>
      </c>
      <c r="N452">
        <v>1</v>
      </c>
      <c r="O452" t="s">
        <v>41</v>
      </c>
      <c r="P452">
        <v>3</v>
      </c>
      <c r="Q452">
        <v>1</v>
      </c>
      <c r="R452" t="s">
        <v>35</v>
      </c>
      <c r="S452">
        <v>2.5</v>
      </c>
      <c r="U452">
        <v>0</v>
      </c>
      <c r="V452" t="s">
        <v>27</v>
      </c>
    </row>
    <row r="453" spans="1:22" x14ac:dyDescent="0.45">
      <c r="A453" t="str">
        <f>"10656787"</f>
        <v>10656787</v>
      </c>
      <c r="B453" t="s">
        <v>22</v>
      </c>
      <c r="C453" s="1">
        <v>43920</v>
      </c>
      <c r="D453">
        <v>485000</v>
      </c>
      <c r="E453" t="s">
        <v>37</v>
      </c>
      <c r="F453">
        <v>1962</v>
      </c>
      <c r="G453">
        <v>3755</v>
      </c>
      <c r="H453" t="s">
        <v>97</v>
      </c>
      <c r="I453" t="str">
        <f t="shared" si="7"/>
        <v>25</v>
      </c>
      <c r="J453">
        <v>60025</v>
      </c>
      <c r="K453">
        <v>2300</v>
      </c>
      <c r="L453">
        <v>8</v>
      </c>
      <c r="M453">
        <v>2</v>
      </c>
      <c r="N453">
        <v>1</v>
      </c>
      <c r="O453" t="s">
        <v>41</v>
      </c>
      <c r="P453">
        <v>4</v>
      </c>
      <c r="Q453">
        <v>0</v>
      </c>
      <c r="R453" t="s">
        <v>26</v>
      </c>
      <c r="S453">
        <v>2</v>
      </c>
    </row>
    <row r="454" spans="1:22" x14ac:dyDescent="0.45">
      <c r="A454" t="str">
        <f>"10842175"</f>
        <v>10842175</v>
      </c>
      <c r="B454" t="s">
        <v>22</v>
      </c>
      <c r="C454" s="1">
        <v>44165</v>
      </c>
      <c r="D454">
        <v>485000</v>
      </c>
      <c r="E454" t="s">
        <v>23</v>
      </c>
      <c r="F454">
        <v>1957</v>
      </c>
      <c r="G454">
        <v>900</v>
      </c>
      <c r="H454" t="s">
        <v>256</v>
      </c>
      <c r="I454" t="str">
        <f t="shared" si="7"/>
        <v>25</v>
      </c>
      <c r="J454">
        <v>60025</v>
      </c>
      <c r="K454">
        <v>1934</v>
      </c>
      <c r="L454">
        <v>8</v>
      </c>
      <c r="M454">
        <v>3</v>
      </c>
      <c r="N454">
        <v>0</v>
      </c>
      <c r="O454" t="s">
        <v>41</v>
      </c>
      <c r="P454">
        <v>3</v>
      </c>
      <c r="Q454">
        <v>0</v>
      </c>
      <c r="R454" t="s">
        <v>26</v>
      </c>
      <c r="S454">
        <v>2</v>
      </c>
      <c r="V454" t="s">
        <v>27</v>
      </c>
    </row>
    <row r="455" spans="1:22" x14ac:dyDescent="0.45">
      <c r="A455" t="str">
        <f>"10560725"</f>
        <v>10560725</v>
      </c>
      <c r="B455" t="s">
        <v>22</v>
      </c>
      <c r="C455" s="1">
        <v>43822</v>
      </c>
      <c r="D455">
        <v>485000</v>
      </c>
      <c r="E455" t="s">
        <v>60</v>
      </c>
      <c r="F455">
        <v>1967</v>
      </c>
      <c r="G455">
        <v>3537</v>
      </c>
      <c r="H455" t="s">
        <v>155</v>
      </c>
      <c r="I455" t="str">
        <f t="shared" si="7"/>
        <v>25</v>
      </c>
      <c r="J455">
        <v>60026</v>
      </c>
      <c r="K455">
        <v>2453</v>
      </c>
      <c r="L455">
        <v>9</v>
      </c>
      <c r="M455">
        <v>3</v>
      </c>
      <c r="N455">
        <v>1</v>
      </c>
      <c r="O455" t="s">
        <v>41</v>
      </c>
      <c r="P455">
        <v>4</v>
      </c>
      <c r="Q455">
        <v>0</v>
      </c>
      <c r="R455" t="s">
        <v>26</v>
      </c>
      <c r="S455">
        <v>3</v>
      </c>
      <c r="V455" t="s">
        <v>36</v>
      </c>
    </row>
    <row r="456" spans="1:22" x14ac:dyDescent="0.45">
      <c r="A456" t="str">
        <f>"10592526"</f>
        <v>10592526</v>
      </c>
      <c r="B456" t="s">
        <v>22</v>
      </c>
      <c r="C456" s="1">
        <v>44054</v>
      </c>
      <c r="D456">
        <v>485000</v>
      </c>
      <c r="E456" t="s">
        <v>60</v>
      </c>
      <c r="F456">
        <v>1970</v>
      </c>
      <c r="G456">
        <v>3941</v>
      </c>
      <c r="H456" t="s">
        <v>257</v>
      </c>
      <c r="I456" t="str">
        <f t="shared" si="7"/>
        <v>25</v>
      </c>
      <c r="J456">
        <v>60026</v>
      </c>
      <c r="K456">
        <v>2798</v>
      </c>
      <c r="L456">
        <v>10</v>
      </c>
      <c r="M456">
        <v>3</v>
      </c>
      <c r="N456">
        <v>1</v>
      </c>
      <c r="O456" t="s">
        <v>25</v>
      </c>
      <c r="P456">
        <v>4</v>
      </c>
      <c r="Q456">
        <v>0</v>
      </c>
      <c r="R456" t="s">
        <v>26</v>
      </c>
      <c r="S456">
        <v>2</v>
      </c>
    </row>
    <row r="457" spans="1:22" x14ac:dyDescent="0.45">
      <c r="A457" t="str">
        <f>"10279630"</f>
        <v>10279630</v>
      </c>
      <c r="B457" t="s">
        <v>22</v>
      </c>
      <c r="C457" s="1">
        <v>43616</v>
      </c>
      <c r="D457">
        <v>486000</v>
      </c>
      <c r="E457" t="s">
        <v>23</v>
      </c>
      <c r="F457">
        <v>1977</v>
      </c>
      <c r="G457">
        <v>3822</v>
      </c>
      <c r="H457" t="s">
        <v>258</v>
      </c>
      <c r="I457" t="str">
        <f t="shared" si="7"/>
        <v>25</v>
      </c>
      <c r="J457">
        <v>60026</v>
      </c>
      <c r="K457">
        <v>2098</v>
      </c>
      <c r="L457">
        <v>7</v>
      </c>
      <c r="M457">
        <v>2</v>
      </c>
      <c r="N457">
        <v>0</v>
      </c>
      <c r="O457" t="s">
        <v>25</v>
      </c>
      <c r="P457">
        <v>3</v>
      </c>
      <c r="Q457">
        <v>0</v>
      </c>
      <c r="R457" t="s">
        <v>26</v>
      </c>
      <c r="S457">
        <v>2</v>
      </c>
      <c r="V457" t="s">
        <v>27</v>
      </c>
    </row>
    <row r="458" spans="1:22" x14ac:dyDescent="0.45">
      <c r="A458" t="str">
        <f>"10307142"</f>
        <v>10307142</v>
      </c>
      <c r="B458" t="s">
        <v>22</v>
      </c>
      <c r="C458" s="1">
        <v>43623</v>
      </c>
      <c r="D458">
        <v>486000</v>
      </c>
      <c r="E458" t="s">
        <v>60</v>
      </c>
      <c r="F458">
        <v>1984</v>
      </c>
      <c r="G458">
        <v>2705</v>
      </c>
      <c r="H458" t="s">
        <v>188</v>
      </c>
      <c r="I458" t="str">
        <f t="shared" si="7"/>
        <v>25</v>
      </c>
      <c r="J458">
        <v>60025</v>
      </c>
      <c r="K458">
        <v>2640</v>
      </c>
      <c r="L458">
        <v>8</v>
      </c>
      <c r="M458">
        <v>2</v>
      </c>
      <c r="N458">
        <v>1</v>
      </c>
      <c r="O458" t="s">
        <v>25</v>
      </c>
      <c r="P458">
        <v>4</v>
      </c>
      <c r="Q458">
        <v>0</v>
      </c>
      <c r="R458" t="s">
        <v>26</v>
      </c>
      <c r="S458">
        <v>2</v>
      </c>
      <c r="V458" t="s">
        <v>67</v>
      </c>
    </row>
    <row r="459" spans="1:22" x14ac:dyDescent="0.45">
      <c r="A459" t="str">
        <f>"10776039"</f>
        <v>10776039</v>
      </c>
      <c r="B459" t="s">
        <v>22</v>
      </c>
      <c r="C459" s="1">
        <v>44109</v>
      </c>
      <c r="D459">
        <v>487500</v>
      </c>
      <c r="E459" t="s">
        <v>60</v>
      </c>
      <c r="F459">
        <v>1940</v>
      </c>
      <c r="G459">
        <v>2015</v>
      </c>
      <c r="H459" t="s">
        <v>259</v>
      </c>
      <c r="I459" t="str">
        <f t="shared" si="7"/>
        <v>25</v>
      </c>
      <c r="J459">
        <v>60025</v>
      </c>
      <c r="K459">
        <v>0</v>
      </c>
      <c r="L459">
        <v>9</v>
      </c>
      <c r="M459">
        <v>1</v>
      </c>
      <c r="N459">
        <v>1</v>
      </c>
      <c r="O459" t="s">
        <v>25</v>
      </c>
      <c r="P459">
        <v>3</v>
      </c>
      <c r="Q459">
        <v>0</v>
      </c>
      <c r="R459" t="s">
        <v>35</v>
      </c>
      <c r="S459">
        <v>1</v>
      </c>
      <c r="V459" t="s">
        <v>67</v>
      </c>
    </row>
    <row r="460" spans="1:22" x14ac:dyDescent="0.45">
      <c r="A460" t="str">
        <f>"10382730"</f>
        <v>10382730</v>
      </c>
      <c r="B460" t="s">
        <v>22</v>
      </c>
      <c r="C460" s="1">
        <v>43707</v>
      </c>
      <c r="D460">
        <v>487500</v>
      </c>
      <c r="E460" t="s">
        <v>37</v>
      </c>
      <c r="F460">
        <v>1968</v>
      </c>
      <c r="G460">
        <v>3627</v>
      </c>
      <c r="H460" t="s">
        <v>155</v>
      </c>
      <c r="I460" t="str">
        <f t="shared" si="7"/>
        <v>25</v>
      </c>
      <c r="J460">
        <v>60026</v>
      </c>
      <c r="K460">
        <v>2626</v>
      </c>
      <c r="L460">
        <v>9</v>
      </c>
      <c r="M460">
        <v>2</v>
      </c>
      <c r="N460">
        <v>1</v>
      </c>
      <c r="O460" t="s">
        <v>25</v>
      </c>
      <c r="P460">
        <v>4</v>
      </c>
      <c r="Q460">
        <v>0</v>
      </c>
      <c r="R460" t="s">
        <v>26</v>
      </c>
      <c r="S460">
        <v>2</v>
      </c>
    </row>
    <row r="461" spans="1:22" x14ac:dyDescent="0.45">
      <c r="A461" t="str">
        <f>"10735876"</f>
        <v>10735876</v>
      </c>
      <c r="B461" t="s">
        <v>22</v>
      </c>
      <c r="C461" s="1">
        <v>44089</v>
      </c>
      <c r="D461">
        <v>489000</v>
      </c>
      <c r="E461" t="s">
        <v>60</v>
      </c>
      <c r="F461">
        <v>1971</v>
      </c>
      <c r="G461">
        <v>3926</v>
      </c>
      <c r="H461" t="s">
        <v>260</v>
      </c>
      <c r="I461" t="str">
        <f t="shared" si="7"/>
        <v>25</v>
      </c>
      <c r="J461">
        <v>60026</v>
      </c>
      <c r="K461">
        <v>0</v>
      </c>
      <c r="L461">
        <v>8</v>
      </c>
      <c r="M461">
        <v>2</v>
      </c>
      <c r="N461">
        <v>1</v>
      </c>
      <c r="O461" t="s">
        <v>25</v>
      </c>
      <c r="P461">
        <v>3</v>
      </c>
      <c r="Q461">
        <v>0</v>
      </c>
      <c r="R461" t="s">
        <v>26</v>
      </c>
      <c r="S461">
        <v>2</v>
      </c>
    </row>
    <row r="462" spans="1:22" x14ac:dyDescent="0.45">
      <c r="A462" t="str">
        <f>"10308173"</f>
        <v>10308173</v>
      </c>
      <c r="B462" t="s">
        <v>22</v>
      </c>
      <c r="C462" s="1">
        <v>43584</v>
      </c>
      <c r="D462">
        <v>490000</v>
      </c>
      <c r="E462" t="s">
        <v>31</v>
      </c>
      <c r="F462">
        <v>1969</v>
      </c>
      <c r="G462">
        <v>3117</v>
      </c>
      <c r="H462" t="s">
        <v>216</v>
      </c>
      <c r="I462" t="str">
        <f t="shared" si="7"/>
        <v>25</v>
      </c>
      <c r="J462">
        <v>60026</v>
      </c>
      <c r="K462">
        <v>1820</v>
      </c>
      <c r="L462">
        <v>10</v>
      </c>
      <c r="M462">
        <v>3</v>
      </c>
      <c r="N462">
        <v>0</v>
      </c>
      <c r="O462" t="s">
        <v>25</v>
      </c>
      <c r="P462">
        <v>4</v>
      </c>
      <c r="Q462">
        <v>0</v>
      </c>
      <c r="R462" t="s">
        <v>26</v>
      </c>
      <c r="S462">
        <v>2.5</v>
      </c>
      <c r="V462" t="s">
        <v>71</v>
      </c>
    </row>
    <row r="463" spans="1:22" x14ac:dyDescent="0.45">
      <c r="A463" t="str">
        <f>"10539280"</f>
        <v>10539280</v>
      </c>
      <c r="B463" t="s">
        <v>22</v>
      </c>
      <c r="C463" s="1">
        <v>43781</v>
      </c>
      <c r="D463">
        <v>490000</v>
      </c>
      <c r="E463" t="s">
        <v>23</v>
      </c>
      <c r="F463" t="s">
        <v>29</v>
      </c>
      <c r="G463">
        <v>1783</v>
      </c>
      <c r="H463" t="s">
        <v>135</v>
      </c>
      <c r="I463" t="str">
        <f t="shared" si="7"/>
        <v>25</v>
      </c>
      <c r="J463">
        <v>60025</v>
      </c>
      <c r="K463">
        <v>2000</v>
      </c>
      <c r="L463">
        <v>9</v>
      </c>
      <c r="M463">
        <v>2</v>
      </c>
      <c r="N463">
        <v>0</v>
      </c>
      <c r="O463" t="s">
        <v>25</v>
      </c>
      <c r="P463">
        <v>3</v>
      </c>
      <c r="Q463">
        <v>0</v>
      </c>
      <c r="R463" t="s">
        <v>26</v>
      </c>
      <c r="S463">
        <v>1</v>
      </c>
      <c r="V463" t="s">
        <v>27</v>
      </c>
    </row>
    <row r="464" spans="1:22" x14ac:dyDescent="0.45">
      <c r="A464" t="str">
        <f>"10366508"</f>
        <v>10366508</v>
      </c>
      <c r="B464" t="s">
        <v>22</v>
      </c>
      <c r="C464" s="1">
        <v>43635</v>
      </c>
      <c r="D464">
        <v>490000</v>
      </c>
      <c r="E464" t="s">
        <v>23</v>
      </c>
      <c r="F464">
        <v>1953</v>
      </c>
      <c r="G464">
        <v>24</v>
      </c>
      <c r="H464" t="s">
        <v>123</v>
      </c>
      <c r="I464" t="str">
        <f t="shared" si="7"/>
        <v>25</v>
      </c>
      <c r="J464">
        <v>60025</v>
      </c>
      <c r="K464">
        <v>0</v>
      </c>
      <c r="L464">
        <v>9</v>
      </c>
      <c r="M464">
        <v>2</v>
      </c>
      <c r="N464">
        <v>0</v>
      </c>
      <c r="O464" t="s">
        <v>25</v>
      </c>
      <c r="P464">
        <v>3</v>
      </c>
      <c r="Q464">
        <v>0</v>
      </c>
      <c r="R464" t="s">
        <v>26</v>
      </c>
      <c r="S464">
        <v>2</v>
      </c>
      <c r="V464" t="s">
        <v>27</v>
      </c>
    </row>
    <row r="465" spans="1:22" x14ac:dyDescent="0.45">
      <c r="A465" t="str">
        <f>"10468134"</f>
        <v>10468134</v>
      </c>
      <c r="B465" t="s">
        <v>22</v>
      </c>
      <c r="C465" s="1">
        <v>43738</v>
      </c>
      <c r="D465">
        <v>490000</v>
      </c>
      <c r="E465" t="s">
        <v>60</v>
      </c>
      <c r="F465">
        <v>1940</v>
      </c>
      <c r="G465">
        <v>816</v>
      </c>
      <c r="H465" t="s">
        <v>107</v>
      </c>
      <c r="I465" t="str">
        <f t="shared" si="7"/>
        <v>25</v>
      </c>
      <c r="J465">
        <v>60025</v>
      </c>
      <c r="K465">
        <v>0</v>
      </c>
      <c r="L465">
        <v>9</v>
      </c>
      <c r="M465">
        <v>2</v>
      </c>
      <c r="N465">
        <v>1</v>
      </c>
      <c r="O465" t="s">
        <v>25</v>
      </c>
      <c r="P465">
        <v>4</v>
      </c>
      <c r="Q465">
        <v>0</v>
      </c>
      <c r="R465" t="s">
        <v>26</v>
      </c>
      <c r="S465">
        <v>2</v>
      </c>
    </row>
    <row r="466" spans="1:22" x14ac:dyDescent="0.45">
      <c r="A466" t="str">
        <f>"10674688"</f>
        <v>10674688</v>
      </c>
      <c r="B466" t="s">
        <v>22</v>
      </c>
      <c r="C466" s="1">
        <v>44035</v>
      </c>
      <c r="D466">
        <v>490000</v>
      </c>
      <c r="E466" t="s">
        <v>23</v>
      </c>
      <c r="F466">
        <v>1957</v>
      </c>
      <c r="G466">
        <v>1439</v>
      </c>
      <c r="H466" t="s">
        <v>261</v>
      </c>
      <c r="I466" t="str">
        <f t="shared" si="7"/>
        <v>25</v>
      </c>
      <c r="J466">
        <v>60025</v>
      </c>
      <c r="K466">
        <v>0</v>
      </c>
      <c r="L466">
        <v>6</v>
      </c>
      <c r="M466">
        <v>2</v>
      </c>
      <c r="N466">
        <v>1</v>
      </c>
      <c r="O466" t="s">
        <v>25</v>
      </c>
      <c r="P466">
        <v>3</v>
      </c>
      <c r="Q466">
        <v>0</v>
      </c>
      <c r="R466" t="s">
        <v>26</v>
      </c>
      <c r="S466">
        <v>2.1</v>
      </c>
    </row>
    <row r="467" spans="1:22" x14ac:dyDescent="0.45">
      <c r="A467" t="str">
        <f>"10404789"</f>
        <v>10404789</v>
      </c>
      <c r="B467" t="s">
        <v>22</v>
      </c>
      <c r="C467" s="1">
        <v>43857</v>
      </c>
      <c r="D467">
        <v>490000</v>
      </c>
      <c r="E467" t="s">
        <v>60</v>
      </c>
      <c r="F467">
        <v>2003</v>
      </c>
      <c r="G467">
        <v>902</v>
      </c>
      <c r="H467" t="s">
        <v>30</v>
      </c>
      <c r="I467" t="str">
        <f t="shared" si="7"/>
        <v>25</v>
      </c>
      <c r="J467">
        <v>60025</v>
      </c>
      <c r="K467">
        <v>3892</v>
      </c>
      <c r="L467">
        <v>8</v>
      </c>
      <c r="M467">
        <v>3</v>
      </c>
      <c r="N467">
        <v>1</v>
      </c>
      <c r="O467" t="s">
        <v>25</v>
      </c>
      <c r="P467">
        <v>4</v>
      </c>
      <c r="Q467">
        <v>0</v>
      </c>
      <c r="R467" t="s">
        <v>26</v>
      </c>
      <c r="S467">
        <v>3</v>
      </c>
    </row>
    <row r="468" spans="1:22" x14ac:dyDescent="0.45">
      <c r="A468" t="str">
        <f>"10737647"</f>
        <v>10737647</v>
      </c>
      <c r="B468" t="s">
        <v>22</v>
      </c>
      <c r="C468" s="1">
        <v>44036</v>
      </c>
      <c r="D468">
        <v>491000</v>
      </c>
      <c r="E468" t="s">
        <v>23</v>
      </c>
      <c r="F468">
        <v>1954</v>
      </c>
      <c r="G468">
        <v>640</v>
      </c>
      <c r="H468" t="s">
        <v>158</v>
      </c>
      <c r="I468" t="str">
        <f t="shared" si="7"/>
        <v>25</v>
      </c>
      <c r="J468">
        <v>60025</v>
      </c>
      <c r="K468">
        <v>2006</v>
      </c>
      <c r="L468">
        <v>9</v>
      </c>
      <c r="M468">
        <v>1</v>
      </c>
      <c r="N468">
        <v>1</v>
      </c>
      <c r="O468" t="s">
        <v>25</v>
      </c>
      <c r="P468">
        <v>3</v>
      </c>
      <c r="Q468">
        <v>0</v>
      </c>
      <c r="R468" t="s">
        <v>26</v>
      </c>
      <c r="S468">
        <v>2</v>
      </c>
      <c r="V468" t="s">
        <v>27</v>
      </c>
    </row>
    <row r="469" spans="1:22" x14ac:dyDescent="0.45">
      <c r="A469" t="str">
        <f>"10349662"</f>
        <v>10349662</v>
      </c>
      <c r="B469" t="s">
        <v>22</v>
      </c>
      <c r="C469" s="1">
        <v>43676</v>
      </c>
      <c r="D469">
        <v>491500</v>
      </c>
      <c r="E469" t="s">
        <v>60</v>
      </c>
      <c r="F469">
        <v>1951</v>
      </c>
      <c r="G469">
        <v>335</v>
      </c>
      <c r="H469" t="s">
        <v>262</v>
      </c>
      <c r="I469" t="str">
        <f t="shared" si="7"/>
        <v>25</v>
      </c>
      <c r="J469">
        <v>60025</v>
      </c>
      <c r="K469">
        <v>2052</v>
      </c>
      <c r="L469">
        <v>8</v>
      </c>
      <c r="M469">
        <v>2</v>
      </c>
      <c r="N469">
        <v>0</v>
      </c>
      <c r="O469" t="s">
        <v>25</v>
      </c>
      <c r="P469">
        <v>3</v>
      </c>
      <c r="Q469">
        <v>0</v>
      </c>
      <c r="R469" t="s">
        <v>26</v>
      </c>
      <c r="S469">
        <v>2</v>
      </c>
      <c r="V469" t="s">
        <v>33</v>
      </c>
    </row>
    <row r="470" spans="1:22" x14ac:dyDescent="0.45">
      <c r="A470" t="str">
        <f>"10698370"</f>
        <v>10698370</v>
      </c>
      <c r="B470" t="s">
        <v>22</v>
      </c>
      <c r="C470" s="1">
        <v>43997</v>
      </c>
      <c r="D470">
        <v>495000</v>
      </c>
      <c r="E470" t="s">
        <v>23</v>
      </c>
      <c r="F470">
        <v>1955</v>
      </c>
      <c r="G470">
        <v>923</v>
      </c>
      <c r="H470" t="s">
        <v>80</v>
      </c>
      <c r="I470" t="str">
        <f t="shared" si="7"/>
        <v>25</v>
      </c>
      <c r="J470">
        <v>60025</v>
      </c>
      <c r="K470">
        <v>0</v>
      </c>
      <c r="L470">
        <v>9</v>
      </c>
      <c r="M470">
        <v>3</v>
      </c>
      <c r="N470">
        <v>0</v>
      </c>
      <c r="O470" t="s">
        <v>41</v>
      </c>
      <c r="P470">
        <v>3</v>
      </c>
      <c r="Q470">
        <v>1</v>
      </c>
      <c r="R470" t="s">
        <v>26</v>
      </c>
      <c r="S470">
        <v>1</v>
      </c>
      <c r="V470" t="s">
        <v>27</v>
      </c>
    </row>
    <row r="471" spans="1:22" x14ac:dyDescent="0.45">
      <c r="A471" t="str">
        <f>"10459879"</f>
        <v>10459879</v>
      </c>
      <c r="B471" t="s">
        <v>22</v>
      </c>
      <c r="C471" s="1">
        <v>43739</v>
      </c>
      <c r="D471">
        <v>495000</v>
      </c>
      <c r="E471" t="s">
        <v>23</v>
      </c>
      <c r="F471">
        <v>1973</v>
      </c>
      <c r="G471">
        <v>3931</v>
      </c>
      <c r="H471" t="s">
        <v>215</v>
      </c>
      <c r="I471" t="str">
        <f t="shared" si="7"/>
        <v>25</v>
      </c>
      <c r="J471">
        <v>60026</v>
      </c>
      <c r="K471">
        <v>2498</v>
      </c>
      <c r="L471">
        <v>10</v>
      </c>
      <c r="M471">
        <v>3</v>
      </c>
      <c r="N471">
        <v>1</v>
      </c>
      <c r="O471" t="s">
        <v>41</v>
      </c>
      <c r="P471">
        <v>4</v>
      </c>
      <c r="Q471">
        <v>1</v>
      </c>
      <c r="R471" t="s">
        <v>26</v>
      </c>
      <c r="S471">
        <v>2.5</v>
      </c>
      <c r="V471" t="s">
        <v>27</v>
      </c>
    </row>
    <row r="472" spans="1:22" x14ac:dyDescent="0.45">
      <c r="A472" t="str">
        <f>"10600376"</f>
        <v>10600376</v>
      </c>
      <c r="B472" t="s">
        <v>22</v>
      </c>
      <c r="C472" s="1">
        <v>44027</v>
      </c>
      <c r="D472">
        <v>495000</v>
      </c>
      <c r="E472" t="s">
        <v>60</v>
      </c>
      <c r="F472">
        <v>1982</v>
      </c>
      <c r="G472">
        <v>3929</v>
      </c>
      <c r="H472" t="s">
        <v>263</v>
      </c>
      <c r="I472" t="str">
        <f t="shared" si="7"/>
        <v>25</v>
      </c>
      <c r="J472">
        <v>60025</v>
      </c>
      <c r="K472">
        <v>3000</v>
      </c>
      <c r="L472">
        <v>11</v>
      </c>
      <c r="M472">
        <v>3</v>
      </c>
      <c r="N472">
        <v>0</v>
      </c>
      <c r="O472" t="s">
        <v>25</v>
      </c>
      <c r="P472">
        <v>5</v>
      </c>
      <c r="Q472">
        <v>0</v>
      </c>
      <c r="R472" t="s">
        <v>26</v>
      </c>
      <c r="S472">
        <v>2</v>
      </c>
      <c r="U472">
        <v>1460</v>
      </c>
    </row>
    <row r="473" spans="1:22" x14ac:dyDescent="0.45">
      <c r="A473" t="str">
        <f>"10258914"</f>
        <v>10258914</v>
      </c>
      <c r="B473" t="s">
        <v>22</v>
      </c>
      <c r="C473" s="1">
        <v>43560</v>
      </c>
      <c r="D473">
        <v>495000</v>
      </c>
      <c r="E473" t="s">
        <v>60</v>
      </c>
      <c r="F473">
        <v>1951</v>
      </c>
      <c r="G473">
        <v>1207</v>
      </c>
      <c r="H473" t="s">
        <v>175</v>
      </c>
      <c r="I473" t="str">
        <f t="shared" si="7"/>
        <v>25</v>
      </c>
      <c r="J473">
        <v>60025</v>
      </c>
      <c r="K473">
        <v>0</v>
      </c>
      <c r="L473">
        <v>8</v>
      </c>
      <c r="M473">
        <v>2</v>
      </c>
      <c r="N473">
        <v>0</v>
      </c>
      <c r="O473" t="s">
        <v>25</v>
      </c>
      <c r="P473">
        <v>3</v>
      </c>
      <c r="Q473">
        <v>0</v>
      </c>
      <c r="R473" t="s">
        <v>26</v>
      </c>
      <c r="S473">
        <v>1.5</v>
      </c>
    </row>
    <row r="474" spans="1:22" x14ac:dyDescent="0.45">
      <c r="A474" t="str">
        <f>"10266663"</f>
        <v>10266663</v>
      </c>
      <c r="B474" t="s">
        <v>22</v>
      </c>
      <c r="C474" s="1">
        <v>43606</v>
      </c>
      <c r="D474">
        <v>495000</v>
      </c>
      <c r="E474" t="s">
        <v>31</v>
      </c>
      <c r="F474">
        <v>1961</v>
      </c>
      <c r="G474">
        <v>1321</v>
      </c>
      <c r="H474" t="s">
        <v>198</v>
      </c>
      <c r="I474" t="str">
        <f t="shared" si="7"/>
        <v>25</v>
      </c>
      <c r="J474">
        <v>60025</v>
      </c>
      <c r="K474">
        <v>3200</v>
      </c>
      <c r="L474">
        <v>8</v>
      </c>
      <c r="M474">
        <v>3</v>
      </c>
      <c r="N474">
        <v>1</v>
      </c>
      <c r="O474" t="s">
        <v>25</v>
      </c>
      <c r="P474">
        <v>4</v>
      </c>
      <c r="Q474">
        <v>0</v>
      </c>
      <c r="R474" t="s">
        <v>26</v>
      </c>
      <c r="S474">
        <v>2</v>
      </c>
      <c r="V474" t="s">
        <v>36</v>
      </c>
    </row>
    <row r="475" spans="1:22" x14ac:dyDescent="0.45">
      <c r="A475" t="str">
        <f>"10627939"</f>
        <v>10627939</v>
      </c>
      <c r="B475" t="s">
        <v>22</v>
      </c>
      <c r="C475" s="1">
        <v>44013</v>
      </c>
      <c r="D475">
        <v>495000</v>
      </c>
      <c r="E475" t="s">
        <v>23</v>
      </c>
      <c r="F475">
        <v>1958</v>
      </c>
      <c r="G475">
        <v>1035</v>
      </c>
      <c r="H475" t="s">
        <v>233</v>
      </c>
      <c r="I475" t="str">
        <f t="shared" si="7"/>
        <v>25</v>
      </c>
      <c r="J475">
        <v>60025</v>
      </c>
      <c r="K475">
        <v>0</v>
      </c>
      <c r="L475">
        <v>9</v>
      </c>
      <c r="M475">
        <v>3</v>
      </c>
      <c r="N475">
        <v>1</v>
      </c>
      <c r="O475" t="s">
        <v>41</v>
      </c>
      <c r="P475">
        <v>3</v>
      </c>
      <c r="Q475">
        <v>1</v>
      </c>
      <c r="R475" t="s">
        <v>26</v>
      </c>
      <c r="S475">
        <v>2</v>
      </c>
      <c r="U475">
        <v>0</v>
      </c>
      <c r="V475" t="s">
        <v>27</v>
      </c>
    </row>
    <row r="476" spans="1:22" x14ac:dyDescent="0.45">
      <c r="A476" t="str">
        <f>"10391534"</f>
        <v>10391534</v>
      </c>
      <c r="B476" t="s">
        <v>22</v>
      </c>
      <c r="C476" s="1">
        <v>43644</v>
      </c>
      <c r="D476">
        <v>495000</v>
      </c>
      <c r="E476" t="s">
        <v>31</v>
      </c>
      <c r="F476">
        <v>1960</v>
      </c>
      <c r="G476">
        <v>525</v>
      </c>
      <c r="H476" t="s">
        <v>118</v>
      </c>
      <c r="I476" t="str">
        <f t="shared" si="7"/>
        <v>25</v>
      </c>
      <c r="J476">
        <v>60025</v>
      </c>
      <c r="K476">
        <v>2800</v>
      </c>
      <c r="L476">
        <v>7</v>
      </c>
      <c r="M476">
        <v>3</v>
      </c>
      <c r="N476">
        <v>1</v>
      </c>
      <c r="O476" t="s">
        <v>41</v>
      </c>
      <c r="P476">
        <v>4</v>
      </c>
      <c r="Q476">
        <v>0</v>
      </c>
      <c r="R476" t="s">
        <v>26</v>
      </c>
      <c r="S476">
        <v>2</v>
      </c>
    </row>
    <row r="477" spans="1:22" x14ac:dyDescent="0.45">
      <c r="A477" t="str">
        <f>"10138893"</f>
        <v>10138893</v>
      </c>
      <c r="B477" t="s">
        <v>22</v>
      </c>
      <c r="C477" s="1">
        <v>43522</v>
      </c>
      <c r="D477">
        <v>497000</v>
      </c>
      <c r="E477" t="s">
        <v>23</v>
      </c>
      <c r="F477">
        <v>1976</v>
      </c>
      <c r="G477">
        <v>3912</v>
      </c>
      <c r="H477" t="s">
        <v>258</v>
      </c>
      <c r="I477" t="str">
        <f t="shared" si="7"/>
        <v>25</v>
      </c>
      <c r="J477">
        <v>60026</v>
      </c>
      <c r="K477">
        <v>2098</v>
      </c>
      <c r="L477">
        <v>10</v>
      </c>
      <c r="M477">
        <v>3</v>
      </c>
      <c r="N477">
        <v>0</v>
      </c>
      <c r="O477" t="s">
        <v>41</v>
      </c>
      <c r="P477">
        <v>3</v>
      </c>
      <c r="Q477">
        <v>1</v>
      </c>
      <c r="R477" t="s">
        <v>26</v>
      </c>
      <c r="S477">
        <v>2</v>
      </c>
      <c r="V477" t="s">
        <v>27</v>
      </c>
    </row>
    <row r="478" spans="1:22" x14ac:dyDescent="0.45">
      <c r="A478" t="str">
        <f>"10840665"</f>
        <v>10840665</v>
      </c>
      <c r="B478" t="s">
        <v>22</v>
      </c>
      <c r="C478" s="1">
        <v>44114</v>
      </c>
      <c r="D478">
        <v>499000</v>
      </c>
      <c r="E478" t="s">
        <v>23</v>
      </c>
      <c r="F478">
        <v>1958</v>
      </c>
      <c r="G478">
        <v>2505</v>
      </c>
      <c r="H478" t="s">
        <v>105</v>
      </c>
      <c r="I478" t="str">
        <f t="shared" si="7"/>
        <v>25</v>
      </c>
      <c r="J478">
        <v>60025</v>
      </c>
      <c r="K478">
        <v>1560</v>
      </c>
      <c r="L478">
        <v>11</v>
      </c>
      <c r="M478">
        <v>3</v>
      </c>
      <c r="N478">
        <v>0</v>
      </c>
      <c r="O478" t="s">
        <v>41</v>
      </c>
      <c r="P478">
        <v>4</v>
      </c>
      <c r="Q478">
        <v>2</v>
      </c>
      <c r="R478" t="s">
        <v>35</v>
      </c>
      <c r="S478">
        <v>2</v>
      </c>
      <c r="V478" t="s">
        <v>27</v>
      </c>
    </row>
    <row r="479" spans="1:22" x14ac:dyDescent="0.45">
      <c r="A479" t="str">
        <f>"10607580"</f>
        <v>10607580</v>
      </c>
      <c r="B479" t="s">
        <v>22</v>
      </c>
      <c r="C479" s="1">
        <v>43887</v>
      </c>
      <c r="D479">
        <v>499000</v>
      </c>
      <c r="E479" t="s">
        <v>37</v>
      </c>
      <c r="F479">
        <v>1958</v>
      </c>
      <c r="G479">
        <v>424</v>
      </c>
      <c r="H479" t="s">
        <v>157</v>
      </c>
      <c r="I479" t="str">
        <f t="shared" si="7"/>
        <v>25</v>
      </c>
      <c r="J479">
        <v>60025</v>
      </c>
      <c r="K479">
        <v>2691</v>
      </c>
      <c r="L479">
        <v>8</v>
      </c>
      <c r="M479">
        <v>4</v>
      </c>
      <c r="N479">
        <v>0</v>
      </c>
      <c r="O479" t="s">
        <v>41</v>
      </c>
      <c r="P479">
        <v>4</v>
      </c>
      <c r="Q479">
        <v>0</v>
      </c>
      <c r="R479" t="s">
        <v>35</v>
      </c>
      <c r="S479">
        <v>2.5</v>
      </c>
      <c r="V479" t="s">
        <v>36</v>
      </c>
    </row>
    <row r="480" spans="1:22" x14ac:dyDescent="0.45">
      <c r="A480" t="str">
        <f>"10659501"</f>
        <v>10659501</v>
      </c>
      <c r="B480" t="s">
        <v>22</v>
      </c>
      <c r="C480" s="1">
        <v>43941</v>
      </c>
      <c r="D480">
        <v>500000</v>
      </c>
      <c r="E480" t="s">
        <v>23</v>
      </c>
      <c r="F480" t="s">
        <v>29</v>
      </c>
      <c r="G480">
        <v>1543</v>
      </c>
      <c r="H480" t="s">
        <v>264</v>
      </c>
      <c r="I480" t="str">
        <f t="shared" si="7"/>
        <v>25</v>
      </c>
      <c r="J480">
        <v>60025</v>
      </c>
      <c r="K480">
        <v>0</v>
      </c>
      <c r="L480">
        <v>6</v>
      </c>
      <c r="M480">
        <v>2</v>
      </c>
      <c r="N480">
        <v>0</v>
      </c>
      <c r="O480" t="s">
        <v>25</v>
      </c>
      <c r="P480">
        <v>3</v>
      </c>
      <c r="Q480">
        <v>0</v>
      </c>
      <c r="R480" t="s">
        <v>265</v>
      </c>
      <c r="S480">
        <v>1</v>
      </c>
    </row>
    <row r="481" spans="1:22" x14ac:dyDescent="0.45">
      <c r="A481" t="str">
        <f>"10585019"</f>
        <v>10585019</v>
      </c>
      <c r="B481" t="s">
        <v>22</v>
      </c>
      <c r="C481" s="1">
        <v>43892</v>
      </c>
      <c r="D481">
        <v>500000</v>
      </c>
      <c r="E481" t="s">
        <v>60</v>
      </c>
      <c r="F481">
        <v>1970</v>
      </c>
      <c r="G481">
        <v>1606</v>
      </c>
      <c r="H481" t="s">
        <v>101</v>
      </c>
      <c r="I481" t="str">
        <f t="shared" si="7"/>
        <v>25</v>
      </c>
      <c r="J481">
        <v>60026</v>
      </c>
      <c r="K481">
        <v>1760</v>
      </c>
      <c r="L481">
        <v>9</v>
      </c>
      <c r="M481">
        <v>2</v>
      </c>
      <c r="N481">
        <v>1</v>
      </c>
      <c r="O481" t="s">
        <v>25</v>
      </c>
      <c r="P481">
        <v>4</v>
      </c>
      <c r="Q481">
        <v>0</v>
      </c>
      <c r="R481" t="s">
        <v>26</v>
      </c>
      <c r="S481">
        <v>2</v>
      </c>
      <c r="T481">
        <v>2</v>
      </c>
    </row>
    <row r="482" spans="1:22" x14ac:dyDescent="0.45">
      <c r="A482" t="str">
        <f>"10724319"</f>
        <v>10724319</v>
      </c>
      <c r="B482" t="s">
        <v>22</v>
      </c>
      <c r="C482" s="1">
        <v>44088</v>
      </c>
      <c r="D482">
        <v>500000</v>
      </c>
      <c r="E482" t="s">
        <v>23</v>
      </c>
      <c r="F482">
        <v>1998</v>
      </c>
      <c r="G482">
        <v>2724</v>
      </c>
      <c r="H482" t="s">
        <v>266</v>
      </c>
      <c r="I482" t="str">
        <f t="shared" si="7"/>
        <v>25</v>
      </c>
      <c r="J482">
        <v>60026</v>
      </c>
      <c r="K482">
        <v>2211</v>
      </c>
      <c r="L482">
        <v>7</v>
      </c>
      <c r="M482">
        <v>2</v>
      </c>
      <c r="N482">
        <v>0</v>
      </c>
      <c r="O482" t="s">
        <v>25</v>
      </c>
      <c r="P482">
        <v>3</v>
      </c>
      <c r="Q482">
        <v>0</v>
      </c>
      <c r="R482" t="s">
        <v>26</v>
      </c>
      <c r="S482">
        <v>2</v>
      </c>
    </row>
    <row r="483" spans="1:22" x14ac:dyDescent="0.45">
      <c r="A483" t="str">
        <f>"10804430"</f>
        <v>10804430</v>
      </c>
      <c r="B483" t="s">
        <v>22</v>
      </c>
      <c r="C483" s="1">
        <v>44195</v>
      </c>
      <c r="D483">
        <v>500000</v>
      </c>
      <c r="E483" t="s">
        <v>23</v>
      </c>
      <c r="F483">
        <v>1956</v>
      </c>
      <c r="G483">
        <v>545</v>
      </c>
      <c r="H483" t="s">
        <v>159</v>
      </c>
      <c r="I483" t="str">
        <f t="shared" si="7"/>
        <v>25</v>
      </c>
      <c r="J483">
        <v>60025</v>
      </c>
      <c r="K483">
        <v>0</v>
      </c>
      <c r="L483">
        <v>9</v>
      </c>
      <c r="M483">
        <v>2</v>
      </c>
      <c r="N483">
        <v>0</v>
      </c>
      <c r="O483" t="s">
        <v>41</v>
      </c>
      <c r="P483">
        <v>3</v>
      </c>
      <c r="Q483">
        <v>1</v>
      </c>
      <c r="R483" t="s">
        <v>26</v>
      </c>
      <c r="S483">
        <v>2</v>
      </c>
      <c r="V483" t="s">
        <v>27</v>
      </c>
    </row>
    <row r="484" spans="1:22" x14ac:dyDescent="0.45">
      <c r="A484" t="str">
        <f>"10254635"</f>
        <v>10254635</v>
      </c>
      <c r="B484" t="s">
        <v>22</v>
      </c>
      <c r="C484" s="1">
        <v>43721</v>
      </c>
      <c r="D484">
        <v>500000</v>
      </c>
      <c r="E484" t="s">
        <v>60</v>
      </c>
      <c r="F484">
        <v>1952</v>
      </c>
      <c r="G484">
        <v>726</v>
      </c>
      <c r="H484" t="s">
        <v>151</v>
      </c>
      <c r="I484" t="str">
        <f t="shared" si="7"/>
        <v>25</v>
      </c>
      <c r="J484">
        <v>60025</v>
      </c>
      <c r="K484">
        <v>1728</v>
      </c>
      <c r="L484">
        <v>6</v>
      </c>
      <c r="M484">
        <v>1</v>
      </c>
      <c r="N484">
        <v>1</v>
      </c>
      <c r="O484" t="s">
        <v>25</v>
      </c>
      <c r="P484">
        <v>3</v>
      </c>
      <c r="Q484">
        <v>0</v>
      </c>
      <c r="R484" t="s">
        <v>26</v>
      </c>
      <c r="S484">
        <v>1</v>
      </c>
      <c r="U484">
        <v>0</v>
      </c>
      <c r="V484" t="s">
        <v>67</v>
      </c>
    </row>
    <row r="485" spans="1:22" x14ac:dyDescent="0.45">
      <c r="A485" t="str">
        <f>"10876749"</f>
        <v>10876749</v>
      </c>
      <c r="B485" t="s">
        <v>22</v>
      </c>
      <c r="C485" s="1">
        <v>44183</v>
      </c>
      <c r="D485">
        <v>502100</v>
      </c>
      <c r="E485" t="s">
        <v>23</v>
      </c>
      <c r="F485">
        <v>1953</v>
      </c>
      <c r="G485">
        <v>937</v>
      </c>
      <c r="H485" t="s">
        <v>267</v>
      </c>
      <c r="I485" t="str">
        <f t="shared" si="7"/>
        <v>25</v>
      </c>
      <c r="J485">
        <v>60025</v>
      </c>
      <c r="K485">
        <v>1802</v>
      </c>
      <c r="L485">
        <v>8</v>
      </c>
      <c r="M485">
        <v>2</v>
      </c>
      <c r="N485">
        <v>0</v>
      </c>
      <c r="O485" t="s">
        <v>25</v>
      </c>
      <c r="P485">
        <v>3</v>
      </c>
      <c r="Q485">
        <v>0</v>
      </c>
      <c r="R485" t="s">
        <v>26</v>
      </c>
      <c r="S485">
        <v>1</v>
      </c>
      <c r="V485" t="s">
        <v>27</v>
      </c>
    </row>
    <row r="486" spans="1:22" x14ac:dyDescent="0.45">
      <c r="A486" t="str">
        <f>"10515475"</f>
        <v>10515475</v>
      </c>
      <c r="B486" t="s">
        <v>22</v>
      </c>
      <c r="C486" s="1">
        <v>43819</v>
      </c>
      <c r="D486">
        <v>502500</v>
      </c>
      <c r="E486" t="s">
        <v>37</v>
      </c>
      <c r="F486">
        <v>1957</v>
      </c>
      <c r="G486">
        <v>315</v>
      </c>
      <c r="H486" t="s">
        <v>95</v>
      </c>
      <c r="I486" t="str">
        <f t="shared" si="7"/>
        <v>25</v>
      </c>
      <c r="J486">
        <v>60025</v>
      </c>
      <c r="K486">
        <v>0</v>
      </c>
      <c r="L486">
        <v>9</v>
      </c>
      <c r="M486">
        <v>3</v>
      </c>
      <c r="N486">
        <v>0</v>
      </c>
      <c r="O486" t="s">
        <v>41</v>
      </c>
      <c r="P486">
        <v>5</v>
      </c>
      <c r="Q486">
        <v>0</v>
      </c>
      <c r="R486" t="s">
        <v>26</v>
      </c>
      <c r="S486">
        <v>1.5</v>
      </c>
    </row>
    <row r="487" spans="1:22" x14ac:dyDescent="0.45">
      <c r="A487" t="str">
        <f>"10698376"</f>
        <v>10698376</v>
      </c>
      <c r="B487" t="s">
        <v>22</v>
      </c>
      <c r="C487" s="1">
        <v>44008</v>
      </c>
      <c r="D487">
        <v>504000</v>
      </c>
      <c r="E487" t="s">
        <v>23</v>
      </c>
      <c r="F487">
        <v>1961</v>
      </c>
      <c r="G487">
        <v>3006</v>
      </c>
      <c r="H487" t="s">
        <v>240</v>
      </c>
      <c r="I487" t="str">
        <f t="shared" si="7"/>
        <v>25</v>
      </c>
      <c r="J487">
        <v>60026</v>
      </c>
      <c r="K487">
        <v>0</v>
      </c>
      <c r="L487">
        <v>8</v>
      </c>
      <c r="M487">
        <v>2</v>
      </c>
      <c r="N487">
        <v>1</v>
      </c>
      <c r="O487" t="s">
        <v>41</v>
      </c>
      <c r="P487">
        <v>3</v>
      </c>
      <c r="Q487">
        <v>0</v>
      </c>
      <c r="R487" t="s">
        <v>26</v>
      </c>
      <c r="S487">
        <v>2</v>
      </c>
    </row>
    <row r="488" spans="1:22" x14ac:dyDescent="0.45">
      <c r="A488" t="str">
        <f>"10717991"</f>
        <v>10717991</v>
      </c>
      <c r="B488" t="s">
        <v>22</v>
      </c>
      <c r="C488" s="1">
        <v>44089</v>
      </c>
      <c r="D488">
        <v>505000</v>
      </c>
      <c r="E488" t="s">
        <v>60</v>
      </c>
      <c r="F488">
        <v>1980</v>
      </c>
      <c r="G488">
        <v>1148</v>
      </c>
      <c r="H488" t="s">
        <v>268</v>
      </c>
      <c r="I488" t="str">
        <f t="shared" si="7"/>
        <v>25</v>
      </c>
      <c r="J488">
        <v>60025</v>
      </c>
      <c r="K488">
        <v>3559</v>
      </c>
      <c r="L488">
        <v>9</v>
      </c>
      <c r="M488">
        <v>2</v>
      </c>
      <c r="N488">
        <v>1</v>
      </c>
      <c r="O488" t="s">
        <v>25</v>
      </c>
      <c r="P488">
        <v>4</v>
      </c>
      <c r="Q488">
        <v>0</v>
      </c>
      <c r="R488" t="s">
        <v>26</v>
      </c>
      <c r="S488">
        <v>2</v>
      </c>
      <c r="U488">
        <v>2000</v>
      </c>
    </row>
    <row r="489" spans="1:22" x14ac:dyDescent="0.45">
      <c r="A489" t="str">
        <f>"10161537"</f>
        <v>10161537</v>
      </c>
      <c r="B489" t="s">
        <v>22</v>
      </c>
      <c r="C489" s="1">
        <v>43570</v>
      </c>
      <c r="D489">
        <v>505000</v>
      </c>
      <c r="E489" t="s">
        <v>74</v>
      </c>
      <c r="F489">
        <v>1968</v>
      </c>
      <c r="G489">
        <v>2400</v>
      </c>
      <c r="H489" t="s">
        <v>269</v>
      </c>
      <c r="I489" t="str">
        <f t="shared" si="7"/>
        <v>25</v>
      </c>
      <c r="J489">
        <v>60026</v>
      </c>
      <c r="K489">
        <v>0</v>
      </c>
      <c r="L489">
        <v>9</v>
      </c>
      <c r="M489">
        <v>2</v>
      </c>
      <c r="N489">
        <v>1</v>
      </c>
      <c r="O489" t="s">
        <v>25</v>
      </c>
      <c r="P489">
        <v>4</v>
      </c>
      <c r="Q489">
        <v>0</v>
      </c>
      <c r="R489" t="s">
        <v>26</v>
      </c>
      <c r="S489">
        <v>2</v>
      </c>
      <c r="V489" t="s">
        <v>71</v>
      </c>
    </row>
    <row r="490" spans="1:22" x14ac:dyDescent="0.45">
      <c r="A490" t="str">
        <f>"10558135"</f>
        <v>10558135</v>
      </c>
      <c r="B490" t="s">
        <v>22</v>
      </c>
      <c r="C490" s="1">
        <v>43889</v>
      </c>
      <c r="D490">
        <v>505000</v>
      </c>
      <c r="E490" t="s">
        <v>60</v>
      </c>
      <c r="F490">
        <v>1974</v>
      </c>
      <c r="G490">
        <v>3823</v>
      </c>
      <c r="H490" t="s">
        <v>215</v>
      </c>
      <c r="I490" t="str">
        <f t="shared" si="7"/>
        <v>25</v>
      </c>
      <c r="J490">
        <v>60026</v>
      </c>
      <c r="K490">
        <v>2819</v>
      </c>
      <c r="L490">
        <v>10</v>
      </c>
      <c r="M490">
        <v>2</v>
      </c>
      <c r="N490">
        <v>1</v>
      </c>
      <c r="O490" t="s">
        <v>25</v>
      </c>
      <c r="P490">
        <v>4</v>
      </c>
      <c r="Q490">
        <v>0</v>
      </c>
      <c r="R490" t="s">
        <v>26</v>
      </c>
      <c r="S490">
        <v>2</v>
      </c>
      <c r="V490" t="s">
        <v>176</v>
      </c>
    </row>
    <row r="491" spans="1:22" x14ac:dyDescent="0.45">
      <c r="A491" t="str">
        <f>"10296354"</f>
        <v>10296354</v>
      </c>
      <c r="B491" t="s">
        <v>22</v>
      </c>
      <c r="C491" s="1">
        <v>43644</v>
      </c>
      <c r="D491">
        <v>505000</v>
      </c>
      <c r="E491" t="s">
        <v>60</v>
      </c>
      <c r="F491">
        <v>1954</v>
      </c>
      <c r="G491">
        <v>1760</v>
      </c>
      <c r="H491" t="s">
        <v>100</v>
      </c>
      <c r="I491" t="str">
        <f t="shared" si="7"/>
        <v>25</v>
      </c>
      <c r="J491">
        <v>60025</v>
      </c>
      <c r="K491">
        <v>2906</v>
      </c>
      <c r="L491">
        <v>9</v>
      </c>
      <c r="M491">
        <v>2</v>
      </c>
      <c r="N491">
        <v>1</v>
      </c>
      <c r="O491" t="s">
        <v>25</v>
      </c>
      <c r="P491">
        <v>4</v>
      </c>
      <c r="Q491">
        <v>0</v>
      </c>
      <c r="R491" t="s">
        <v>35</v>
      </c>
      <c r="S491">
        <v>2.5</v>
      </c>
      <c r="V491" t="s">
        <v>67</v>
      </c>
    </row>
    <row r="492" spans="1:22" x14ac:dyDescent="0.45">
      <c r="A492" t="str">
        <f>"10651140"</f>
        <v>10651140</v>
      </c>
      <c r="B492" t="s">
        <v>22</v>
      </c>
      <c r="C492" s="1">
        <v>43931</v>
      </c>
      <c r="D492">
        <v>506500</v>
      </c>
      <c r="E492" t="s">
        <v>23</v>
      </c>
      <c r="F492">
        <v>1956</v>
      </c>
      <c r="G492">
        <v>1644</v>
      </c>
      <c r="H492" t="s">
        <v>270</v>
      </c>
      <c r="I492" t="str">
        <f t="shared" si="7"/>
        <v>25</v>
      </c>
      <c r="J492">
        <v>60025</v>
      </c>
      <c r="K492">
        <v>2232</v>
      </c>
      <c r="L492">
        <v>8</v>
      </c>
      <c r="M492">
        <v>3</v>
      </c>
      <c r="N492">
        <v>0</v>
      </c>
      <c r="O492" t="s">
        <v>25</v>
      </c>
      <c r="P492">
        <v>4</v>
      </c>
      <c r="Q492">
        <v>0</v>
      </c>
      <c r="R492" t="s">
        <v>26</v>
      </c>
      <c r="S492">
        <v>2</v>
      </c>
    </row>
    <row r="493" spans="1:22" x14ac:dyDescent="0.45">
      <c r="A493" t="str">
        <f>"10506766"</f>
        <v>10506766</v>
      </c>
      <c r="B493" t="s">
        <v>22</v>
      </c>
      <c r="C493" s="1">
        <v>44133</v>
      </c>
      <c r="D493">
        <v>506500</v>
      </c>
      <c r="E493" t="s">
        <v>60</v>
      </c>
      <c r="F493">
        <v>1992</v>
      </c>
      <c r="G493">
        <v>1471</v>
      </c>
      <c r="H493" t="s">
        <v>271</v>
      </c>
      <c r="I493" t="str">
        <f t="shared" si="7"/>
        <v>25</v>
      </c>
      <c r="J493">
        <v>60025</v>
      </c>
      <c r="K493">
        <v>0</v>
      </c>
      <c r="L493">
        <v>9</v>
      </c>
      <c r="M493">
        <v>2</v>
      </c>
      <c r="N493">
        <v>2</v>
      </c>
      <c r="O493" t="s">
        <v>41</v>
      </c>
      <c r="P493">
        <v>3</v>
      </c>
      <c r="Q493">
        <v>0</v>
      </c>
      <c r="R493" t="s">
        <v>26</v>
      </c>
      <c r="S493">
        <v>2</v>
      </c>
    </row>
    <row r="494" spans="1:22" x14ac:dyDescent="0.45">
      <c r="A494" t="str">
        <f>"10747717"</f>
        <v>10747717</v>
      </c>
      <c r="B494" t="s">
        <v>22</v>
      </c>
      <c r="C494" s="1">
        <v>44036</v>
      </c>
      <c r="D494">
        <v>508000</v>
      </c>
      <c r="E494" t="s">
        <v>23</v>
      </c>
      <c r="F494">
        <v>1952</v>
      </c>
      <c r="G494">
        <v>1221</v>
      </c>
      <c r="H494" t="s">
        <v>272</v>
      </c>
      <c r="I494" t="str">
        <f t="shared" si="7"/>
        <v>25</v>
      </c>
      <c r="J494">
        <v>60025</v>
      </c>
      <c r="K494">
        <v>0</v>
      </c>
      <c r="L494">
        <v>6</v>
      </c>
      <c r="M494">
        <v>1</v>
      </c>
      <c r="N494">
        <v>1</v>
      </c>
      <c r="O494" t="s">
        <v>25</v>
      </c>
      <c r="P494">
        <v>2</v>
      </c>
      <c r="Q494">
        <v>0</v>
      </c>
      <c r="R494" t="s">
        <v>26</v>
      </c>
      <c r="S494">
        <v>2</v>
      </c>
      <c r="V494" t="s">
        <v>27</v>
      </c>
    </row>
    <row r="495" spans="1:22" x14ac:dyDescent="0.45">
      <c r="A495" t="str">
        <f>"10612013"</f>
        <v>10612013</v>
      </c>
      <c r="B495" t="s">
        <v>22</v>
      </c>
      <c r="C495" s="1">
        <v>43892</v>
      </c>
      <c r="D495">
        <v>510000</v>
      </c>
      <c r="E495" t="s">
        <v>74</v>
      </c>
      <c r="F495">
        <v>1973</v>
      </c>
      <c r="G495">
        <v>4109</v>
      </c>
      <c r="H495" t="s">
        <v>215</v>
      </c>
      <c r="I495" t="str">
        <f t="shared" si="7"/>
        <v>25</v>
      </c>
      <c r="J495">
        <v>60026</v>
      </c>
      <c r="K495">
        <v>0</v>
      </c>
      <c r="L495">
        <v>10</v>
      </c>
      <c r="M495">
        <v>2</v>
      </c>
      <c r="N495">
        <v>1</v>
      </c>
      <c r="O495" t="s">
        <v>25</v>
      </c>
      <c r="P495">
        <v>4</v>
      </c>
      <c r="Q495">
        <v>0</v>
      </c>
      <c r="R495" t="s">
        <v>26</v>
      </c>
      <c r="S495">
        <v>2</v>
      </c>
      <c r="V495" t="s">
        <v>36</v>
      </c>
    </row>
    <row r="496" spans="1:22" x14ac:dyDescent="0.45">
      <c r="A496" t="str">
        <f>"10916156"</f>
        <v>10916156</v>
      </c>
      <c r="B496" t="s">
        <v>22</v>
      </c>
      <c r="C496" s="1">
        <v>44189</v>
      </c>
      <c r="D496">
        <v>510000</v>
      </c>
      <c r="E496" t="s">
        <v>60</v>
      </c>
      <c r="F496">
        <v>1973</v>
      </c>
      <c r="G496">
        <v>4039</v>
      </c>
      <c r="H496" t="s">
        <v>273</v>
      </c>
      <c r="I496" t="str">
        <f t="shared" si="7"/>
        <v>25</v>
      </c>
      <c r="J496">
        <v>60026</v>
      </c>
      <c r="K496">
        <v>1938</v>
      </c>
      <c r="L496">
        <v>10</v>
      </c>
      <c r="M496">
        <v>3</v>
      </c>
      <c r="N496">
        <v>1</v>
      </c>
      <c r="O496" t="s">
        <v>25</v>
      </c>
      <c r="P496">
        <v>5</v>
      </c>
      <c r="Q496">
        <v>0</v>
      </c>
      <c r="R496" t="s">
        <v>26</v>
      </c>
      <c r="S496">
        <v>2</v>
      </c>
      <c r="V496" t="s">
        <v>67</v>
      </c>
    </row>
    <row r="497" spans="1:22" x14ac:dyDescent="0.45">
      <c r="A497" t="str">
        <f>"10418995"</f>
        <v>10418995</v>
      </c>
      <c r="B497" t="s">
        <v>22</v>
      </c>
      <c r="C497" s="1">
        <v>43754</v>
      </c>
      <c r="D497">
        <v>510000</v>
      </c>
      <c r="E497" t="s">
        <v>60</v>
      </c>
      <c r="F497">
        <v>1989</v>
      </c>
      <c r="G497">
        <v>3210</v>
      </c>
      <c r="H497" t="s">
        <v>100</v>
      </c>
      <c r="I497" t="str">
        <f t="shared" si="7"/>
        <v>25</v>
      </c>
      <c r="J497">
        <v>60025</v>
      </c>
      <c r="K497">
        <v>3400</v>
      </c>
      <c r="L497">
        <v>10</v>
      </c>
      <c r="M497">
        <v>2</v>
      </c>
      <c r="N497">
        <v>2</v>
      </c>
      <c r="O497" t="s">
        <v>41</v>
      </c>
      <c r="P497">
        <v>4</v>
      </c>
      <c r="Q497">
        <v>0</v>
      </c>
      <c r="R497" t="s">
        <v>26</v>
      </c>
      <c r="S497">
        <v>2</v>
      </c>
      <c r="V497" t="s">
        <v>67</v>
      </c>
    </row>
    <row r="498" spans="1:22" x14ac:dyDescent="0.45">
      <c r="A498" t="str">
        <f>"10692002"</f>
        <v>10692002</v>
      </c>
      <c r="B498" t="s">
        <v>22</v>
      </c>
      <c r="C498" s="1">
        <v>44099</v>
      </c>
      <c r="D498">
        <v>510000</v>
      </c>
      <c r="E498" t="s">
        <v>37</v>
      </c>
      <c r="F498">
        <v>1960</v>
      </c>
      <c r="G498">
        <v>417</v>
      </c>
      <c r="H498" t="s">
        <v>44</v>
      </c>
      <c r="I498" t="str">
        <f t="shared" si="7"/>
        <v>25</v>
      </c>
      <c r="J498">
        <v>60025</v>
      </c>
      <c r="K498">
        <v>1964</v>
      </c>
      <c r="L498">
        <v>9</v>
      </c>
      <c r="M498">
        <v>2</v>
      </c>
      <c r="N498">
        <v>1</v>
      </c>
      <c r="O498" t="s">
        <v>25</v>
      </c>
      <c r="P498">
        <v>4</v>
      </c>
      <c r="Q498">
        <v>0</v>
      </c>
      <c r="R498" t="s">
        <v>26</v>
      </c>
      <c r="S498">
        <v>2</v>
      </c>
      <c r="U498">
        <v>660</v>
      </c>
    </row>
    <row r="499" spans="1:22" x14ac:dyDescent="0.45">
      <c r="A499" t="str">
        <f>"10714956"</f>
        <v>10714956</v>
      </c>
      <c r="B499" t="s">
        <v>22</v>
      </c>
      <c r="C499" s="1">
        <v>44127</v>
      </c>
      <c r="D499">
        <v>510000</v>
      </c>
      <c r="E499" t="s">
        <v>60</v>
      </c>
      <c r="F499" t="s">
        <v>29</v>
      </c>
      <c r="G499">
        <v>1600</v>
      </c>
      <c r="H499" t="s">
        <v>274</v>
      </c>
      <c r="I499" t="str">
        <f t="shared" si="7"/>
        <v>25</v>
      </c>
      <c r="J499">
        <v>60025</v>
      </c>
      <c r="K499">
        <v>2358</v>
      </c>
      <c r="L499">
        <v>11</v>
      </c>
      <c r="M499">
        <v>3</v>
      </c>
      <c r="N499">
        <v>1</v>
      </c>
      <c r="O499" t="s">
        <v>41</v>
      </c>
      <c r="P499">
        <v>4</v>
      </c>
      <c r="Q499">
        <v>1</v>
      </c>
      <c r="R499" t="s">
        <v>26</v>
      </c>
      <c r="S499">
        <v>2</v>
      </c>
      <c r="V499" t="s">
        <v>67</v>
      </c>
    </row>
    <row r="500" spans="1:22" x14ac:dyDescent="0.45">
      <c r="A500" t="str">
        <f>"10089617"</f>
        <v>10089617</v>
      </c>
      <c r="B500" t="s">
        <v>22</v>
      </c>
      <c r="C500" s="1">
        <v>43544</v>
      </c>
      <c r="D500">
        <v>510000</v>
      </c>
      <c r="E500" t="s">
        <v>60</v>
      </c>
      <c r="F500">
        <v>2004</v>
      </c>
      <c r="G500">
        <v>2540</v>
      </c>
      <c r="H500" t="s">
        <v>275</v>
      </c>
      <c r="I500" t="str">
        <f t="shared" si="7"/>
        <v>25</v>
      </c>
      <c r="J500">
        <v>60025</v>
      </c>
      <c r="K500">
        <v>2703</v>
      </c>
      <c r="L500">
        <v>10</v>
      </c>
      <c r="M500">
        <v>3</v>
      </c>
      <c r="N500">
        <v>1</v>
      </c>
      <c r="O500" t="s">
        <v>41</v>
      </c>
      <c r="P500">
        <v>5</v>
      </c>
      <c r="Q500">
        <v>0</v>
      </c>
      <c r="R500" t="s">
        <v>35</v>
      </c>
      <c r="S500">
        <v>2</v>
      </c>
      <c r="T500">
        <v>6</v>
      </c>
      <c r="V500" t="s">
        <v>67</v>
      </c>
    </row>
    <row r="501" spans="1:22" x14ac:dyDescent="0.45">
      <c r="A501" t="str">
        <f>"10381635"</f>
        <v>10381635</v>
      </c>
      <c r="B501" t="s">
        <v>22</v>
      </c>
      <c r="C501" s="1">
        <v>43633</v>
      </c>
      <c r="D501">
        <v>512000</v>
      </c>
      <c r="E501" t="s">
        <v>23</v>
      </c>
      <c r="F501">
        <v>1953</v>
      </c>
      <c r="G501">
        <v>1001</v>
      </c>
      <c r="H501" t="s">
        <v>63</v>
      </c>
      <c r="I501" t="str">
        <f t="shared" si="7"/>
        <v>25</v>
      </c>
      <c r="J501">
        <v>60025</v>
      </c>
      <c r="K501">
        <v>0</v>
      </c>
      <c r="L501">
        <v>7</v>
      </c>
      <c r="M501">
        <v>1</v>
      </c>
      <c r="N501">
        <v>1</v>
      </c>
      <c r="O501" t="s">
        <v>25</v>
      </c>
      <c r="P501">
        <v>3</v>
      </c>
      <c r="Q501">
        <v>0</v>
      </c>
      <c r="R501" t="s">
        <v>26</v>
      </c>
      <c r="S501">
        <v>2</v>
      </c>
      <c r="V501" t="s">
        <v>27</v>
      </c>
    </row>
    <row r="502" spans="1:22" x14ac:dyDescent="0.45">
      <c r="A502" t="str">
        <f>"10636547"</f>
        <v>10636547</v>
      </c>
      <c r="B502" t="s">
        <v>22</v>
      </c>
      <c r="C502" s="1">
        <v>43948</v>
      </c>
      <c r="D502">
        <v>512500</v>
      </c>
      <c r="E502" t="s">
        <v>60</v>
      </c>
      <c r="F502">
        <v>1969</v>
      </c>
      <c r="G502">
        <v>3227</v>
      </c>
      <c r="H502" t="s">
        <v>168</v>
      </c>
      <c r="I502" t="str">
        <f t="shared" si="7"/>
        <v>25</v>
      </c>
      <c r="J502">
        <v>60026</v>
      </c>
      <c r="K502">
        <v>2496</v>
      </c>
      <c r="L502">
        <v>10</v>
      </c>
      <c r="M502">
        <v>2</v>
      </c>
      <c r="N502">
        <v>1</v>
      </c>
      <c r="O502" t="s">
        <v>25</v>
      </c>
      <c r="P502">
        <v>4</v>
      </c>
      <c r="Q502">
        <v>0</v>
      </c>
      <c r="R502" t="s">
        <v>26</v>
      </c>
      <c r="S502">
        <v>2</v>
      </c>
    </row>
    <row r="503" spans="1:22" x14ac:dyDescent="0.45">
      <c r="A503" t="str">
        <f>"10423485"</f>
        <v>10423485</v>
      </c>
      <c r="B503" t="s">
        <v>22</v>
      </c>
      <c r="C503" s="1">
        <v>43719</v>
      </c>
      <c r="D503">
        <v>515000</v>
      </c>
      <c r="E503" t="s">
        <v>74</v>
      </c>
      <c r="F503">
        <v>1966</v>
      </c>
      <c r="G503">
        <v>1306</v>
      </c>
      <c r="H503" t="s">
        <v>163</v>
      </c>
      <c r="I503" t="str">
        <f t="shared" si="7"/>
        <v>25</v>
      </c>
      <c r="J503">
        <v>60025</v>
      </c>
      <c r="K503">
        <v>2301</v>
      </c>
      <c r="L503">
        <v>10</v>
      </c>
      <c r="M503">
        <v>3</v>
      </c>
      <c r="N503">
        <v>0</v>
      </c>
      <c r="O503" t="s">
        <v>25</v>
      </c>
      <c r="P503">
        <v>5</v>
      </c>
      <c r="Q503">
        <v>0</v>
      </c>
      <c r="R503" t="s">
        <v>26</v>
      </c>
      <c r="S503">
        <v>2</v>
      </c>
      <c r="T503">
        <v>2</v>
      </c>
      <c r="U503">
        <v>550</v>
      </c>
      <c r="V503" t="s">
        <v>71</v>
      </c>
    </row>
    <row r="504" spans="1:22" x14ac:dyDescent="0.45">
      <c r="A504" t="str">
        <f>"10810341"</f>
        <v>10810341</v>
      </c>
      <c r="B504" t="s">
        <v>22</v>
      </c>
      <c r="C504" s="1">
        <v>44109</v>
      </c>
      <c r="D504">
        <v>515000</v>
      </c>
      <c r="E504" t="s">
        <v>37</v>
      </c>
      <c r="F504">
        <v>1970</v>
      </c>
      <c r="G504">
        <v>3954</v>
      </c>
      <c r="H504" t="s">
        <v>276</v>
      </c>
      <c r="I504" t="str">
        <f t="shared" si="7"/>
        <v>25</v>
      </c>
      <c r="J504">
        <v>60026</v>
      </c>
      <c r="K504">
        <v>2359</v>
      </c>
      <c r="L504">
        <v>10</v>
      </c>
      <c r="M504">
        <v>2</v>
      </c>
      <c r="N504">
        <v>2</v>
      </c>
      <c r="O504" t="s">
        <v>41</v>
      </c>
      <c r="P504">
        <v>4</v>
      </c>
      <c r="Q504">
        <v>0</v>
      </c>
      <c r="R504" t="s">
        <v>26</v>
      </c>
      <c r="S504">
        <v>2</v>
      </c>
      <c r="V504" t="s">
        <v>71</v>
      </c>
    </row>
    <row r="505" spans="1:22" x14ac:dyDescent="0.45">
      <c r="A505" t="str">
        <f>"10784309"</f>
        <v>10784309</v>
      </c>
      <c r="B505" t="s">
        <v>22</v>
      </c>
      <c r="C505" s="1">
        <v>44078</v>
      </c>
      <c r="D505">
        <v>515000</v>
      </c>
      <c r="E505" t="s">
        <v>60</v>
      </c>
      <c r="F505">
        <v>2001</v>
      </c>
      <c r="G505">
        <v>4511</v>
      </c>
      <c r="H505" t="s">
        <v>53</v>
      </c>
      <c r="I505" t="str">
        <f t="shared" si="7"/>
        <v>25</v>
      </c>
      <c r="J505">
        <v>60025</v>
      </c>
      <c r="K505">
        <v>2600</v>
      </c>
      <c r="L505">
        <v>8</v>
      </c>
      <c r="M505">
        <v>2</v>
      </c>
      <c r="N505">
        <v>1</v>
      </c>
      <c r="P505">
        <v>4</v>
      </c>
      <c r="Q505">
        <v>0</v>
      </c>
      <c r="R505" t="s">
        <v>26</v>
      </c>
      <c r="S505">
        <v>2</v>
      </c>
    </row>
    <row r="506" spans="1:22" x14ac:dyDescent="0.45">
      <c r="A506" t="str">
        <f>"10516859"</f>
        <v>10516859</v>
      </c>
      <c r="B506" t="s">
        <v>22</v>
      </c>
      <c r="C506" s="1">
        <v>43889</v>
      </c>
      <c r="D506">
        <v>515000</v>
      </c>
      <c r="E506" t="s">
        <v>37</v>
      </c>
      <c r="F506">
        <v>1970</v>
      </c>
      <c r="G506">
        <v>1229</v>
      </c>
      <c r="H506" t="s">
        <v>94</v>
      </c>
      <c r="I506" t="str">
        <f t="shared" si="7"/>
        <v>25</v>
      </c>
      <c r="J506">
        <v>60025</v>
      </c>
      <c r="K506">
        <v>1930</v>
      </c>
      <c r="L506">
        <v>7</v>
      </c>
      <c r="M506">
        <v>2</v>
      </c>
      <c r="N506">
        <v>1</v>
      </c>
      <c r="O506" t="s">
        <v>41</v>
      </c>
      <c r="P506">
        <v>3</v>
      </c>
      <c r="Q506">
        <v>0</v>
      </c>
      <c r="R506" t="s">
        <v>26</v>
      </c>
      <c r="S506">
        <v>1</v>
      </c>
      <c r="T506">
        <v>2</v>
      </c>
      <c r="V506" t="s">
        <v>71</v>
      </c>
    </row>
    <row r="507" spans="1:22" x14ac:dyDescent="0.45">
      <c r="A507" t="str">
        <f>"10045012"</f>
        <v>10045012</v>
      </c>
      <c r="B507" t="s">
        <v>22</v>
      </c>
      <c r="C507" s="1">
        <v>43592</v>
      </c>
      <c r="D507">
        <v>515000</v>
      </c>
      <c r="E507" t="s">
        <v>60</v>
      </c>
      <c r="F507">
        <v>1865</v>
      </c>
      <c r="G507">
        <v>2801</v>
      </c>
      <c r="H507" t="s">
        <v>115</v>
      </c>
      <c r="I507" t="str">
        <f t="shared" si="7"/>
        <v>25</v>
      </c>
      <c r="J507">
        <v>60025</v>
      </c>
      <c r="K507">
        <v>0</v>
      </c>
      <c r="L507">
        <v>12</v>
      </c>
      <c r="M507">
        <v>2</v>
      </c>
      <c r="N507">
        <v>0</v>
      </c>
      <c r="O507" t="s">
        <v>25</v>
      </c>
      <c r="P507">
        <v>4</v>
      </c>
      <c r="Q507">
        <v>0</v>
      </c>
      <c r="R507" t="s">
        <v>35</v>
      </c>
      <c r="S507">
        <v>2</v>
      </c>
    </row>
    <row r="508" spans="1:22" x14ac:dyDescent="0.45">
      <c r="A508" t="str">
        <f>"10272998"</f>
        <v>10272998</v>
      </c>
      <c r="B508" t="s">
        <v>22</v>
      </c>
      <c r="C508" s="1">
        <v>43570</v>
      </c>
      <c r="D508">
        <v>517000</v>
      </c>
      <c r="E508" t="s">
        <v>60</v>
      </c>
      <c r="F508">
        <v>1940</v>
      </c>
      <c r="G508">
        <v>2689</v>
      </c>
      <c r="H508" t="s">
        <v>277</v>
      </c>
      <c r="I508" t="str">
        <f t="shared" si="7"/>
        <v>25</v>
      </c>
      <c r="J508">
        <v>60025</v>
      </c>
      <c r="K508">
        <v>4500</v>
      </c>
      <c r="L508">
        <v>13</v>
      </c>
      <c r="M508">
        <v>4</v>
      </c>
      <c r="N508">
        <v>1</v>
      </c>
      <c r="O508" t="s">
        <v>25</v>
      </c>
      <c r="P508">
        <v>5</v>
      </c>
      <c r="Q508">
        <v>0</v>
      </c>
      <c r="R508" t="s">
        <v>26</v>
      </c>
      <c r="S508">
        <v>2</v>
      </c>
    </row>
    <row r="509" spans="1:22" x14ac:dyDescent="0.45">
      <c r="A509" t="str">
        <f>"10903454"</f>
        <v>10903454</v>
      </c>
      <c r="B509" t="s">
        <v>22</v>
      </c>
      <c r="C509" s="1">
        <v>44113</v>
      </c>
      <c r="D509">
        <v>517500</v>
      </c>
      <c r="E509" t="s">
        <v>60</v>
      </c>
      <c r="F509">
        <v>1950</v>
      </c>
      <c r="G509">
        <v>824</v>
      </c>
      <c r="H509" t="s">
        <v>278</v>
      </c>
      <c r="I509" t="str">
        <f t="shared" si="7"/>
        <v>25</v>
      </c>
      <c r="J509">
        <v>60025</v>
      </c>
      <c r="K509">
        <v>1855</v>
      </c>
      <c r="L509">
        <v>8</v>
      </c>
      <c r="M509">
        <v>1</v>
      </c>
      <c r="N509">
        <v>1</v>
      </c>
      <c r="O509" t="s">
        <v>25</v>
      </c>
      <c r="P509">
        <v>3</v>
      </c>
      <c r="Q509">
        <v>0</v>
      </c>
      <c r="R509" t="s">
        <v>26</v>
      </c>
      <c r="S509">
        <v>2</v>
      </c>
    </row>
    <row r="510" spans="1:22" x14ac:dyDescent="0.45">
      <c r="A510" t="str">
        <f>"10453030"</f>
        <v>10453030</v>
      </c>
      <c r="B510" t="s">
        <v>22</v>
      </c>
      <c r="C510" s="1">
        <v>43740</v>
      </c>
      <c r="D510">
        <v>517500</v>
      </c>
      <c r="E510" t="s">
        <v>60</v>
      </c>
      <c r="F510">
        <v>2006</v>
      </c>
      <c r="G510">
        <v>2427</v>
      </c>
      <c r="H510" t="s">
        <v>86</v>
      </c>
      <c r="I510" t="str">
        <f t="shared" si="7"/>
        <v>25</v>
      </c>
      <c r="J510">
        <v>60025</v>
      </c>
      <c r="K510">
        <v>3969</v>
      </c>
      <c r="L510">
        <v>10</v>
      </c>
      <c r="M510">
        <v>5</v>
      </c>
      <c r="N510">
        <v>0</v>
      </c>
      <c r="O510" t="s">
        <v>41</v>
      </c>
      <c r="P510">
        <v>5</v>
      </c>
      <c r="Q510">
        <v>0</v>
      </c>
      <c r="R510" t="s">
        <v>35</v>
      </c>
      <c r="S510">
        <v>3</v>
      </c>
      <c r="V510" t="s">
        <v>67</v>
      </c>
    </row>
    <row r="511" spans="1:22" x14ac:dyDescent="0.45">
      <c r="A511" t="str">
        <f>"10814160"</f>
        <v>10814160</v>
      </c>
      <c r="B511" t="s">
        <v>22</v>
      </c>
      <c r="C511" s="1">
        <v>44165</v>
      </c>
      <c r="D511">
        <v>519000</v>
      </c>
      <c r="E511" t="s">
        <v>74</v>
      </c>
      <c r="F511">
        <v>1975</v>
      </c>
      <c r="G511">
        <v>3920</v>
      </c>
      <c r="H511" t="s">
        <v>156</v>
      </c>
      <c r="I511" t="str">
        <f t="shared" si="7"/>
        <v>25</v>
      </c>
      <c r="J511">
        <v>60026</v>
      </c>
      <c r="K511">
        <v>2300</v>
      </c>
      <c r="L511">
        <v>9</v>
      </c>
      <c r="M511">
        <v>2</v>
      </c>
      <c r="N511">
        <v>0</v>
      </c>
      <c r="O511" t="s">
        <v>41</v>
      </c>
      <c r="P511">
        <v>4</v>
      </c>
      <c r="Q511">
        <v>0</v>
      </c>
      <c r="R511" t="s">
        <v>26</v>
      </c>
      <c r="S511">
        <v>2</v>
      </c>
      <c r="V511" t="s">
        <v>36</v>
      </c>
    </row>
    <row r="512" spans="1:22" x14ac:dyDescent="0.45">
      <c r="A512" t="str">
        <f>"10129350"</f>
        <v>10129350</v>
      </c>
      <c r="B512" t="s">
        <v>22</v>
      </c>
      <c r="C512" s="1">
        <v>43475</v>
      </c>
      <c r="D512">
        <v>519900</v>
      </c>
      <c r="E512" t="s">
        <v>60</v>
      </c>
      <c r="F512">
        <v>1958</v>
      </c>
      <c r="G512">
        <v>3741</v>
      </c>
      <c r="H512" t="s">
        <v>131</v>
      </c>
      <c r="I512" t="str">
        <f t="shared" si="7"/>
        <v>25</v>
      </c>
      <c r="J512">
        <v>60025</v>
      </c>
      <c r="K512">
        <v>3045</v>
      </c>
      <c r="L512">
        <v>8</v>
      </c>
      <c r="M512">
        <v>2</v>
      </c>
      <c r="N512">
        <v>1</v>
      </c>
      <c r="O512" t="s">
        <v>25</v>
      </c>
      <c r="P512">
        <v>4</v>
      </c>
      <c r="Q512">
        <v>0</v>
      </c>
      <c r="R512" t="s">
        <v>35</v>
      </c>
      <c r="S512">
        <v>3</v>
      </c>
      <c r="V512" t="s">
        <v>148</v>
      </c>
    </row>
    <row r="513" spans="1:22" x14ac:dyDescent="0.45">
      <c r="A513" t="str">
        <f>"10086133"</f>
        <v>10086133</v>
      </c>
      <c r="B513" t="s">
        <v>22</v>
      </c>
      <c r="C513" s="1">
        <v>43496</v>
      </c>
      <c r="D513">
        <v>520000</v>
      </c>
      <c r="E513" t="s">
        <v>60</v>
      </c>
      <c r="F513">
        <v>1973</v>
      </c>
      <c r="G513">
        <v>613</v>
      </c>
      <c r="H513" t="s">
        <v>44</v>
      </c>
      <c r="I513" t="str">
        <f t="shared" si="7"/>
        <v>25</v>
      </c>
      <c r="J513">
        <v>60025</v>
      </c>
      <c r="K513">
        <v>2648</v>
      </c>
      <c r="L513">
        <v>10</v>
      </c>
      <c r="M513">
        <v>2</v>
      </c>
      <c r="N513">
        <v>1</v>
      </c>
      <c r="O513" t="s">
        <v>25</v>
      </c>
      <c r="P513">
        <v>4</v>
      </c>
      <c r="Q513">
        <v>0</v>
      </c>
      <c r="R513" t="s">
        <v>26</v>
      </c>
      <c r="S513">
        <v>2</v>
      </c>
      <c r="V513" t="s">
        <v>67</v>
      </c>
    </row>
    <row r="514" spans="1:22" x14ac:dyDescent="0.45">
      <c r="A514" t="str">
        <f>"10477306"</f>
        <v>10477306</v>
      </c>
      <c r="B514" t="s">
        <v>22</v>
      </c>
      <c r="C514" s="1">
        <v>43938</v>
      </c>
      <c r="D514">
        <v>520000</v>
      </c>
      <c r="E514" t="s">
        <v>23</v>
      </c>
      <c r="F514">
        <v>1953</v>
      </c>
      <c r="G514">
        <v>741</v>
      </c>
      <c r="H514" t="s">
        <v>278</v>
      </c>
      <c r="I514" t="str">
        <f t="shared" ref="I514:I577" si="8">"25"</f>
        <v>25</v>
      </c>
      <c r="J514">
        <v>60025</v>
      </c>
      <c r="K514">
        <v>1818</v>
      </c>
      <c r="L514">
        <v>10</v>
      </c>
      <c r="M514">
        <v>2</v>
      </c>
      <c r="N514">
        <v>1</v>
      </c>
      <c r="O514" t="s">
        <v>41</v>
      </c>
      <c r="P514">
        <v>2</v>
      </c>
      <c r="Q514">
        <v>1</v>
      </c>
      <c r="R514" t="s">
        <v>26</v>
      </c>
      <c r="S514">
        <v>2</v>
      </c>
      <c r="T514">
        <v>4</v>
      </c>
      <c r="V514" t="s">
        <v>27</v>
      </c>
    </row>
    <row r="515" spans="1:22" x14ac:dyDescent="0.45">
      <c r="A515" t="str">
        <f>"10654990"</f>
        <v>10654990</v>
      </c>
      <c r="B515" t="s">
        <v>22</v>
      </c>
      <c r="C515" s="1">
        <v>43938</v>
      </c>
      <c r="D515">
        <v>520500</v>
      </c>
      <c r="E515" t="s">
        <v>74</v>
      </c>
      <c r="F515">
        <v>1968</v>
      </c>
      <c r="G515">
        <v>2540</v>
      </c>
      <c r="H515" t="s">
        <v>269</v>
      </c>
      <c r="I515" t="str">
        <f t="shared" si="8"/>
        <v>25</v>
      </c>
      <c r="J515">
        <v>60026</v>
      </c>
      <c r="K515">
        <v>2626</v>
      </c>
      <c r="L515">
        <v>9</v>
      </c>
      <c r="M515">
        <v>2</v>
      </c>
      <c r="N515">
        <v>1</v>
      </c>
      <c r="O515" t="s">
        <v>25</v>
      </c>
      <c r="P515">
        <v>4</v>
      </c>
      <c r="Q515">
        <v>0</v>
      </c>
      <c r="R515" t="s">
        <v>26</v>
      </c>
      <c r="S515">
        <v>2</v>
      </c>
      <c r="T515">
        <v>2</v>
      </c>
    </row>
    <row r="516" spans="1:22" x14ac:dyDescent="0.45">
      <c r="A516" t="str">
        <f>"10603760"</f>
        <v>10603760</v>
      </c>
      <c r="B516" t="s">
        <v>22</v>
      </c>
      <c r="C516" s="1">
        <v>43980</v>
      </c>
      <c r="D516">
        <v>521000</v>
      </c>
      <c r="E516" t="s">
        <v>60</v>
      </c>
      <c r="F516">
        <v>1978</v>
      </c>
      <c r="G516">
        <v>3061</v>
      </c>
      <c r="H516" t="s">
        <v>279</v>
      </c>
      <c r="I516" t="str">
        <f t="shared" si="8"/>
        <v>25</v>
      </c>
      <c r="J516">
        <v>60025</v>
      </c>
      <c r="K516">
        <v>2661</v>
      </c>
      <c r="L516">
        <v>8</v>
      </c>
      <c r="M516">
        <v>2</v>
      </c>
      <c r="N516">
        <v>1</v>
      </c>
      <c r="O516" t="s">
        <v>25</v>
      </c>
      <c r="P516">
        <v>4</v>
      </c>
      <c r="Q516">
        <v>0</v>
      </c>
      <c r="R516" t="s">
        <v>26</v>
      </c>
      <c r="S516">
        <v>2</v>
      </c>
      <c r="V516" t="s">
        <v>67</v>
      </c>
    </row>
    <row r="517" spans="1:22" x14ac:dyDescent="0.45">
      <c r="A517" t="str">
        <f>"10629671"</f>
        <v>10629671</v>
      </c>
      <c r="B517" t="s">
        <v>22</v>
      </c>
      <c r="C517" s="1">
        <v>43930</v>
      </c>
      <c r="D517">
        <v>522225</v>
      </c>
      <c r="E517" t="s">
        <v>60</v>
      </c>
      <c r="F517">
        <v>1955</v>
      </c>
      <c r="G517">
        <v>1616</v>
      </c>
      <c r="H517" t="s">
        <v>59</v>
      </c>
      <c r="I517" t="str">
        <f t="shared" si="8"/>
        <v>25</v>
      </c>
      <c r="J517">
        <v>60025</v>
      </c>
      <c r="K517">
        <v>0</v>
      </c>
      <c r="L517">
        <v>10</v>
      </c>
      <c r="M517">
        <v>3</v>
      </c>
      <c r="N517">
        <v>1</v>
      </c>
      <c r="O517" t="s">
        <v>41</v>
      </c>
      <c r="P517">
        <v>3</v>
      </c>
      <c r="Q517">
        <v>1</v>
      </c>
      <c r="R517" t="s">
        <v>26</v>
      </c>
      <c r="S517">
        <v>2.5</v>
      </c>
    </row>
    <row r="518" spans="1:22" x14ac:dyDescent="0.45">
      <c r="A518" t="str">
        <f>"10354341"</f>
        <v>10354341</v>
      </c>
      <c r="B518" t="s">
        <v>22</v>
      </c>
      <c r="C518" s="1">
        <v>43682</v>
      </c>
      <c r="D518">
        <v>523000</v>
      </c>
      <c r="E518" t="s">
        <v>60</v>
      </c>
      <c r="F518">
        <v>1969</v>
      </c>
      <c r="G518">
        <v>2727</v>
      </c>
      <c r="H518" t="s">
        <v>86</v>
      </c>
      <c r="I518" t="str">
        <f t="shared" si="8"/>
        <v>25</v>
      </c>
      <c r="J518">
        <v>60025</v>
      </c>
      <c r="K518">
        <v>3000</v>
      </c>
      <c r="L518">
        <v>10</v>
      </c>
      <c r="M518">
        <v>2</v>
      </c>
      <c r="N518">
        <v>2</v>
      </c>
      <c r="O518" t="s">
        <v>25</v>
      </c>
      <c r="P518">
        <v>4</v>
      </c>
      <c r="Q518">
        <v>0</v>
      </c>
      <c r="R518" t="s">
        <v>26</v>
      </c>
      <c r="S518">
        <v>2</v>
      </c>
      <c r="V518" t="s">
        <v>67</v>
      </c>
    </row>
    <row r="519" spans="1:22" x14ac:dyDescent="0.45">
      <c r="A519" t="str">
        <f>"10088763"</f>
        <v>10088763</v>
      </c>
      <c r="B519" t="s">
        <v>22</v>
      </c>
      <c r="C519" s="1">
        <v>43496</v>
      </c>
      <c r="D519">
        <v>525000</v>
      </c>
      <c r="E519" t="s">
        <v>64</v>
      </c>
      <c r="F519">
        <v>1959</v>
      </c>
      <c r="G519">
        <v>138</v>
      </c>
      <c r="H519" t="s">
        <v>246</v>
      </c>
      <c r="I519" t="str">
        <f t="shared" si="8"/>
        <v>25</v>
      </c>
      <c r="J519">
        <v>60025</v>
      </c>
      <c r="K519">
        <v>3100</v>
      </c>
      <c r="L519">
        <v>8</v>
      </c>
      <c r="M519">
        <v>2</v>
      </c>
      <c r="N519">
        <v>1</v>
      </c>
      <c r="O519" t="s">
        <v>25</v>
      </c>
      <c r="P519">
        <v>4</v>
      </c>
      <c r="Q519">
        <v>0</v>
      </c>
      <c r="R519" t="s">
        <v>26</v>
      </c>
      <c r="S519">
        <v>2</v>
      </c>
      <c r="V519" t="s">
        <v>67</v>
      </c>
    </row>
    <row r="520" spans="1:22" x14ac:dyDescent="0.45">
      <c r="A520" t="str">
        <f>"10526412"</f>
        <v>10526412</v>
      </c>
      <c r="B520" t="s">
        <v>22</v>
      </c>
      <c r="C520" s="1">
        <v>43794</v>
      </c>
      <c r="D520">
        <v>525000</v>
      </c>
      <c r="E520" t="s">
        <v>60</v>
      </c>
      <c r="F520">
        <v>1988</v>
      </c>
      <c r="G520">
        <v>2760</v>
      </c>
      <c r="H520" t="s">
        <v>280</v>
      </c>
      <c r="I520" t="str">
        <f t="shared" si="8"/>
        <v>25</v>
      </c>
      <c r="J520">
        <v>60026</v>
      </c>
      <c r="K520">
        <v>3814</v>
      </c>
      <c r="L520">
        <v>10</v>
      </c>
      <c r="M520">
        <v>2</v>
      </c>
      <c r="N520">
        <v>1</v>
      </c>
      <c r="O520" t="s">
        <v>25</v>
      </c>
      <c r="P520">
        <v>5</v>
      </c>
      <c r="Q520">
        <v>0</v>
      </c>
      <c r="R520" t="s">
        <v>26</v>
      </c>
      <c r="S520">
        <v>2</v>
      </c>
    </row>
    <row r="521" spans="1:22" x14ac:dyDescent="0.45">
      <c r="A521" t="str">
        <f>"10398056"</f>
        <v>10398056</v>
      </c>
      <c r="B521" t="s">
        <v>22</v>
      </c>
      <c r="C521" s="1">
        <v>43796</v>
      </c>
      <c r="D521">
        <v>527500</v>
      </c>
      <c r="E521" t="s">
        <v>60</v>
      </c>
      <c r="F521">
        <v>1978</v>
      </c>
      <c r="G521">
        <v>3054</v>
      </c>
      <c r="H521" t="s">
        <v>32</v>
      </c>
      <c r="I521" t="str">
        <f t="shared" si="8"/>
        <v>25</v>
      </c>
      <c r="J521">
        <v>60025</v>
      </c>
      <c r="K521">
        <v>2392</v>
      </c>
      <c r="L521">
        <v>9</v>
      </c>
      <c r="M521">
        <v>2</v>
      </c>
      <c r="N521">
        <v>1</v>
      </c>
      <c r="O521" t="s">
        <v>25</v>
      </c>
      <c r="P521">
        <v>4</v>
      </c>
      <c r="Q521">
        <v>0</v>
      </c>
      <c r="R521" t="s">
        <v>26</v>
      </c>
      <c r="S521">
        <v>2</v>
      </c>
      <c r="V521" t="s">
        <v>67</v>
      </c>
    </row>
    <row r="522" spans="1:22" x14ac:dyDescent="0.45">
      <c r="A522" t="str">
        <f>"10753603"</f>
        <v>10753603</v>
      </c>
      <c r="B522" t="s">
        <v>22</v>
      </c>
      <c r="C522" s="1">
        <v>44056</v>
      </c>
      <c r="D522">
        <v>529000</v>
      </c>
      <c r="E522" t="s">
        <v>23</v>
      </c>
      <c r="F522">
        <v>1960</v>
      </c>
      <c r="G522">
        <v>1103</v>
      </c>
      <c r="H522" t="s">
        <v>281</v>
      </c>
      <c r="I522" t="str">
        <f t="shared" si="8"/>
        <v>25</v>
      </c>
      <c r="J522">
        <v>60025</v>
      </c>
      <c r="K522">
        <v>1728</v>
      </c>
      <c r="L522">
        <v>10</v>
      </c>
      <c r="M522">
        <v>2</v>
      </c>
      <c r="N522">
        <v>0</v>
      </c>
      <c r="O522" t="s">
        <v>25</v>
      </c>
      <c r="P522">
        <v>3</v>
      </c>
      <c r="Q522">
        <v>0</v>
      </c>
      <c r="R522" t="s">
        <v>26</v>
      </c>
      <c r="S522">
        <v>2</v>
      </c>
      <c r="V522" t="s">
        <v>27</v>
      </c>
    </row>
    <row r="523" spans="1:22" x14ac:dyDescent="0.45">
      <c r="A523" t="str">
        <f>"10636192"</f>
        <v>10636192</v>
      </c>
      <c r="B523" t="s">
        <v>22</v>
      </c>
      <c r="C523" s="1">
        <v>43889</v>
      </c>
      <c r="D523">
        <v>530000</v>
      </c>
      <c r="E523" t="s">
        <v>23</v>
      </c>
      <c r="F523">
        <v>1955</v>
      </c>
      <c r="G523">
        <v>1029</v>
      </c>
      <c r="H523" t="s">
        <v>267</v>
      </c>
      <c r="I523" t="str">
        <f t="shared" si="8"/>
        <v>25</v>
      </c>
      <c r="J523">
        <v>60025</v>
      </c>
      <c r="K523">
        <v>1713</v>
      </c>
      <c r="L523">
        <v>8</v>
      </c>
      <c r="M523">
        <v>2</v>
      </c>
      <c r="N523">
        <v>0</v>
      </c>
      <c r="O523" t="s">
        <v>25</v>
      </c>
      <c r="P523">
        <v>3</v>
      </c>
      <c r="Q523">
        <v>0</v>
      </c>
      <c r="R523" t="s">
        <v>26</v>
      </c>
      <c r="S523">
        <v>1</v>
      </c>
      <c r="V523" t="s">
        <v>27</v>
      </c>
    </row>
    <row r="524" spans="1:22" x14ac:dyDescent="0.45">
      <c r="A524" t="str">
        <f>"10269505"</f>
        <v>10269505</v>
      </c>
      <c r="B524" t="s">
        <v>22</v>
      </c>
      <c r="C524" s="1">
        <v>43598</v>
      </c>
      <c r="D524">
        <v>530000</v>
      </c>
      <c r="E524" t="s">
        <v>60</v>
      </c>
      <c r="F524">
        <v>1941</v>
      </c>
      <c r="G524">
        <v>907</v>
      </c>
      <c r="H524" t="s">
        <v>128</v>
      </c>
      <c r="I524" t="str">
        <f t="shared" si="8"/>
        <v>25</v>
      </c>
      <c r="J524">
        <v>60025</v>
      </c>
      <c r="K524">
        <v>2000</v>
      </c>
      <c r="L524">
        <v>9</v>
      </c>
      <c r="M524">
        <v>3</v>
      </c>
      <c r="N524">
        <v>0</v>
      </c>
      <c r="O524" t="s">
        <v>25</v>
      </c>
      <c r="P524">
        <v>4</v>
      </c>
      <c r="Q524">
        <v>0</v>
      </c>
      <c r="R524" t="s">
        <v>26</v>
      </c>
      <c r="S524">
        <v>2</v>
      </c>
      <c r="V524" t="s">
        <v>33</v>
      </c>
    </row>
    <row r="525" spans="1:22" x14ac:dyDescent="0.45">
      <c r="A525" t="str">
        <f>"10575595"</f>
        <v>10575595</v>
      </c>
      <c r="B525" t="s">
        <v>22</v>
      </c>
      <c r="C525" s="1">
        <v>43882</v>
      </c>
      <c r="D525">
        <v>530000</v>
      </c>
      <c r="E525" t="s">
        <v>37</v>
      </c>
      <c r="F525">
        <v>1975</v>
      </c>
      <c r="G525">
        <v>3928</v>
      </c>
      <c r="H525" t="s">
        <v>156</v>
      </c>
      <c r="I525" t="str">
        <f t="shared" si="8"/>
        <v>25</v>
      </c>
      <c r="J525">
        <v>60026</v>
      </c>
      <c r="K525">
        <v>2400</v>
      </c>
      <c r="L525">
        <v>8</v>
      </c>
      <c r="M525">
        <v>2</v>
      </c>
      <c r="N525">
        <v>1</v>
      </c>
      <c r="P525">
        <v>4</v>
      </c>
      <c r="Q525">
        <v>0</v>
      </c>
      <c r="R525" t="s">
        <v>26</v>
      </c>
      <c r="S525">
        <v>2</v>
      </c>
      <c r="V525" t="s">
        <v>36</v>
      </c>
    </row>
    <row r="526" spans="1:22" x14ac:dyDescent="0.45">
      <c r="A526" t="str">
        <f>"10597393"</f>
        <v>10597393</v>
      </c>
      <c r="B526" t="s">
        <v>22</v>
      </c>
      <c r="C526" s="1">
        <v>43934</v>
      </c>
      <c r="D526">
        <v>530000</v>
      </c>
      <c r="E526" t="s">
        <v>60</v>
      </c>
      <c r="F526">
        <v>2005</v>
      </c>
      <c r="G526">
        <v>1912</v>
      </c>
      <c r="H526" t="s">
        <v>135</v>
      </c>
      <c r="I526" t="str">
        <f t="shared" si="8"/>
        <v>25</v>
      </c>
      <c r="J526">
        <v>60025</v>
      </c>
      <c r="K526">
        <v>3800</v>
      </c>
      <c r="L526">
        <v>10</v>
      </c>
      <c r="M526">
        <v>3</v>
      </c>
      <c r="N526">
        <v>1</v>
      </c>
      <c r="O526" t="s">
        <v>25</v>
      </c>
      <c r="P526">
        <v>5</v>
      </c>
      <c r="Q526">
        <v>0</v>
      </c>
      <c r="R526" t="s">
        <v>26</v>
      </c>
      <c r="S526">
        <v>2.5</v>
      </c>
    </row>
    <row r="527" spans="1:22" x14ac:dyDescent="0.45">
      <c r="A527" t="str">
        <f>"10528654"</f>
        <v>10528654</v>
      </c>
      <c r="B527" t="s">
        <v>22</v>
      </c>
      <c r="C527" s="1">
        <v>43789</v>
      </c>
      <c r="D527">
        <v>534000</v>
      </c>
      <c r="E527" t="s">
        <v>31</v>
      </c>
      <c r="F527">
        <v>1954</v>
      </c>
      <c r="G527">
        <v>31</v>
      </c>
      <c r="H527" t="s">
        <v>162</v>
      </c>
      <c r="I527" t="str">
        <f t="shared" si="8"/>
        <v>25</v>
      </c>
      <c r="J527">
        <v>60025</v>
      </c>
      <c r="K527">
        <v>2735</v>
      </c>
      <c r="L527">
        <v>9</v>
      </c>
      <c r="M527">
        <v>3</v>
      </c>
      <c r="N527">
        <v>0</v>
      </c>
      <c r="O527" t="s">
        <v>41</v>
      </c>
      <c r="P527">
        <v>4</v>
      </c>
      <c r="Q527">
        <v>0</v>
      </c>
      <c r="R527" t="s">
        <v>35</v>
      </c>
      <c r="S527">
        <v>2.5</v>
      </c>
      <c r="U527">
        <v>1080</v>
      </c>
      <c r="V527" t="s">
        <v>33</v>
      </c>
    </row>
    <row r="528" spans="1:22" x14ac:dyDescent="0.45">
      <c r="A528" t="str">
        <f>"10721618"</f>
        <v>10721618</v>
      </c>
      <c r="B528" t="s">
        <v>22</v>
      </c>
      <c r="C528" s="1">
        <v>44027</v>
      </c>
      <c r="D528">
        <v>535000</v>
      </c>
      <c r="E528" t="s">
        <v>23</v>
      </c>
      <c r="F528">
        <v>1955</v>
      </c>
      <c r="G528">
        <v>1445</v>
      </c>
      <c r="H528" t="s">
        <v>126</v>
      </c>
      <c r="I528" t="str">
        <f t="shared" si="8"/>
        <v>25</v>
      </c>
      <c r="J528">
        <v>60025</v>
      </c>
      <c r="K528">
        <v>0</v>
      </c>
      <c r="L528">
        <v>7</v>
      </c>
      <c r="M528">
        <v>2</v>
      </c>
      <c r="N528">
        <v>0</v>
      </c>
      <c r="O528" t="s">
        <v>25</v>
      </c>
      <c r="P528">
        <v>3</v>
      </c>
      <c r="Q528">
        <v>0</v>
      </c>
      <c r="R528" t="s">
        <v>26</v>
      </c>
      <c r="S528">
        <v>2</v>
      </c>
      <c r="V528" t="s">
        <v>27</v>
      </c>
    </row>
    <row r="529" spans="1:22" x14ac:dyDescent="0.45">
      <c r="A529" t="str">
        <f>"10486539"</f>
        <v>10486539</v>
      </c>
      <c r="B529" t="s">
        <v>22</v>
      </c>
      <c r="C529" s="1">
        <v>43880</v>
      </c>
      <c r="D529">
        <v>535000</v>
      </c>
      <c r="E529" t="s">
        <v>23</v>
      </c>
      <c r="F529">
        <v>1977</v>
      </c>
      <c r="G529">
        <v>1600</v>
      </c>
      <c r="H529" t="s">
        <v>126</v>
      </c>
      <c r="I529" t="str">
        <f t="shared" si="8"/>
        <v>25</v>
      </c>
      <c r="J529">
        <v>60025</v>
      </c>
      <c r="K529">
        <v>2000</v>
      </c>
      <c r="L529">
        <v>7</v>
      </c>
      <c r="M529">
        <v>2</v>
      </c>
      <c r="N529">
        <v>0</v>
      </c>
      <c r="O529" t="s">
        <v>25</v>
      </c>
      <c r="P529">
        <v>3</v>
      </c>
      <c r="Q529">
        <v>0</v>
      </c>
      <c r="R529" t="s">
        <v>26</v>
      </c>
      <c r="S529">
        <v>2</v>
      </c>
      <c r="V529" t="s">
        <v>27</v>
      </c>
    </row>
    <row r="530" spans="1:22" x14ac:dyDescent="0.45">
      <c r="A530" t="str">
        <f>"10761355"</f>
        <v>10761355</v>
      </c>
      <c r="B530" t="s">
        <v>22</v>
      </c>
      <c r="C530" s="1">
        <v>44049</v>
      </c>
      <c r="D530">
        <v>535900</v>
      </c>
      <c r="E530" t="s">
        <v>60</v>
      </c>
      <c r="F530">
        <v>1964</v>
      </c>
      <c r="G530">
        <v>1527</v>
      </c>
      <c r="H530" t="s">
        <v>177</v>
      </c>
      <c r="I530" t="str">
        <f t="shared" si="8"/>
        <v>25</v>
      </c>
      <c r="J530">
        <v>60026</v>
      </c>
      <c r="K530">
        <v>2826</v>
      </c>
      <c r="L530">
        <v>11</v>
      </c>
      <c r="M530">
        <v>3</v>
      </c>
      <c r="N530">
        <v>0</v>
      </c>
      <c r="O530" t="s">
        <v>25</v>
      </c>
      <c r="P530">
        <v>5</v>
      </c>
      <c r="Q530">
        <v>0</v>
      </c>
      <c r="R530" t="s">
        <v>26</v>
      </c>
      <c r="S530">
        <v>2</v>
      </c>
      <c r="V530" t="s">
        <v>67</v>
      </c>
    </row>
    <row r="531" spans="1:22" x14ac:dyDescent="0.45">
      <c r="A531" t="str">
        <f>"10724093"</f>
        <v>10724093</v>
      </c>
      <c r="B531" t="s">
        <v>22</v>
      </c>
      <c r="C531" s="1">
        <v>44050</v>
      </c>
      <c r="D531">
        <v>537000</v>
      </c>
      <c r="E531" t="s">
        <v>60</v>
      </c>
      <c r="F531">
        <v>1974</v>
      </c>
      <c r="G531">
        <v>2815</v>
      </c>
      <c r="H531" t="s">
        <v>86</v>
      </c>
      <c r="I531" t="str">
        <f t="shared" si="8"/>
        <v>25</v>
      </c>
      <c r="J531">
        <v>60025</v>
      </c>
      <c r="K531">
        <v>3129</v>
      </c>
      <c r="L531">
        <v>9</v>
      </c>
      <c r="M531">
        <v>2</v>
      </c>
      <c r="N531">
        <v>1</v>
      </c>
      <c r="O531" t="s">
        <v>25</v>
      </c>
      <c r="P531">
        <v>4</v>
      </c>
      <c r="Q531">
        <v>0</v>
      </c>
      <c r="R531" t="s">
        <v>26</v>
      </c>
      <c r="S531">
        <v>2</v>
      </c>
      <c r="V531" t="s">
        <v>67</v>
      </c>
    </row>
    <row r="532" spans="1:22" x14ac:dyDescent="0.45">
      <c r="A532" t="str">
        <f>"10574648"</f>
        <v>10574648</v>
      </c>
      <c r="B532" t="s">
        <v>22</v>
      </c>
      <c r="C532" s="1">
        <v>44027</v>
      </c>
      <c r="D532">
        <v>537000</v>
      </c>
      <c r="E532" t="s">
        <v>60</v>
      </c>
      <c r="F532">
        <v>1976</v>
      </c>
      <c r="G532">
        <v>201</v>
      </c>
      <c r="H532" t="s">
        <v>282</v>
      </c>
      <c r="I532" t="str">
        <f t="shared" si="8"/>
        <v>25</v>
      </c>
      <c r="J532">
        <v>60025</v>
      </c>
      <c r="K532">
        <v>2800</v>
      </c>
      <c r="L532">
        <v>9</v>
      </c>
      <c r="M532">
        <v>2</v>
      </c>
      <c r="N532">
        <v>1</v>
      </c>
      <c r="O532" t="s">
        <v>25</v>
      </c>
      <c r="P532">
        <v>4</v>
      </c>
      <c r="Q532">
        <v>0</v>
      </c>
      <c r="R532" t="s">
        <v>26</v>
      </c>
      <c r="S532">
        <v>2</v>
      </c>
      <c r="V532" t="s">
        <v>67</v>
      </c>
    </row>
    <row r="533" spans="1:22" x14ac:dyDescent="0.45">
      <c r="A533" t="str">
        <f>"10279193"</f>
        <v>10279193</v>
      </c>
      <c r="B533" t="s">
        <v>22</v>
      </c>
      <c r="C533" s="1">
        <v>43753</v>
      </c>
      <c r="D533">
        <v>537500</v>
      </c>
      <c r="E533" t="s">
        <v>60</v>
      </c>
      <c r="F533">
        <v>2005</v>
      </c>
      <c r="G533">
        <v>1238</v>
      </c>
      <c r="H533" t="s">
        <v>283</v>
      </c>
      <c r="I533" t="str">
        <f t="shared" si="8"/>
        <v>25</v>
      </c>
      <c r="J533">
        <v>60025</v>
      </c>
      <c r="K533">
        <v>2248</v>
      </c>
      <c r="L533">
        <v>8</v>
      </c>
      <c r="M533">
        <v>2</v>
      </c>
      <c r="N533">
        <v>1</v>
      </c>
      <c r="O533" t="s">
        <v>25</v>
      </c>
      <c r="P533">
        <v>4</v>
      </c>
      <c r="Q533">
        <v>0</v>
      </c>
      <c r="R533" t="s">
        <v>26</v>
      </c>
      <c r="S533">
        <v>2</v>
      </c>
    </row>
    <row r="534" spans="1:22" x14ac:dyDescent="0.45">
      <c r="A534" t="str">
        <f>"10718671"</f>
        <v>10718671</v>
      </c>
      <c r="B534" t="s">
        <v>22</v>
      </c>
      <c r="C534" s="1">
        <v>44022</v>
      </c>
      <c r="D534">
        <v>539000</v>
      </c>
      <c r="E534" t="s">
        <v>74</v>
      </c>
      <c r="F534">
        <v>1968</v>
      </c>
      <c r="G534">
        <v>2336</v>
      </c>
      <c r="H534" t="s">
        <v>62</v>
      </c>
      <c r="I534" t="str">
        <f t="shared" si="8"/>
        <v>25</v>
      </c>
      <c r="J534">
        <v>60026</v>
      </c>
      <c r="K534">
        <v>2187</v>
      </c>
      <c r="L534">
        <v>9</v>
      </c>
      <c r="M534">
        <v>2</v>
      </c>
      <c r="N534">
        <v>1</v>
      </c>
      <c r="O534" t="s">
        <v>25</v>
      </c>
      <c r="P534">
        <v>4</v>
      </c>
      <c r="Q534">
        <v>0</v>
      </c>
      <c r="R534" t="s">
        <v>26</v>
      </c>
      <c r="S534">
        <v>2</v>
      </c>
    </row>
    <row r="535" spans="1:22" x14ac:dyDescent="0.45">
      <c r="A535" t="str">
        <f>"10377539"</f>
        <v>10377539</v>
      </c>
      <c r="B535" t="s">
        <v>22</v>
      </c>
      <c r="C535" s="1">
        <v>43679</v>
      </c>
      <c r="D535">
        <v>540000</v>
      </c>
      <c r="E535" t="s">
        <v>60</v>
      </c>
      <c r="F535">
        <v>1969</v>
      </c>
      <c r="G535">
        <v>3219</v>
      </c>
      <c r="H535" t="s">
        <v>168</v>
      </c>
      <c r="I535" t="str">
        <f t="shared" si="8"/>
        <v>25</v>
      </c>
      <c r="J535">
        <v>60026</v>
      </c>
      <c r="K535">
        <v>0</v>
      </c>
      <c r="L535">
        <v>9</v>
      </c>
      <c r="M535">
        <v>2</v>
      </c>
      <c r="N535">
        <v>1</v>
      </c>
      <c r="O535" t="s">
        <v>25</v>
      </c>
      <c r="P535">
        <v>4</v>
      </c>
      <c r="Q535">
        <v>0</v>
      </c>
      <c r="R535" t="s">
        <v>26</v>
      </c>
      <c r="S535">
        <v>2</v>
      </c>
      <c r="V535" t="s">
        <v>71</v>
      </c>
    </row>
    <row r="536" spans="1:22" x14ac:dyDescent="0.45">
      <c r="A536" t="str">
        <f>"10557866"</f>
        <v>10557866</v>
      </c>
      <c r="B536" t="s">
        <v>22</v>
      </c>
      <c r="C536" s="1">
        <v>43899</v>
      </c>
      <c r="D536">
        <v>540000</v>
      </c>
      <c r="E536" t="s">
        <v>23</v>
      </c>
      <c r="F536">
        <v>1963</v>
      </c>
      <c r="G536">
        <v>8</v>
      </c>
      <c r="H536" t="s">
        <v>284</v>
      </c>
      <c r="I536" t="str">
        <f t="shared" si="8"/>
        <v>25</v>
      </c>
      <c r="J536">
        <v>60029</v>
      </c>
      <c r="K536">
        <v>2090</v>
      </c>
      <c r="L536">
        <v>6</v>
      </c>
      <c r="M536">
        <v>2</v>
      </c>
      <c r="N536">
        <v>0</v>
      </c>
      <c r="O536" t="s">
        <v>25</v>
      </c>
      <c r="P536">
        <v>2</v>
      </c>
      <c r="Q536">
        <v>0</v>
      </c>
      <c r="R536" t="s">
        <v>26</v>
      </c>
      <c r="S536">
        <v>2</v>
      </c>
      <c r="V536" t="s">
        <v>27</v>
      </c>
    </row>
    <row r="537" spans="1:22" x14ac:dyDescent="0.45">
      <c r="A537" t="str">
        <f>"10715933"</f>
        <v>10715933</v>
      </c>
      <c r="B537" t="s">
        <v>22</v>
      </c>
      <c r="C537" s="1">
        <v>44074</v>
      </c>
      <c r="D537">
        <v>540000</v>
      </c>
      <c r="E537" t="s">
        <v>23</v>
      </c>
      <c r="F537">
        <v>1989</v>
      </c>
      <c r="G537">
        <v>916</v>
      </c>
      <c r="H537" t="s">
        <v>285</v>
      </c>
      <c r="I537" t="str">
        <f t="shared" si="8"/>
        <v>25</v>
      </c>
      <c r="J537">
        <v>60025</v>
      </c>
      <c r="K537">
        <v>2437</v>
      </c>
      <c r="L537">
        <v>10</v>
      </c>
      <c r="M537">
        <v>2</v>
      </c>
      <c r="N537">
        <v>0</v>
      </c>
      <c r="O537" t="s">
        <v>25</v>
      </c>
      <c r="P537">
        <v>3</v>
      </c>
      <c r="Q537">
        <v>0</v>
      </c>
      <c r="R537" t="s">
        <v>26</v>
      </c>
      <c r="S537">
        <v>2.5</v>
      </c>
      <c r="V537" t="s">
        <v>27</v>
      </c>
    </row>
    <row r="538" spans="1:22" x14ac:dyDescent="0.45">
      <c r="A538" t="str">
        <f>"10168168"</f>
        <v>10168168</v>
      </c>
      <c r="B538" t="s">
        <v>22</v>
      </c>
      <c r="C538" s="1">
        <v>43557</v>
      </c>
      <c r="D538">
        <v>540000</v>
      </c>
      <c r="E538" t="s">
        <v>23</v>
      </c>
      <c r="F538">
        <v>1952</v>
      </c>
      <c r="G538">
        <v>2601</v>
      </c>
      <c r="H538" t="s">
        <v>115</v>
      </c>
      <c r="I538" t="str">
        <f t="shared" si="8"/>
        <v>25</v>
      </c>
      <c r="J538">
        <v>60025</v>
      </c>
      <c r="K538">
        <v>2048</v>
      </c>
      <c r="L538">
        <v>9</v>
      </c>
      <c r="M538">
        <v>3</v>
      </c>
      <c r="N538">
        <v>1</v>
      </c>
      <c r="O538" t="s">
        <v>41</v>
      </c>
      <c r="P538">
        <v>3</v>
      </c>
      <c r="Q538">
        <v>0</v>
      </c>
      <c r="R538" t="s">
        <v>26</v>
      </c>
      <c r="S538">
        <v>2</v>
      </c>
      <c r="V538" t="s">
        <v>27</v>
      </c>
    </row>
    <row r="539" spans="1:22" x14ac:dyDescent="0.45">
      <c r="A539" t="str">
        <f>"10498238"</f>
        <v>10498238</v>
      </c>
      <c r="B539" t="s">
        <v>22</v>
      </c>
      <c r="C539" s="1">
        <v>43921</v>
      </c>
      <c r="D539">
        <v>540000</v>
      </c>
      <c r="E539" t="s">
        <v>60</v>
      </c>
      <c r="F539">
        <v>1961</v>
      </c>
      <c r="G539">
        <v>2428</v>
      </c>
      <c r="H539" t="s">
        <v>286</v>
      </c>
      <c r="I539" t="str">
        <f t="shared" si="8"/>
        <v>25</v>
      </c>
      <c r="J539">
        <v>60025</v>
      </c>
      <c r="K539">
        <v>2451</v>
      </c>
      <c r="L539">
        <v>9</v>
      </c>
      <c r="M539">
        <v>2</v>
      </c>
      <c r="N539">
        <v>1</v>
      </c>
      <c r="O539" t="s">
        <v>25</v>
      </c>
      <c r="P539">
        <v>4</v>
      </c>
      <c r="Q539">
        <v>0</v>
      </c>
      <c r="R539" t="s">
        <v>26</v>
      </c>
      <c r="S539">
        <v>2</v>
      </c>
      <c r="V539" t="s">
        <v>67</v>
      </c>
    </row>
    <row r="540" spans="1:22" x14ac:dyDescent="0.45">
      <c r="A540" t="str">
        <f>"10070488"</f>
        <v>10070488</v>
      </c>
      <c r="B540" t="s">
        <v>22</v>
      </c>
      <c r="C540" s="1">
        <v>43530</v>
      </c>
      <c r="D540">
        <v>540000</v>
      </c>
      <c r="E540" t="s">
        <v>60</v>
      </c>
      <c r="F540">
        <v>1955</v>
      </c>
      <c r="G540">
        <v>915</v>
      </c>
      <c r="H540" t="s">
        <v>68</v>
      </c>
      <c r="I540" t="str">
        <f t="shared" si="8"/>
        <v>25</v>
      </c>
      <c r="J540">
        <v>60025</v>
      </c>
      <c r="K540">
        <v>2885</v>
      </c>
      <c r="L540">
        <v>9</v>
      </c>
      <c r="M540">
        <v>2</v>
      </c>
      <c r="N540">
        <v>0</v>
      </c>
      <c r="O540" t="s">
        <v>25</v>
      </c>
      <c r="P540">
        <v>3</v>
      </c>
      <c r="Q540">
        <v>0</v>
      </c>
      <c r="R540" t="s">
        <v>35</v>
      </c>
      <c r="S540">
        <v>2</v>
      </c>
      <c r="U540">
        <v>860</v>
      </c>
      <c r="V540" t="s">
        <v>130</v>
      </c>
    </row>
    <row r="541" spans="1:22" x14ac:dyDescent="0.45">
      <c r="A541" t="str">
        <f>"10586789"</f>
        <v>10586789</v>
      </c>
      <c r="B541" t="s">
        <v>22</v>
      </c>
      <c r="C541" s="1">
        <v>43997</v>
      </c>
      <c r="D541">
        <v>540000</v>
      </c>
      <c r="E541" t="s">
        <v>60</v>
      </c>
      <c r="F541">
        <v>1951</v>
      </c>
      <c r="G541">
        <v>33</v>
      </c>
      <c r="H541" t="s">
        <v>48</v>
      </c>
      <c r="I541" t="str">
        <f t="shared" si="8"/>
        <v>25</v>
      </c>
      <c r="J541">
        <v>60029</v>
      </c>
      <c r="K541">
        <v>1743</v>
      </c>
      <c r="L541">
        <v>9</v>
      </c>
      <c r="M541">
        <v>3</v>
      </c>
      <c r="N541">
        <v>1</v>
      </c>
      <c r="O541" t="s">
        <v>41</v>
      </c>
      <c r="P541">
        <v>3</v>
      </c>
      <c r="Q541">
        <v>0</v>
      </c>
      <c r="R541" t="s">
        <v>35</v>
      </c>
      <c r="S541">
        <v>2</v>
      </c>
      <c r="V541" t="s">
        <v>287</v>
      </c>
    </row>
    <row r="542" spans="1:22" x14ac:dyDescent="0.45">
      <c r="A542" t="str">
        <f>"10353091"</f>
        <v>10353091</v>
      </c>
      <c r="B542" t="s">
        <v>22</v>
      </c>
      <c r="C542" s="1">
        <v>43663</v>
      </c>
      <c r="D542">
        <v>545000</v>
      </c>
      <c r="E542" t="s">
        <v>74</v>
      </c>
      <c r="F542">
        <v>1980</v>
      </c>
      <c r="G542">
        <v>1145</v>
      </c>
      <c r="H542" t="s">
        <v>268</v>
      </c>
      <c r="I542" t="str">
        <f t="shared" si="8"/>
        <v>25</v>
      </c>
      <c r="J542">
        <v>60025</v>
      </c>
      <c r="K542">
        <v>3065</v>
      </c>
      <c r="L542">
        <v>8</v>
      </c>
      <c r="M542">
        <v>3</v>
      </c>
      <c r="N542">
        <v>0</v>
      </c>
      <c r="O542" t="s">
        <v>41</v>
      </c>
      <c r="P542">
        <v>4</v>
      </c>
      <c r="Q542">
        <v>0</v>
      </c>
      <c r="R542" t="s">
        <v>26</v>
      </c>
      <c r="S542">
        <v>2</v>
      </c>
    </row>
    <row r="543" spans="1:22" x14ac:dyDescent="0.45">
      <c r="A543" t="str">
        <f>"10559634"</f>
        <v>10559634</v>
      </c>
      <c r="B543" t="s">
        <v>22</v>
      </c>
      <c r="C543" s="1">
        <v>43902</v>
      </c>
      <c r="D543">
        <v>545000</v>
      </c>
      <c r="E543" t="s">
        <v>74</v>
      </c>
      <c r="F543">
        <v>1965</v>
      </c>
      <c r="G543">
        <v>1040</v>
      </c>
      <c r="H543" t="s">
        <v>281</v>
      </c>
      <c r="I543" t="str">
        <f t="shared" si="8"/>
        <v>25</v>
      </c>
      <c r="J543">
        <v>60025</v>
      </c>
      <c r="K543">
        <v>0</v>
      </c>
      <c r="L543">
        <v>9</v>
      </c>
      <c r="M543">
        <v>2</v>
      </c>
      <c r="N543">
        <v>1</v>
      </c>
      <c r="O543" t="s">
        <v>25</v>
      </c>
      <c r="P543">
        <v>3</v>
      </c>
      <c r="Q543">
        <v>0</v>
      </c>
      <c r="R543" t="s">
        <v>26</v>
      </c>
      <c r="S543">
        <v>2</v>
      </c>
    </row>
    <row r="544" spans="1:22" x14ac:dyDescent="0.45">
      <c r="A544" t="str">
        <f>"10645311"</f>
        <v>10645311</v>
      </c>
      <c r="B544" t="s">
        <v>22</v>
      </c>
      <c r="C544" s="1">
        <v>43921</v>
      </c>
      <c r="D544">
        <v>546250</v>
      </c>
      <c r="E544" t="s">
        <v>23</v>
      </c>
      <c r="F544">
        <v>1970</v>
      </c>
      <c r="G544">
        <v>3925</v>
      </c>
      <c r="H544" t="s">
        <v>257</v>
      </c>
      <c r="I544" t="str">
        <f t="shared" si="8"/>
        <v>25</v>
      </c>
      <c r="J544">
        <v>60026</v>
      </c>
      <c r="K544">
        <v>2498</v>
      </c>
      <c r="L544">
        <v>10</v>
      </c>
      <c r="M544">
        <v>3</v>
      </c>
      <c r="N544">
        <v>1</v>
      </c>
      <c r="O544" t="s">
        <v>41</v>
      </c>
      <c r="P544">
        <v>4</v>
      </c>
      <c r="Q544">
        <v>0</v>
      </c>
      <c r="R544" t="s">
        <v>26</v>
      </c>
      <c r="S544">
        <v>2</v>
      </c>
      <c r="V544" t="s">
        <v>27</v>
      </c>
    </row>
    <row r="545" spans="1:22" x14ac:dyDescent="0.45">
      <c r="A545" t="str">
        <f>"10744783"</f>
        <v>10744783</v>
      </c>
      <c r="B545" t="s">
        <v>22</v>
      </c>
      <c r="C545" s="1">
        <v>44042</v>
      </c>
      <c r="D545">
        <v>548500</v>
      </c>
      <c r="E545" t="s">
        <v>60</v>
      </c>
      <c r="F545">
        <v>1966</v>
      </c>
      <c r="G545">
        <v>1432</v>
      </c>
      <c r="H545" t="s">
        <v>212</v>
      </c>
      <c r="I545" t="str">
        <f t="shared" si="8"/>
        <v>25</v>
      </c>
      <c r="J545">
        <v>60026</v>
      </c>
      <c r="K545">
        <v>0</v>
      </c>
      <c r="L545">
        <v>11</v>
      </c>
      <c r="M545">
        <v>2</v>
      </c>
      <c r="N545">
        <v>1</v>
      </c>
      <c r="O545" t="s">
        <v>25</v>
      </c>
      <c r="P545">
        <v>4</v>
      </c>
      <c r="Q545">
        <v>0</v>
      </c>
      <c r="R545" t="s">
        <v>26</v>
      </c>
      <c r="S545">
        <v>2.5</v>
      </c>
    </row>
    <row r="546" spans="1:22" x14ac:dyDescent="0.45">
      <c r="A546" t="str">
        <f>"10398815"</f>
        <v>10398815</v>
      </c>
      <c r="B546" t="s">
        <v>22</v>
      </c>
      <c r="C546" s="1">
        <v>43616</v>
      </c>
      <c r="D546">
        <v>549000</v>
      </c>
      <c r="E546" t="s">
        <v>23</v>
      </c>
      <c r="F546">
        <v>1954</v>
      </c>
      <c r="G546">
        <v>1629</v>
      </c>
      <c r="H546" t="s">
        <v>126</v>
      </c>
      <c r="I546" t="str">
        <f t="shared" si="8"/>
        <v>25</v>
      </c>
      <c r="J546">
        <v>60025</v>
      </c>
      <c r="K546">
        <v>2200</v>
      </c>
      <c r="L546">
        <v>8</v>
      </c>
      <c r="M546">
        <v>2</v>
      </c>
      <c r="N546">
        <v>0</v>
      </c>
      <c r="O546" t="s">
        <v>25</v>
      </c>
      <c r="P546">
        <v>4</v>
      </c>
      <c r="Q546">
        <v>0</v>
      </c>
      <c r="R546" t="s">
        <v>26</v>
      </c>
      <c r="S546">
        <v>2</v>
      </c>
      <c r="V546" t="s">
        <v>27</v>
      </c>
    </row>
    <row r="547" spans="1:22" x14ac:dyDescent="0.45">
      <c r="A547" t="str">
        <f>"10788841"</f>
        <v>10788841</v>
      </c>
      <c r="B547" t="s">
        <v>22</v>
      </c>
      <c r="C547" s="1">
        <v>44071</v>
      </c>
      <c r="D547">
        <v>550000</v>
      </c>
      <c r="E547" t="s">
        <v>37</v>
      </c>
      <c r="F547">
        <v>1968</v>
      </c>
      <c r="G547">
        <v>2312</v>
      </c>
      <c r="H547" t="s">
        <v>288</v>
      </c>
      <c r="I547" t="str">
        <f t="shared" si="8"/>
        <v>25</v>
      </c>
      <c r="J547">
        <v>60025</v>
      </c>
      <c r="K547">
        <v>2374</v>
      </c>
      <c r="L547">
        <v>9</v>
      </c>
      <c r="M547">
        <v>3</v>
      </c>
      <c r="N547">
        <v>0</v>
      </c>
      <c r="O547" t="s">
        <v>25</v>
      </c>
      <c r="P547">
        <v>5</v>
      </c>
      <c r="Q547">
        <v>0</v>
      </c>
      <c r="R547" t="s">
        <v>26</v>
      </c>
      <c r="S547">
        <v>3</v>
      </c>
      <c r="V547" t="s">
        <v>71</v>
      </c>
    </row>
    <row r="548" spans="1:22" x14ac:dyDescent="0.45">
      <c r="A548" t="str">
        <f>"10148740"</f>
        <v>10148740</v>
      </c>
      <c r="B548" t="s">
        <v>22</v>
      </c>
      <c r="C548" s="1">
        <v>43630</v>
      </c>
      <c r="D548">
        <v>550000</v>
      </c>
      <c r="E548" t="s">
        <v>37</v>
      </c>
      <c r="F548">
        <v>1954</v>
      </c>
      <c r="G548">
        <v>936</v>
      </c>
      <c r="H548" t="s">
        <v>61</v>
      </c>
      <c r="I548" t="str">
        <f t="shared" si="8"/>
        <v>25</v>
      </c>
      <c r="J548">
        <v>60025</v>
      </c>
      <c r="K548">
        <v>0</v>
      </c>
      <c r="L548">
        <v>7</v>
      </c>
      <c r="M548">
        <v>2</v>
      </c>
      <c r="N548">
        <v>0</v>
      </c>
      <c r="O548" t="s">
        <v>25</v>
      </c>
      <c r="P548">
        <v>3</v>
      </c>
      <c r="Q548">
        <v>0</v>
      </c>
      <c r="R548" t="s">
        <v>26</v>
      </c>
      <c r="S548">
        <v>2</v>
      </c>
      <c r="V548" t="s">
        <v>71</v>
      </c>
    </row>
    <row r="549" spans="1:22" x14ac:dyDescent="0.45">
      <c r="A549" t="str">
        <f>"10696089"</f>
        <v>10696089</v>
      </c>
      <c r="B549" t="s">
        <v>22</v>
      </c>
      <c r="C549" s="1">
        <v>44008</v>
      </c>
      <c r="D549">
        <v>550000</v>
      </c>
      <c r="E549" t="s">
        <v>60</v>
      </c>
      <c r="F549">
        <v>1965</v>
      </c>
      <c r="G549">
        <v>3206</v>
      </c>
      <c r="H549" t="s">
        <v>32</v>
      </c>
      <c r="I549" t="str">
        <f t="shared" si="8"/>
        <v>25</v>
      </c>
      <c r="J549">
        <v>60025</v>
      </c>
      <c r="K549">
        <v>2600</v>
      </c>
      <c r="L549">
        <v>9</v>
      </c>
      <c r="M549">
        <v>2</v>
      </c>
      <c r="N549">
        <v>1</v>
      </c>
      <c r="O549" t="s">
        <v>25</v>
      </c>
      <c r="P549">
        <v>4</v>
      </c>
      <c r="Q549">
        <v>0</v>
      </c>
      <c r="R549" t="s">
        <v>26</v>
      </c>
      <c r="S549">
        <v>2.1</v>
      </c>
      <c r="V549" t="s">
        <v>176</v>
      </c>
    </row>
    <row r="550" spans="1:22" x14ac:dyDescent="0.45">
      <c r="A550" t="str">
        <f>"10158872"</f>
        <v>10158872</v>
      </c>
      <c r="B550" t="s">
        <v>22</v>
      </c>
      <c r="C550" s="1">
        <v>43495</v>
      </c>
      <c r="D550">
        <v>550000</v>
      </c>
      <c r="E550" t="s">
        <v>60</v>
      </c>
      <c r="F550">
        <v>1950</v>
      </c>
      <c r="G550">
        <v>621</v>
      </c>
      <c r="H550" t="s">
        <v>151</v>
      </c>
      <c r="I550" t="str">
        <f t="shared" si="8"/>
        <v>25</v>
      </c>
      <c r="J550">
        <v>60025</v>
      </c>
      <c r="K550">
        <v>1810</v>
      </c>
      <c r="L550">
        <v>8</v>
      </c>
      <c r="M550">
        <v>2</v>
      </c>
      <c r="N550">
        <v>1</v>
      </c>
      <c r="O550" t="s">
        <v>25</v>
      </c>
      <c r="P550">
        <v>4</v>
      </c>
      <c r="Q550">
        <v>0</v>
      </c>
      <c r="R550" t="s">
        <v>26</v>
      </c>
      <c r="S550">
        <v>2</v>
      </c>
      <c r="V550" t="s">
        <v>67</v>
      </c>
    </row>
    <row r="551" spans="1:22" x14ac:dyDescent="0.45">
      <c r="A551" t="str">
        <f>"10750889"</f>
        <v>10750889</v>
      </c>
      <c r="B551" t="s">
        <v>22</v>
      </c>
      <c r="C551" s="1">
        <v>44054</v>
      </c>
      <c r="D551">
        <v>550000</v>
      </c>
      <c r="E551" t="s">
        <v>60</v>
      </c>
      <c r="F551">
        <v>1985</v>
      </c>
      <c r="G551">
        <v>3721</v>
      </c>
      <c r="H551" t="s">
        <v>115</v>
      </c>
      <c r="I551" t="str">
        <f t="shared" si="8"/>
        <v>25</v>
      </c>
      <c r="J551">
        <v>60025</v>
      </c>
      <c r="K551">
        <v>2393</v>
      </c>
      <c r="L551">
        <v>8</v>
      </c>
      <c r="M551">
        <v>2</v>
      </c>
      <c r="N551">
        <v>1</v>
      </c>
      <c r="O551" t="s">
        <v>25</v>
      </c>
      <c r="P551">
        <v>3</v>
      </c>
      <c r="Q551">
        <v>0</v>
      </c>
      <c r="R551" t="s">
        <v>26</v>
      </c>
      <c r="S551">
        <v>2</v>
      </c>
    </row>
    <row r="552" spans="1:22" x14ac:dyDescent="0.45">
      <c r="A552" t="str">
        <f>"10314735"</f>
        <v>10314735</v>
      </c>
      <c r="B552" t="s">
        <v>22</v>
      </c>
      <c r="C552" s="1">
        <v>43717</v>
      </c>
      <c r="D552">
        <v>550000</v>
      </c>
      <c r="E552" t="s">
        <v>60</v>
      </c>
      <c r="F552">
        <v>2001</v>
      </c>
      <c r="G552">
        <v>3502</v>
      </c>
      <c r="H552" t="s">
        <v>76</v>
      </c>
      <c r="I552" t="str">
        <f t="shared" si="8"/>
        <v>25</v>
      </c>
      <c r="J552">
        <v>60025</v>
      </c>
      <c r="K552">
        <v>4027</v>
      </c>
      <c r="L552">
        <v>9</v>
      </c>
      <c r="M552">
        <v>3</v>
      </c>
      <c r="N552">
        <v>0</v>
      </c>
      <c r="O552" t="s">
        <v>25</v>
      </c>
      <c r="P552">
        <v>4</v>
      </c>
      <c r="Q552">
        <v>0</v>
      </c>
      <c r="R552" t="s">
        <v>26</v>
      </c>
      <c r="S552">
        <v>2</v>
      </c>
      <c r="V552" t="s">
        <v>67</v>
      </c>
    </row>
    <row r="553" spans="1:22" x14ac:dyDescent="0.45">
      <c r="A553" t="str">
        <f>"10783946"</f>
        <v>10783946</v>
      </c>
      <c r="B553" t="s">
        <v>22</v>
      </c>
      <c r="C553" s="1">
        <v>44158</v>
      </c>
      <c r="D553">
        <v>550000</v>
      </c>
      <c r="E553" t="s">
        <v>60</v>
      </c>
      <c r="F553">
        <v>1940</v>
      </c>
      <c r="G553">
        <v>1755</v>
      </c>
      <c r="H553" t="s">
        <v>289</v>
      </c>
      <c r="I553" t="str">
        <f t="shared" si="8"/>
        <v>25</v>
      </c>
      <c r="J553">
        <v>60025</v>
      </c>
      <c r="K553">
        <v>0</v>
      </c>
      <c r="L553">
        <v>9</v>
      </c>
      <c r="M553">
        <v>2</v>
      </c>
      <c r="N553">
        <v>1</v>
      </c>
      <c r="O553" t="s">
        <v>25</v>
      </c>
      <c r="P553">
        <v>3</v>
      </c>
      <c r="Q553">
        <v>0</v>
      </c>
      <c r="R553" t="s">
        <v>35</v>
      </c>
      <c r="S553">
        <v>2</v>
      </c>
    </row>
    <row r="554" spans="1:22" x14ac:dyDescent="0.45">
      <c r="A554" t="str">
        <f>"10130591"</f>
        <v>10130591</v>
      </c>
      <c r="B554" t="s">
        <v>22</v>
      </c>
      <c r="C554" s="1">
        <v>43633</v>
      </c>
      <c r="D554">
        <v>555000</v>
      </c>
      <c r="E554" t="s">
        <v>23</v>
      </c>
      <c r="F554">
        <v>1960</v>
      </c>
      <c r="G554">
        <v>1030</v>
      </c>
      <c r="H554" t="s">
        <v>261</v>
      </c>
      <c r="I554" t="str">
        <f t="shared" si="8"/>
        <v>25</v>
      </c>
      <c r="J554">
        <v>60025</v>
      </c>
      <c r="K554">
        <v>3036</v>
      </c>
      <c r="L554">
        <v>12</v>
      </c>
      <c r="M554">
        <v>2</v>
      </c>
      <c r="N554">
        <v>1</v>
      </c>
      <c r="O554" t="s">
        <v>25</v>
      </c>
      <c r="P554">
        <v>4</v>
      </c>
      <c r="Q554">
        <v>0</v>
      </c>
      <c r="R554" t="s">
        <v>26</v>
      </c>
      <c r="S554">
        <v>3</v>
      </c>
      <c r="V554" t="s">
        <v>27</v>
      </c>
    </row>
    <row r="555" spans="1:22" x14ac:dyDescent="0.45">
      <c r="A555" t="str">
        <f>"10313966"</f>
        <v>10313966</v>
      </c>
      <c r="B555" t="s">
        <v>22</v>
      </c>
      <c r="C555" s="1">
        <v>43647</v>
      </c>
      <c r="D555">
        <v>555000</v>
      </c>
      <c r="E555" t="s">
        <v>60</v>
      </c>
      <c r="F555">
        <v>2000</v>
      </c>
      <c r="G555">
        <v>2422</v>
      </c>
      <c r="H555" t="s">
        <v>83</v>
      </c>
      <c r="I555" t="str">
        <f t="shared" si="8"/>
        <v>25</v>
      </c>
      <c r="J555">
        <v>60025</v>
      </c>
      <c r="K555">
        <v>3461</v>
      </c>
      <c r="L555">
        <v>11</v>
      </c>
      <c r="M555">
        <v>4</v>
      </c>
      <c r="N555">
        <v>0</v>
      </c>
      <c r="O555" t="s">
        <v>41</v>
      </c>
      <c r="P555">
        <v>5</v>
      </c>
      <c r="Q555">
        <v>0</v>
      </c>
      <c r="R555" t="s">
        <v>26</v>
      </c>
      <c r="S555">
        <v>2.5</v>
      </c>
      <c r="U555">
        <v>600</v>
      </c>
      <c r="V555" t="s">
        <v>67</v>
      </c>
    </row>
    <row r="556" spans="1:22" x14ac:dyDescent="0.45">
      <c r="A556" t="str">
        <f>"10126821"</f>
        <v>10126821</v>
      </c>
      <c r="B556" t="s">
        <v>22</v>
      </c>
      <c r="C556" s="1">
        <v>43581</v>
      </c>
      <c r="D556">
        <v>555000</v>
      </c>
      <c r="E556" t="s">
        <v>23</v>
      </c>
      <c r="F556">
        <v>1998</v>
      </c>
      <c r="G556">
        <v>2803</v>
      </c>
      <c r="H556" t="s">
        <v>290</v>
      </c>
      <c r="I556" t="str">
        <f t="shared" si="8"/>
        <v>25</v>
      </c>
      <c r="J556">
        <v>60026</v>
      </c>
      <c r="K556">
        <v>4422</v>
      </c>
      <c r="L556">
        <v>10</v>
      </c>
      <c r="M556">
        <v>4</v>
      </c>
      <c r="N556">
        <v>0</v>
      </c>
      <c r="O556" t="s">
        <v>41</v>
      </c>
      <c r="P556">
        <v>3</v>
      </c>
      <c r="Q556">
        <v>1</v>
      </c>
      <c r="R556" t="s">
        <v>26</v>
      </c>
      <c r="S556">
        <v>2</v>
      </c>
      <c r="V556" t="s">
        <v>176</v>
      </c>
    </row>
    <row r="557" spans="1:22" x14ac:dyDescent="0.45">
      <c r="A557" t="str">
        <f>"10538800"</f>
        <v>10538800</v>
      </c>
      <c r="B557" t="s">
        <v>22</v>
      </c>
      <c r="C557" s="1">
        <v>43791</v>
      </c>
      <c r="D557">
        <v>555300</v>
      </c>
      <c r="E557" t="s">
        <v>60</v>
      </c>
      <c r="F557">
        <v>1969</v>
      </c>
      <c r="G557">
        <v>1714</v>
      </c>
      <c r="H557" t="s">
        <v>171</v>
      </c>
      <c r="I557" t="str">
        <f t="shared" si="8"/>
        <v>25</v>
      </c>
      <c r="J557">
        <v>60025</v>
      </c>
      <c r="K557">
        <v>2568</v>
      </c>
      <c r="L557">
        <v>8</v>
      </c>
      <c r="M557">
        <v>2</v>
      </c>
      <c r="N557">
        <v>1</v>
      </c>
      <c r="O557" t="s">
        <v>25</v>
      </c>
      <c r="P557">
        <v>4</v>
      </c>
      <c r="Q557">
        <v>0</v>
      </c>
      <c r="R557" t="s">
        <v>26</v>
      </c>
      <c r="S557">
        <v>2</v>
      </c>
      <c r="V557" t="s">
        <v>196</v>
      </c>
    </row>
    <row r="558" spans="1:22" x14ac:dyDescent="0.45">
      <c r="A558" t="str">
        <f>"10376631"</f>
        <v>10376631</v>
      </c>
      <c r="B558" t="s">
        <v>22</v>
      </c>
      <c r="C558" s="1">
        <v>43756</v>
      </c>
      <c r="D558">
        <v>558500</v>
      </c>
      <c r="E558" t="s">
        <v>60</v>
      </c>
      <c r="F558">
        <v>1951</v>
      </c>
      <c r="G558">
        <v>826</v>
      </c>
      <c r="H558" t="s">
        <v>291</v>
      </c>
      <c r="I558" t="str">
        <f t="shared" si="8"/>
        <v>25</v>
      </c>
      <c r="J558">
        <v>60025</v>
      </c>
      <c r="K558">
        <v>2768</v>
      </c>
      <c r="L558">
        <v>8</v>
      </c>
      <c r="M558">
        <v>1</v>
      </c>
      <c r="N558">
        <v>1</v>
      </c>
      <c r="O558" t="s">
        <v>25</v>
      </c>
      <c r="P558">
        <v>4</v>
      </c>
      <c r="Q558">
        <v>0</v>
      </c>
      <c r="R558" t="s">
        <v>26</v>
      </c>
      <c r="S558">
        <v>2</v>
      </c>
      <c r="V558" t="s">
        <v>67</v>
      </c>
    </row>
    <row r="559" spans="1:22" x14ac:dyDescent="0.45">
      <c r="A559" t="str">
        <f>"10740777"</f>
        <v>10740777</v>
      </c>
      <c r="B559" t="s">
        <v>22</v>
      </c>
      <c r="C559" s="1">
        <v>44064</v>
      </c>
      <c r="D559">
        <v>560000</v>
      </c>
      <c r="E559" t="s">
        <v>60</v>
      </c>
      <c r="F559">
        <v>1988</v>
      </c>
      <c r="G559">
        <v>2223</v>
      </c>
      <c r="H559" t="s">
        <v>292</v>
      </c>
      <c r="I559" t="str">
        <f t="shared" si="8"/>
        <v>25</v>
      </c>
      <c r="J559">
        <v>60026</v>
      </c>
      <c r="K559">
        <v>2856</v>
      </c>
      <c r="L559">
        <v>8</v>
      </c>
      <c r="M559">
        <v>2</v>
      </c>
      <c r="N559">
        <v>1</v>
      </c>
      <c r="O559" t="s">
        <v>25</v>
      </c>
      <c r="P559">
        <v>4</v>
      </c>
      <c r="Q559">
        <v>0</v>
      </c>
      <c r="R559" t="s">
        <v>26</v>
      </c>
      <c r="S559">
        <v>2.5</v>
      </c>
      <c r="V559" t="s">
        <v>67</v>
      </c>
    </row>
    <row r="560" spans="1:22" x14ac:dyDescent="0.45">
      <c r="A560" t="str">
        <f>"10737376"</f>
        <v>10737376</v>
      </c>
      <c r="B560" t="s">
        <v>22</v>
      </c>
      <c r="C560" s="1">
        <v>44061</v>
      </c>
      <c r="D560">
        <v>560000</v>
      </c>
      <c r="E560" t="s">
        <v>60</v>
      </c>
      <c r="F560">
        <v>1986</v>
      </c>
      <c r="G560">
        <v>1012</v>
      </c>
      <c r="H560" t="s">
        <v>268</v>
      </c>
      <c r="I560" t="str">
        <f t="shared" si="8"/>
        <v>25</v>
      </c>
      <c r="J560">
        <v>60025</v>
      </c>
      <c r="K560">
        <v>2900</v>
      </c>
      <c r="L560">
        <v>10</v>
      </c>
      <c r="M560">
        <v>2</v>
      </c>
      <c r="N560">
        <v>1</v>
      </c>
      <c r="O560" t="s">
        <v>25</v>
      </c>
      <c r="P560">
        <v>3</v>
      </c>
      <c r="Q560">
        <v>0</v>
      </c>
      <c r="R560" t="s">
        <v>26</v>
      </c>
      <c r="S560">
        <v>2</v>
      </c>
      <c r="U560">
        <v>1453</v>
      </c>
    </row>
    <row r="561" spans="1:22" x14ac:dyDescent="0.45">
      <c r="A561" t="str">
        <f>"10308901"</f>
        <v>10308901</v>
      </c>
      <c r="B561" t="s">
        <v>22</v>
      </c>
      <c r="C561" s="1">
        <v>43581</v>
      </c>
      <c r="D561">
        <v>560000</v>
      </c>
      <c r="E561" t="s">
        <v>60</v>
      </c>
      <c r="F561">
        <v>2016</v>
      </c>
      <c r="G561">
        <v>512</v>
      </c>
      <c r="H561" t="s">
        <v>30</v>
      </c>
      <c r="I561" t="str">
        <f t="shared" si="8"/>
        <v>25</v>
      </c>
      <c r="J561">
        <v>60025</v>
      </c>
      <c r="K561">
        <v>3457</v>
      </c>
      <c r="L561">
        <v>8</v>
      </c>
      <c r="M561">
        <v>3</v>
      </c>
      <c r="N561">
        <v>0</v>
      </c>
      <c r="O561" t="s">
        <v>25</v>
      </c>
      <c r="P561">
        <v>4</v>
      </c>
      <c r="Q561">
        <v>0</v>
      </c>
      <c r="R561" t="s">
        <v>26</v>
      </c>
      <c r="S561">
        <v>2</v>
      </c>
      <c r="V561" t="s">
        <v>67</v>
      </c>
    </row>
    <row r="562" spans="1:22" x14ac:dyDescent="0.45">
      <c r="A562" t="str">
        <f>"10462595"</f>
        <v>10462595</v>
      </c>
      <c r="B562" t="s">
        <v>22</v>
      </c>
      <c r="C562" s="1">
        <v>43804</v>
      </c>
      <c r="D562">
        <v>560000</v>
      </c>
      <c r="E562" t="s">
        <v>23</v>
      </c>
      <c r="F562">
        <v>1972</v>
      </c>
      <c r="G562">
        <v>27</v>
      </c>
      <c r="H562" t="s">
        <v>48</v>
      </c>
      <c r="I562" t="str">
        <f t="shared" si="8"/>
        <v>25</v>
      </c>
      <c r="J562">
        <v>60029</v>
      </c>
      <c r="K562">
        <v>0</v>
      </c>
      <c r="L562">
        <v>8</v>
      </c>
      <c r="M562">
        <v>2</v>
      </c>
      <c r="N562">
        <v>1</v>
      </c>
      <c r="O562" t="s">
        <v>25</v>
      </c>
      <c r="P562">
        <v>3</v>
      </c>
      <c r="Q562">
        <v>0</v>
      </c>
      <c r="R562" t="s">
        <v>26</v>
      </c>
      <c r="S562">
        <v>2.5</v>
      </c>
      <c r="V562" t="s">
        <v>27</v>
      </c>
    </row>
    <row r="563" spans="1:22" x14ac:dyDescent="0.45">
      <c r="A563" t="str">
        <f>"10251778"</f>
        <v>10251778</v>
      </c>
      <c r="B563" t="s">
        <v>22</v>
      </c>
      <c r="C563" s="1">
        <v>43620</v>
      </c>
      <c r="D563">
        <v>560000</v>
      </c>
      <c r="E563" t="s">
        <v>23</v>
      </c>
      <c r="F563">
        <v>1955</v>
      </c>
      <c r="G563">
        <v>729</v>
      </c>
      <c r="H563" t="s">
        <v>278</v>
      </c>
      <c r="I563" t="str">
        <f t="shared" si="8"/>
        <v>25</v>
      </c>
      <c r="J563">
        <v>60025</v>
      </c>
      <c r="K563">
        <v>1710</v>
      </c>
      <c r="L563">
        <v>9</v>
      </c>
      <c r="M563">
        <v>2</v>
      </c>
      <c r="N563">
        <v>0</v>
      </c>
      <c r="O563" t="s">
        <v>25</v>
      </c>
      <c r="P563">
        <v>3</v>
      </c>
      <c r="Q563">
        <v>0</v>
      </c>
      <c r="R563" t="s">
        <v>26</v>
      </c>
      <c r="S563">
        <v>2.5</v>
      </c>
      <c r="U563">
        <v>0</v>
      </c>
      <c r="V563" t="s">
        <v>27</v>
      </c>
    </row>
    <row r="564" spans="1:22" x14ac:dyDescent="0.45">
      <c r="A564" t="str">
        <f>"10402425"</f>
        <v>10402425</v>
      </c>
      <c r="B564" t="s">
        <v>22</v>
      </c>
      <c r="C564" s="1">
        <v>43854</v>
      </c>
      <c r="D564">
        <v>562500</v>
      </c>
      <c r="E564" t="s">
        <v>74</v>
      </c>
      <c r="F564">
        <v>1962</v>
      </c>
      <c r="G564">
        <v>1306</v>
      </c>
      <c r="H564" t="s">
        <v>230</v>
      </c>
      <c r="I564" t="str">
        <f t="shared" si="8"/>
        <v>25</v>
      </c>
      <c r="J564">
        <v>60025</v>
      </c>
      <c r="K564">
        <v>2800</v>
      </c>
      <c r="L564">
        <v>10</v>
      </c>
      <c r="M564">
        <v>3</v>
      </c>
      <c r="N564">
        <v>1</v>
      </c>
      <c r="O564" t="s">
        <v>25</v>
      </c>
      <c r="P564">
        <v>5</v>
      </c>
      <c r="Q564">
        <v>0</v>
      </c>
      <c r="R564" t="s">
        <v>26</v>
      </c>
      <c r="S564">
        <v>2</v>
      </c>
    </row>
    <row r="565" spans="1:22" x14ac:dyDescent="0.45">
      <c r="A565" t="str">
        <f>"10329786"</f>
        <v>10329786</v>
      </c>
      <c r="B565" t="s">
        <v>22</v>
      </c>
      <c r="C565" s="1">
        <v>43615</v>
      </c>
      <c r="D565">
        <v>570000</v>
      </c>
      <c r="E565" t="s">
        <v>60</v>
      </c>
      <c r="F565">
        <v>1996</v>
      </c>
      <c r="G565">
        <v>3115</v>
      </c>
      <c r="H565" t="s">
        <v>83</v>
      </c>
      <c r="I565" t="str">
        <f t="shared" si="8"/>
        <v>25</v>
      </c>
      <c r="J565">
        <v>60025</v>
      </c>
      <c r="K565">
        <v>3500</v>
      </c>
      <c r="L565">
        <v>10</v>
      </c>
      <c r="M565">
        <v>2</v>
      </c>
      <c r="N565">
        <v>1</v>
      </c>
      <c r="O565" t="s">
        <v>25</v>
      </c>
      <c r="P565">
        <v>4</v>
      </c>
      <c r="Q565">
        <v>0</v>
      </c>
      <c r="R565" t="s">
        <v>26</v>
      </c>
      <c r="S565">
        <v>2</v>
      </c>
    </row>
    <row r="566" spans="1:22" x14ac:dyDescent="0.45">
      <c r="A566" t="str">
        <f>"10849541"</f>
        <v>10849541</v>
      </c>
      <c r="B566" t="s">
        <v>22</v>
      </c>
      <c r="C566" s="1">
        <v>44141</v>
      </c>
      <c r="D566">
        <v>570000</v>
      </c>
      <c r="E566" t="s">
        <v>37</v>
      </c>
      <c r="F566">
        <v>1959</v>
      </c>
      <c r="G566">
        <v>1224</v>
      </c>
      <c r="H566" t="s">
        <v>293</v>
      </c>
      <c r="I566" t="str">
        <f t="shared" si="8"/>
        <v>25</v>
      </c>
      <c r="J566">
        <v>60025</v>
      </c>
      <c r="K566">
        <v>2025</v>
      </c>
      <c r="L566">
        <v>8</v>
      </c>
      <c r="M566">
        <v>2</v>
      </c>
      <c r="N566">
        <v>1</v>
      </c>
      <c r="O566" t="s">
        <v>25</v>
      </c>
      <c r="P566">
        <v>4</v>
      </c>
      <c r="Q566">
        <v>0</v>
      </c>
      <c r="R566" t="s">
        <v>26</v>
      </c>
      <c r="S566">
        <v>1</v>
      </c>
      <c r="V566" t="s">
        <v>71</v>
      </c>
    </row>
    <row r="567" spans="1:22" x14ac:dyDescent="0.45">
      <c r="A567" t="str">
        <f>"10879667"</f>
        <v>10879667</v>
      </c>
      <c r="B567" t="s">
        <v>22</v>
      </c>
      <c r="C567" s="1">
        <v>44158</v>
      </c>
      <c r="D567">
        <v>570000</v>
      </c>
      <c r="E567" t="s">
        <v>60</v>
      </c>
      <c r="F567">
        <v>1898</v>
      </c>
      <c r="G567">
        <v>1963</v>
      </c>
      <c r="H567" t="s">
        <v>115</v>
      </c>
      <c r="I567" t="str">
        <f t="shared" si="8"/>
        <v>25</v>
      </c>
      <c r="J567">
        <v>60025</v>
      </c>
      <c r="K567">
        <v>0</v>
      </c>
      <c r="L567">
        <v>9</v>
      </c>
      <c r="M567">
        <v>3</v>
      </c>
      <c r="N567">
        <v>0</v>
      </c>
      <c r="O567" t="s">
        <v>25</v>
      </c>
      <c r="P567">
        <v>4</v>
      </c>
      <c r="Q567">
        <v>0</v>
      </c>
      <c r="R567" t="s">
        <v>35</v>
      </c>
      <c r="S567">
        <v>2</v>
      </c>
      <c r="V567" t="s">
        <v>226</v>
      </c>
    </row>
    <row r="568" spans="1:22" x14ac:dyDescent="0.45">
      <c r="A568" t="str">
        <f>"10891241"</f>
        <v>10891241</v>
      </c>
      <c r="B568" t="s">
        <v>22</v>
      </c>
      <c r="C568" s="1">
        <v>44180</v>
      </c>
      <c r="D568">
        <v>570500</v>
      </c>
      <c r="E568" t="s">
        <v>23</v>
      </c>
      <c r="F568">
        <v>1957</v>
      </c>
      <c r="G568">
        <v>1446</v>
      </c>
      <c r="H568" t="s">
        <v>104</v>
      </c>
      <c r="I568" t="str">
        <f t="shared" si="8"/>
        <v>25</v>
      </c>
      <c r="J568">
        <v>60025</v>
      </c>
      <c r="K568">
        <v>0</v>
      </c>
      <c r="L568">
        <v>9</v>
      </c>
      <c r="M568">
        <v>3</v>
      </c>
      <c r="N568">
        <v>0</v>
      </c>
      <c r="O568" t="s">
        <v>41</v>
      </c>
      <c r="P568">
        <v>3</v>
      </c>
      <c r="Q568">
        <v>0</v>
      </c>
      <c r="R568" t="s">
        <v>26</v>
      </c>
      <c r="S568">
        <v>1</v>
      </c>
      <c r="V568" t="s">
        <v>27</v>
      </c>
    </row>
    <row r="569" spans="1:22" x14ac:dyDescent="0.45">
      <c r="A569" t="str">
        <f>"10673667"</f>
        <v>10673667</v>
      </c>
      <c r="B569" t="s">
        <v>22</v>
      </c>
      <c r="C569" s="1">
        <v>44022</v>
      </c>
      <c r="D569">
        <v>571000</v>
      </c>
      <c r="E569" t="s">
        <v>37</v>
      </c>
      <c r="F569">
        <v>1958</v>
      </c>
      <c r="G569">
        <v>205</v>
      </c>
      <c r="H569" t="s">
        <v>95</v>
      </c>
      <c r="I569" t="str">
        <f t="shared" si="8"/>
        <v>25</v>
      </c>
      <c r="J569">
        <v>60025</v>
      </c>
      <c r="K569">
        <v>0</v>
      </c>
      <c r="L569">
        <v>10</v>
      </c>
      <c r="M569">
        <v>3</v>
      </c>
      <c r="N569">
        <v>0</v>
      </c>
      <c r="O569" t="s">
        <v>25</v>
      </c>
      <c r="P569">
        <v>4</v>
      </c>
      <c r="Q569">
        <v>0</v>
      </c>
      <c r="R569" t="s">
        <v>26</v>
      </c>
      <c r="S569">
        <v>2</v>
      </c>
      <c r="V569" t="s">
        <v>36</v>
      </c>
    </row>
    <row r="570" spans="1:22" x14ac:dyDescent="0.45">
      <c r="A570" t="str">
        <f>"10609382"</f>
        <v>10609382</v>
      </c>
      <c r="B570" t="s">
        <v>22</v>
      </c>
      <c r="C570" s="1">
        <v>43994</v>
      </c>
      <c r="D570">
        <v>575000</v>
      </c>
      <c r="E570" t="s">
        <v>37</v>
      </c>
      <c r="F570">
        <v>1962</v>
      </c>
      <c r="G570">
        <v>1300</v>
      </c>
      <c r="H570" t="s">
        <v>230</v>
      </c>
      <c r="I570" t="str">
        <f t="shared" si="8"/>
        <v>25</v>
      </c>
      <c r="J570">
        <v>60025</v>
      </c>
      <c r="K570">
        <v>2600</v>
      </c>
      <c r="L570">
        <v>7</v>
      </c>
      <c r="M570">
        <v>2</v>
      </c>
      <c r="N570">
        <v>0</v>
      </c>
      <c r="O570" t="s">
        <v>41</v>
      </c>
      <c r="P570">
        <v>3</v>
      </c>
      <c r="Q570">
        <v>0</v>
      </c>
      <c r="R570" t="s">
        <v>26</v>
      </c>
      <c r="S570">
        <v>2</v>
      </c>
    </row>
    <row r="571" spans="1:22" x14ac:dyDescent="0.45">
      <c r="A571" t="str">
        <f>"10626054"</f>
        <v>10626054</v>
      </c>
      <c r="B571" t="s">
        <v>22</v>
      </c>
      <c r="C571" s="1">
        <v>43949</v>
      </c>
      <c r="D571">
        <v>575000</v>
      </c>
      <c r="E571" t="s">
        <v>60</v>
      </c>
      <c r="F571">
        <v>1976</v>
      </c>
      <c r="G571">
        <v>335</v>
      </c>
      <c r="H571" t="s">
        <v>56</v>
      </c>
      <c r="I571" t="str">
        <f t="shared" si="8"/>
        <v>25</v>
      </c>
      <c r="J571">
        <v>60025</v>
      </c>
      <c r="K571">
        <v>2226</v>
      </c>
      <c r="L571">
        <v>10</v>
      </c>
      <c r="M571">
        <v>2</v>
      </c>
      <c r="N571">
        <v>1</v>
      </c>
      <c r="O571" t="s">
        <v>25</v>
      </c>
      <c r="P571">
        <v>4</v>
      </c>
      <c r="Q571">
        <v>0</v>
      </c>
      <c r="R571" t="s">
        <v>26</v>
      </c>
      <c r="S571">
        <v>2</v>
      </c>
    </row>
    <row r="572" spans="1:22" x14ac:dyDescent="0.45">
      <c r="A572" t="str">
        <f>"10461074"</f>
        <v>10461074</v>
      </c>
      <c r="B572" t="s">
        <v>22</v>
      </c>
      <c r="C572" s="1">
        <v>43724</v>
      </c>
      <c r="D572">
        <v>575000</v>
      </c>
      <c r="E572" t="s">
        <v>60</v>
      </c>
      <c r="F572">
        <v>1953</v>
      </c>
      <c r="G572">
        <v>1161</v>
      </c>
      <c r="H572" t="s">
        <v>294</v>
      </c>
      <c r="I572" t="str">
        <f t="shared" si="8"/>
        <v>25</v>
      </c>
      <c r="J572">
        <v>60025</v>
      </c>
      <c r="K572">
        <v>0</v>
      </c>
      <c r="L572">
        <v>10</v>
      </c>
      <c r="M572">
        <v>2</v>
      </c>
      <c r="N572">
        <v>0</v>
      </c>
      <c r="O572" t="s">
        <v>25</v>
      </c>
      <c r="P572">
        <v>4</v>
      </c>
      <c r="Q572">
        <v>0</v>
      </c>
      <c r="R572" t="s">
        <v>26</v>
      </c>
      <c r="S572">
        <v>1</v>
      </c>
    </row>
    <row r="573" spans="1:22" x14ac:dyDescent="0.45">
      <c r="A573" t="str">
        <f>"10305926"</f>
        <v>10305926</v>
      </c>
      <c r="B573" t="s">
        <v>22</v>
      </c>
      <c r="C573" s="1">
        <v>43615</v>
      </c>
      <c r="D573">
        <v>575000</v>
      </c>
      <c r="E573" t="s">
        <v>60</v>
      </c>
      <c r="F573">
        <v>1976</v>
      </c>
      <c r="G573">
        <v>3715</v>
      </c>
      <c r="H573" t="s">
        <v>295</v>
      </c>
      <c r="I573" t="str">
        <f t="shared" si="8"/>
        <v>25</v>
      </c>
      <c r="J573">
        <v>60026</v>
      </c>
      <c r="K573">
        <v>0</v>
      </c>
      <c r="L573">
        <v>9</v>
      </c>
      <c r="M573">
        <v>3</v>
      </c>
      <c r="N573">
        <v>1</v>
      </c>
      <c r="O573" t="s">
        <v>41</v>
      </c>
      <c r="P573">
        <v>4</v>
      </c>
      <c r="Q573">
        <v>0</v>
      </c>
      <c r="R573" t="s">
        <v>26</v>
      </c>
      <c r="S573">
        <v>2</v>
      </c>
      <c r="T573">
        <v>4</v>
      </c>
      <c r="V573" t="s">
        <v>67</v>
      </c>
    </row>
    <row r="574" spans="1:22" x14ac:dyDescent="0.45">
      <c r="A574" t="str">
        <f>"10836783"</f>
        <v>10836783</v>
      </c>
      <c r="B574" t="s">
        <v>22</v>
      </c>
      <c r="C574" s="1">
        <v>44187</v>
      </c>
      <c r="D574">
        <v>575000</v>
      </c>
      <c r="E574" t="s">
        <v>60</v>
      </c>
      <c r="F574">
        <v>1973</v>
      </c>
      <c r="G574">
        <v>3923</v>
      </c>
      <c r="H574" t="s">
        <v>273</v>
      </c>
      <c r="I574" t="str">
        <f t="shared" si="8"/>
        <v>25</v>
      </c>
      <c r="J574">
        <v>60026</v>
      </c>
      <c r="K574">
        <v>2613</v>
      </c>
      <c r="L574">
        <v>8</v>
      </c>
      <c r="M574">
        <v>2</v>
      </c>
      <c r="N574">
        <v>1</v>
      </c>
      <c r="O574" t="s">
        <v>25</v>
      </c>
      <c r="P574">
        <v>4</v>
      </c>
      <c r="Q574">
        <v>0</v>
      </c>
      <c r="R574" t="s">
        <v>26</v>
      </c>
      <c r="S574">
        <v>2.5</v>
      </c>
      <c r="V574" t="s">
        <v>176</v>
      </c>
    </row>
    <row r="575" spans="1:22" x14ac:dyDescent="0.45">
      <c r="A575" t="str">
        <f>"10468627"</f>
        <v>10468627</v>
      </c>
      <c r="B575" t="s">
        <v>22</v>
      </c>
      <c r="C575" s="1">
        <v>43759</v>
      </c>
      <c r="D575">
        <v>575000</v>
      </c>
      <c r="E575" t="s">
        <v>60</v>
      </c>
      <c r="F575">
        <v>1966</v>
      </c>
      <c r="G575">
        <v>1509</v>
      </c>
      <c r="H575" t="s">
        <v>264</v>
      </c>
      <c r="I575" t="str">
        <f t="shared" si="8"/>
        <v>25</v>
      </c>
      <c r="J575">
        <v>60025</v>
      </c>
      <c r="K575">
        <v>2800</v>
      </c>
      <c r="L575">
        <v>11</v>
      </c>
      <c r="M575">
        <v>2</v>
      </c>
      <c r="N575">
        <v>1</v>
      </c>
      <c r="O575" t="s">
        <v>25</v>
      </c>
      <c r="P575">
        <v>4</v>
      </c>
      <c r="Q575">
        <v>0</v>
      </c>
      <c r="R575" t="s">
        <v>26</v>
      </c>
      <c r="S575">
        <v>2</v>
      </c>
      <c r="V575" t="s">
        <v>67</v>
      </c>
    </row>
    <row r="576" spans="1:22" x14ac:dyDescent="0.45">
      <c r="A576" t="str">
        <f>"10682379"</f>
        <v>10682379</v>
      </c>
      <c r="B576" t="s">
        <v>22</v>
      </c>
      <c r="C576" s="1">
        <v>44097</v>
      </c>
      <c r="D576">
        <v>575000</v>
      </c>
      <c r="E576" t="s">
        <v>60</v>
      </c>
      <c r="F576">
        <v>1949</v>
      </c>
      <c r="G576">
        <v>719</v>
      </c>
      <c r="H576" t="s">
        <v>116</v>
      </c>
      <c r="I576" t="str">
        <f t="shared" si="8"/>
        <v>25</v>
      </c>
      <c r="J576">
        <v>60025</v>
      </c>
      <c r="K576">
        <v>2700</v>
      </c>
      <c r="L576">
        <v>9</v>
      </c>
      <c r="M576">
        <v>3</v>
      </c>
      <c r="N576">
        <v>0</v>
      </c>
      <c r="O576" t="s">
        <v>25</v>
      </c>
      <c r="P576">
        <v>3</v>
      </c>
      <c r="Q576">
        <v>0</v>
      </c>
      <c r="R576" t="s">
        <v>26</v>
      </c>
      <c r="S576">
        <v>2</v>
      </c>
    </row>
    <row r="577" spans="1:22" x14ac:dyDescent="0.45">
      <c r="A577" t="str">
        <f>"10384931"</f>
        <v>10384931</v>
      </c>
      <c r="B577" t="s">
        <v>22</v>
      </c>
      <c r="C577" s="1">
        <v>43720</v>
      </c>
      <c r="D577">
        <v>575000</v>
      </c>
      <c r="E577" t="s">
        <v>23</v>
      </c>
      <c r="F577">
        <v>1955</v>
      </c>
      <c r="G577">
        <v>2108</v>
      </c>
      <c r="H577" t="s">
        <v>259</v>
      </c>
      <c r="I577" t="str">
        <f t="shared" si="8"/>
        <v>25</v>
      </c>
      <c r="J577">
        <v>60025</v>
      </c>
      <c r="K577">
        <v>1820</v>
      </c>
      <c r="L577">
        <v>7</v>
      </c>
      <c r="M577">
        <v>3</v>
      </c>
      <c r="N577">
        <v>0</v>
      </c>
      <c r="O577" t="s">
        <v>41</v>
      </c>
      <c r="P577">
        <v>3</v>
      </c>
      <c r="Q577">
        <v>1</v>
      </c>
      <c r="R577" t="s">
        <v>26</v>
      </c>
      <c r="S577">
        <v>1</v>
      </c>
      <c r="V577" t="s">
        <v>27</v>
      </c>
    </row>
    <row r="578" spans="1:22" x14ac:dyDescent="0.45">
      <c r="A578" t="str">
        <f>"10377468"</f>
        <v>10377468</v>
      </c>
      <c r="B578" t="s">
        <v>22</v>
      </c>
      <c r="C578" s="1">
        <v>43665</v>
      </c>
      <c r="D578">
        <v>575000</v>
      </c>
      <c r="E578" t="s">
        <v>60</v>
      </c>
      <c r="F578">
        <v>1967</v>
      </c>
      <c r="G578">
        <v>1224</v>
      </c>
      <c r="H578" t="s">
        <v>247</v>
      </c>
      <c r="I578" t="str">
        <f t="shared" ref="I578:I641" si="9">"25"</f>
        <v>25</v>
      </c>
      <c r="J578">
        <v>60025</v>
      </c>
      <c r="K578">
        <v>3666</v>
      </c>
      <c r="L578">
        <v>10</v>
      </c>
      <c r="M578">
        <v>3</v>
      </c>
      <c r="N578">
        <v>1</v>
      </c>
      <c r="O578" t="s">
        <v>41</v>
      </c>
      <c r="P578">
        <v>4</v>
      </c>
      <c r="Q578">
        <v>0</v>
      </c>
      <c r="R578" t="s">
        <v>26</v>
      </c>
      <c r="S578">
        <v>2</v>
      </c>
      <c r="U578">
        <v>1215</v>
      </c>
    </row>
    <row r="579" spans="1:22" x14ac:dyDescent="0.45">
      <c r="A579" t="str">
        <f>"10656949"</f>
        <v>10656949</v>
      </c>
      <c r="B579" t="s">
        <v>22</v>
      </c>
      <c r="C579" s="1">
        <v>44042</v>
      </c>
      <c r="D579">
        <v>575000</v>
      </c>
      <c r="E579" t="s">
        <v>60</v>
      </c>
      <c r="F579">
        <v>1950</v>
      </c>
      <c r="G579">
        <v>2247</v>
      </c>
      <c r="H579" t="s">
        <v>66</v>
      </c>
      <c r="I579" t="str">
        <f t="shared" si="9"/>
        <v>25</v>
      </c>
      <c r="J579">
        <v>60025</v>
      </c>
      <c r="K579">
        <v>2580</v>
      </c>
      <c r="L579">
        <v>9</v>
      </c>
      <c r="M579">
        <v>2</v>
      </c>
      <c r="N579">
        <v>1</v>
      </c>
      <c r="O579" t="s">
        <v>25</v>
      </c>
      <c r="P579">
        <v>4</v>
      </c>
      <c r="Q579">
        <v>0</v>
      </c>
      <c r="R579" t="s">
        <v>26</v>
      </c>
      <c r="S579">
        <v>2</v>
      </c>
      <c r="V579" t="s">
        <v>67</v>
      </c>
    </row>
    <row r="580" spans="1:22" x14ac:dyDescent="0.45">
      <c r="A580" t="str">
        <f>"10518784"</f>
        <v>10518784</v>
      </c>
      <c r="B580" t="s">
        <v>22</v>
      </c>
      <c r="C580" s="1">
        <v>43860</v>
      </c>
      <c r="D580">
        <v>575000</v>
      </c>
      <c r="E580" t="s">
        <v>60</v>
      </c>
      <c r="F580">
        <v>1984</v>
      </c>
      <c r="G580">
        <v>2416</v>
      </c>
      <c r="H580" t="s">
        <v>296</v>
      </c>
      <c r="I580" t="str">
        <f t="shared" si="9"/>
        <v>25</v>
      </c>
      <c r="J580">
        <v>60026</v>
      </c>
      <c r="K580">
        <v>6684</v>
      </c>
      <c r="L580">
        <v>16</v>
      </c>
      <c r="M580">
        <v>6</v>
      </c>
      <c r="N580">
        <v>2</v>
      </c>
      <c r="O580" t="s">
        <v>41</v>
      </c>
      <c r="P580">
        <v>6</v>
      </c>
      <c r="Q580">
        <v>0</v>
      </c>
      <c r="R580" t="s">
        <v>26</v>
      </c>
      <c r="S580">
        <v>3</v>
      </c>
      <c r="V580" t="s">
        <v>67</v>
      </c>
    </row>
    <row r="581" spans="1:22" x14ac:dyDescent="0.45">
      <c r="A581" t="str">
        <f>"10344479"</f>
        <v>10344479</v>
      </c>
      <c r="B581" t="s">
        <v>22</v>
      </c>
      <c r="C581" s="1">
        <v>43648</v>
      </c>
      <c r="D581">
        <v>577000</v>
      </c>
      <c r="E581" t="s">
        <v>60</v>
      </c>
      <c r="F581">
        <v>1926</v>
      </c>
      <c r="G581">
        <v>34</v>
      </c>
      <c r="H581" t="s">
        <v>297</v>
      </c>
      <c r="I581" t="str">
        <f t="shared" si="9"/>
        <v>25</v>
      </c>
      <c r="J581">
        <v>60029</v>
      </c>
      <c r="K581">
        <v>4969</v>
      </c>
      <c r="L581">
        <v>14</v>
      </c>
      <c r="M581">
        <v>3</v>
      </c>
      <c r="N581">
        <v>0</v>
      </c>
      <c r="O581" t="s">
        <v>41</v>
      </c>
      <c r="P581">
        <v>5</v>
      </c>
      <c r="Q581">
        <v>0</v>
      </c>
      <c r="R581" t="s">
        <v>35</v>
      </c>
      <c r="S581">
        <v>2.5</v>
      </c>
      <c r="U581">
        <v>1300</v>
      </c>
    </row>
    <row r="582" spans="1:22" x14ac:dyDescent="0.45">
      <c r="A582" t="str">
        <f>"10645609"</f>
        <v>10645609</v>
      </c>
      <c r="B582" t="s">
        <v>22</v>
      </c>
      <c r="C582" s="1">
        <v>43929</v>
      </c>
      <c r="D582">
        <v>579000</v>
      </c>
      <c r="E582" t="s">
        <v>60</v>
      </c>
      <c r="F582">
        <v>1941</v>
      </c>
      <c r="G582">
        <v>1955</v>
      </c>
      <c r="H582" t="s">
        <v>245</v>
      </c>
      <c r="I582" t="str">
        <f t="shared" si="9"/>
        <v>25</v>
      </c>
      <c r="J582">
        <v>60025</v>
      </c>
      <c r="K582">
        <v>2110</v>
      </c>
      <c r="L582">
        <v>11</v>
      </c>
      <c r="M582">
        <v>2</v>
      </c>
      <c r="N582">
        <v>0</v>
      </c>
      <c r="O582" t="s">
        <v>25</v>
      </c>
      <c r="P582">
        <v>3</v>
      </c>
      <c r="Q582">
        <v>0</v>
      </c>
      <c r="R582" t="s">
        <v>26</v>
      </c>
      <c r="S582">
        <v>1</v>
      </c>
      <c r="V582" t="s">
        <v>67</v>
      </c>
    </row>
    <row r="583" spans="1:22" x14ac:dyDescent="0.45">
      <c r="A583" t="str">
        <f>"10654710"</f>
        <v>10654710</v>
      </c>
      <c r="B583" t="s">
        <v>22</v>
      </c>
      <c r="C583" s="1">
        <v>43924</v>
      </c>
      <c r="D583">
        <v>579500</v>
      </c>
      <c r="E583" t="s">
        <v>60</v>
      </c>
      <c r="F583">
        <v>1998</v>
      </c>
      <c r="G583">
        <v>2720</v>
      </c>
      <c r="H583" t="s">
        <v>266</v>
      </c>
      <c r="I583" t="str">
        <f t="shared" si="9"/>
        <v>25</v>
      </c>
      <c r="J583">
        <v>60026</v>
      </c>
      <c r="K583">
        <v>3662</v>
      </c>
      <c r="L583">
        <v>13</v>
      </c>
      <c r="M583">
        <v>3</v>
      </c>
      <c r="N583">
        <v>1</v>
      </c>
      <c r="O583" t="s">
        <v>41</v>
      </c>
      <c r="P583">
        <v>3</v>
      </c>
      <c r="Q583">
        <v>1</v>
      </c>
      <c r="R583" t="s">
        <v>26</v>
      </c>
      <c r="S583">
        <v>2</v>
      </c>
      <c r="U583">
        <v>600</v>
      </c>
      <c r="V583" t="s">
        <v>67</v>
      </c>
    </row>
    <row r="584" spans="1:22" x14ac:dyDescent="0.45">
      <c r="A584" t="str">
        <f>"10420908"</f>
        <v>10420908</v>
      </c>
      <c r="B584" t="s">
        <v>22</v>
      </c>
      <c r="C584" s="1">
        <v>43768</v>
      </c>
      <c r="D584">
        <v>580000</v>
      </c>
      <c r="E584" t="s">
        <v>60</v>
      </c>
      <c r="F584">
        <v>1998</v>
      </c>
      <c r="G584">
        <v>2727</v>
      </c>
      <c r="H584" t="s">
        <v>298</v>
      </c>
      <c r="I584" t="str">
        <f t="shared" si="9"/>
        <v>25</v>
      </c>
      <c r="J584">
        <v>60025</v>
      </c>
      <c r="K584">
        <v>2872</v>
      </c>
      <c r="L584">
        <v>9</v>
      </c>
      <c r="M584">
        <v>2</v>
      </c>
      <c r="N584">
        <v>1</v>
      </c>
      <c r="O584" t="s">
        <v>25</v>
      </c>
      <c r="P584">
        <v>4</v>
      </c>
      <c r="Q584">
        <v>0</v>
      </c>
      <c r="R584" t="s">
        <v>26</v>
      </c>
      <c r="S584">
        <v>2</v>
      </c>
      <c r="V584" t="s">
        <v>67</v>
      </c>
    </row>
    <row r="585" spans="1:22" x14ac:dyDescent="0.45">
      <c r="A585" t="str">
        <f>"10805916"</f>
        <v>10805916</v>
      </c>
      <c r="B585" t="s">
        <v>22</v>
      </c>
      <c r="C585" s="1">
        <v>44160</v>
      </c>
      <c r="D585">
        <v>580000</v>
      </c>
      <c r="E585" t="s">
        <v>31</v>
      </c>
      <c r="F585">
        <v>2012</v>
      </c>
      <c r="G585">
        <v>2934</v>
      </c>
      <c r="H585" t="s">
        <v>191</v>
      </c>
      <c r="I585" t="str">
        <f t="shared" si="9"/>
        <v>25</v>
      </c>
      <c r="J585">
        <v>60025</v>
      </c>
      <c r="K585">
        <v>2349</v>
      </c>
      <c r="L585">
        <v>9</v>
      </c>
      <c r="M585">
        <v>3</v>
      </c>
      <c r="N585">
        <v>0</v>
      </c>
      <c r="O585" t="s">
        <v>25</v>
      </c>
      <c r="P585">
        <v>4</v>
      </c>
      <c r="Q585">
        <v>0</v>
      </c>
      <c r="R585" t="s">
        <v>35</v>
      </c>
      <c r="S585">
        <v>2.5</v>
      </c>
      <c r="V585" t="s">
        <v>36</v>
      </c>
    </row>
    <row r="586" spans="1:22" x14ac:dyDescent="0.45">
      <c r="A586" t="str">
        <f>"10601668"</f>
        <v>10601668</v>
      </c>
      <c r="B586" t="s">
        <v>22</v>
      </c>
      <c r="C586" s="1">
        <v>43885</v>
      </c>
      <c r="D586">
        <v>580000</v>
      </c>
      <c r="E586" t="s">
        <v>60</v>
      </c>
      <c r="F586">
        <v>1990</v>
      </c>
      <c r="G586">
        <v>3323</v>
      </c>
      <c r="H586" t="s">
        <v>279</v>
      </c>
      <c r="I586" t="str">
        <f t="shared" si="9"/>
        <v>25</v>
      </c>
      <c r="J586">
        <v>60025</v>
      </c>
      <c r="K586">
        <v>3540</v>
      </c>
      <c r="L586">
        <v>9</v>
      </c>
      <c r="M586">
        <v>2</v>
      </c>
      <c r="N586">
        <v>1</v>
      </c>
      <c r="O586" t="s">
        <v>25</v>
      </c>
      <c r="P586">
        <v>5</v>
      </c>
      <c r="Q586">
        <v>0</v>
      </c>
      <c r="R586" t="s">
        <v>26</v>
      </c>
      <c r="S586">
        <v>2</v>
      </c>
      <c r="V586" t="s">
        <v>176</v>
      </c>
    </row>
    <row r="587" spans="1:22" x14ac:dyDescent="0.45">
      <c r="A587" t="str">
        <f>"10626416"</f>
        <v>10626416</v>
      </c>
      <c r="B587" t="s">
        <v>22</v>
      </c>
      <c r="C587" s="1">
        <v>44013</v>
      </c>
      <c r="D587">
        <v>580000</v>
      </c>
      <c r="E587" t="s">
        <v>60</v>
      </c>
      <c r="F587">
        <v>1980</v>
      </c>
      <c r="G587">
        <v>3642</v>
      </c>
      <c r="H587" t="s">
        <v>299</v>
      </c>
      <c r="I587" t="str">
        <f t="shared" si="9"/>
        <v>25</v>
      </c>
      <c r="J587">
        <v>60026</v>
      </c>
      <c r="K587">
        <v>2652</v>
      </c>
      <c r="L587">
        <v>9</v>
      </c>
      <c r="M587">
        <v>2</v>
      </c>
      <c r="N587">
        <v>1</v>
      </c>
      <c r="O587" t="s">
        <v>25</v>
      </c>
      <c r="P587">
        <v>4</v>
      </c>
      <c r="Q587">
        <v>0</v>
      </c>
      <c r="R587" t="s">
        <v>26</v>
      </c>
      <c r="S587">
        <v>2</v>
      </c>
      <c r="V587" t="s">
        <v>67</v>
      </c>
    </row>
    <row r="588" spans="1:22" x14ac:dyDescent="0.45">
      <c r="A588" t="str">
        <f>"10277472"</f>
        <v>10277472</v>
      </c>
      <c r="B588" t="s">
        <v>22</v>
      </c>
      <c r="C588" s="1">
        <v>43607</v>
      </c>
      <c r="D588">
        <v>580000</v>
      </c>
      <c r="E588" t="s">
        <v>60</v>
      </c>
      <c r="F588">
        <v>1955</v>
      </c>
      <c r="G588">
        <v>4722</v>
      </c>
      <c r="H588" t="s">
        <v>109</v>
      </c>
      <c r="I588" t="str">
        <f t="shared" si="9"/>
        <v>25</v>
      </c>
      <c r="J588">
        <v>60025</v>
      </c>
      <c r="K588">
        <v>3463</v>
      </c>
      <c r="L588">
        <v>9</v>
      </c>
      <c r="M588">
        <v>4</v>
      </c>
      <c r="N588">
        <v>0</v>
      </c>
      <c r="O588" t="s">
        <v>25</v>
      </c>
      <c r="P588">
        <v>4</v>
      </c>
      <c r="Q588">
        <v>0</v>
      </c>
      <c r="R588" t="s">
        <v>26</v>
      </c>
      <c r="S588">
        <v>2</v>
      </c>
      <c r="U588">
        <v>0</v>
      </c>
      <c r="V588" t="s">
        <v>33</v>
      </c>
    </row>
    <row r="589" spans="1:22" x14ac:dyDescent="0.45">
      <c r="A589" t="str">
        <f>"10605182"</f>
        <v>10605182</v>
      </c>
      <c r="B589" t="s">
        <v>22</v>
      </c>
      <c r="C589" s="1">
        <v>43911</v>
      </c>
      <c r="D589">
        <v>580000</v>
      </c>
      <c r="E589" t="s">
        <v>60</v>
      </c>
      <c r="F589">
        <v>1968</v>
      </c>
      <c r="G589">
        <v>2423</v>
      </c>
      <c r="H589" t="s">
        <v>269</v>
      </c>
      <c r="I589" t="str">
        <f t="shared" si="9"/>
        <v>25</v>
      </c>
      <c r="J589">
        <v>60026</v>
      </c>
      <c r="K589">
        <v>2626</v>
      </c>
      <c r="L589">
        <v>10</v>
      </c>
      <c r="M589">
        <v>3</v>
      </c>
      <c r="N589">
        <v>1</v>
      </c>
      <c r="O589" t="s">
        <v>25</v>
      </c>
      <c r="P589">
        <v>4</v>
      </c>
      <c r="Q589">
        <v>0</v>
      </c>
      <c r="R589" t="s">
        <v>26</v>
      </c>
      <c r="S589">
        <v>2</v>
      </c>
      <c r="V589" t="s">
        <v>67</v>
      </c>
    </row>
    <row r="590" spans="1:22" x14ac:dyDescent="0.45">
      <c r="A590" t="str">
        <f>"10721172"</f>
        <v>10721172</v>
      </c>
      <c r="B590" t="s">
        <v>22</v>
      </c>
      <c r="C590" s="1">
        <v>44074</v>
      </c>
      <c r="D590">
        <v>580000</v>
      </c>
      <c r="E590" t="s">
        <v>60</v>
      </c>
      <c r="F590">
        <v>1958</v>
      </c>
      <c r="G590">
        <v>13</v>
      </c>
      <c r="H590" t="s">
        <v>65</v>
      </c>
      <c r="I590" t="str">
        <f t="shared" si="9"/>
        <v>25</v>
      </c>
      <c r="J590">
        <v>60025</v>
      </c>
      <c r="K590">
        <v>3083</v>
      </c>
      <c r="L590">
        <v>11</v>
      </c>
      <c r="M590">
        <v>5</v>
      </c>
      <c r="N590">
        <v>1</v>
      </c>
      <c r="O590" t="s">
        <v>25</v>
      </c>
      <c r="P590">
        <v>7</v>
      </c>
      <c r="Q590">
        <v>0</v>
      </c>
      <c r="R590" t="s">
        <v>35</v>
      </c>
      <c r="S590">
        <v>2.5</v>
      </c>
      <c r="T590">
        <v>4</v>
      </c>
      <c r="U590">
        <v>1541</v>
      </c>
    </row>
    <row r="591" spans="1:22" x14ac:dyDescent="0.45">
      <c r="A591" t="str">
        <f>"10750760"</f>
        <v>10750760</v>
      </c>
      <c r="B591" t="s">
        <v>22</v>
      </c>
      <c r="C591" s="1">
        <v>44050</v>
      </c>
      <c r="D591">
        <v>582000</v>
      </c>
      <c r="E591" t="s">
        <v>23</v>
      </c>
      <c r="F591">
        <v>1958</v>
      </c>
      <c r="G591">
        <v>1420</v>
      </c>
      <c r="H591" t="s">
        <v>300</v>
      </c>
      <c r="I591" t="str">
        <f t="shared" si="9"/>
        <v>25</v>
      </c>
      <c r="J591">
        <v>60025</v>
      </c>
      <c r="K591">
        <v>1603</v>
      </c>
      <c r="L591">
        <v>10</v>
      </c>
      <c r="M591">
        <v>3</v>
      </c>
      <c r="N591">
        <v>0</v>
      </c>
      <c r="O591" t="s">
        <v>41</v>
      </c>
      <c r="P591">
        <v>3</v>
      </c>
      <c r="Q591">
        <v>1</v>
      </c>
      <c r="R591" t="s">
        <v>26</v>
      </c>
      <c r="S591">
        <v>2</v>
      </c>
      <c r="V591" t="s">
        <v>27</v>
      </c>
    </row>
    <row r="592" spans="1:22" x14ac:dyDescent="0.45">
      <c r="A592" t="str">
        <f>"10266548"</f>
        <v>10266548</v>
      </c>
      <c r="B592" t="s">
        <v>22</v>
      </c>
      <c r="C592" s="1">
        <v>43670</v>
      </c>
      <c r="D592">
        <v>585000</v>
      </c>
      <c r="E592" t="s">
        <v>60</v>
      </c>
      <c r="F592">
        <v>1987</v>
      </c>
      <c r="G592">
        <v>3128</v>
      </c>
      <c r="H592" t="s">
        <v>301</v>
      </c>
      <c r="I592" t="str">
        <f t="shared" si="9"/>
        <v>25</v>
      </c>
      <c r="J592">
        <v>60026</v>
      </c>
      <c r="K592">
        <v>2672</v>
      </c>
      <c r="L592">
        <v>11</v>
      </c>
      <c r="M592">
        <v>2</v>
      </c>
      <c r="N592">
        <v>1</v>
      </c>
      <c r="O592" t="s">
        <v>25</v>
      </c>
      <c r="P592">
        <v>5</v>
      </c>
      <c r="Q592">
        <v>0</v>
      </c>
      <c r="R592" t="s">
        <v>26</v>
      </c>
      <c r="S592">
        <v>2</v>
      </c>
      <c r="V592" t="s">
        <v>67</v>
      </c>
    </row>
    <row r="593" spans="1:22" x14ac:dyDescent="0.45">
      <c r="A593" t="str">
        <f>"10835132"</f>
        <v>10835132</v>
      </c>
      <c r="B593" t="s">
        <v>22</v>
      </c>
      <c r="C593" s="1">
        <v>44096</v>
      </c>
      <c r="D593">
        <v>587000</v>
      </c>
      <c r="E593" t="s">
        <v>23</v>
      </c>
      <c r="F593">
        <v>1956</v>
      </c>
      <c r="G593">
        <v>633</v>
      </c>
      <c r="H593" t="s">
        <v>116</v>
      </c>
      <c r="I593" t="str">
        <f t="shared" si="9"/>
        <v>25</v>
      </c>
      <c r="J593">
        <v>60025</v>
      </c>
      <c r="K593">
        <v>1915</v>
      </c>
      <c r="L593">
        <v>8</v>
      </c>
      <c r="M593">
        <v>2</v>
      </c>
      <c r="N593">
        <v>0</v>
      </c>
      <c r="O593" t="s">
        <v>25</v>
      </c>
      <c r="P593">
        <v>3</v>
      </c>
      <c r="Q593">
        <v>0</v>
      </c>
      <c r="R593" t="s">
        <v>26</v>
      </c>
      <c r="S593">
        <v>2</v>
      </c>
      <c r="U593">
        <v>1915</v>
      </c>
      <c r="V593" t="s">
        <v>27</v>
      </c>
    </row>
    <row r="594" spans="1:22" x14ac:dyDescent="0.45">
      <c r="A594" t="str">
        <f>"10469268"</f>
        <v>10469268</v>
      </c>
      <c r="B594" t="s">
        <v>22</v>
      </c>
      <c r="C594" s="1">
        <v>43742</v>
      </c>
      <c r="D594">
        <v>588000</v>
      </c>
      <c r="E594" t="s">
        <v>60</v>
      </c>
      <c r="F594">
        <v>1984</v>
      </c>
      <c r="G594">
        <v>3900</v>
      </c>
      <c r="H594" t="s">
        <v>213</v>
      </c>
      <c r="I594" t="str">
        <f t="shared" si="9"/>
        <v>25</v>
      </c>
      <c r="J594">
        <v>60025</v>
      </c>
      <c r="K594">
        <v>2950</v>
      </c>
      <c r="L594">
        <v>8</v>
      </c>
      <c r="M594">
        <v>2</v>
      </c>
      <c r="N594">
        <v>1</v>
      </c>
      <c r="O594" t="s">
        <v>25</v>
      </c>
      <c r="P594">
        <v>4</v>
      </c>
      <c r="Q594">
        <v>0</v>
      </c>
      <c r="R594" t="s">
        <v>26</v>
      </c>
      <c r="S594">
        <v>2</v>
      </c>
      <c r="V594" t="s">
        <v>67</v>
      </c>
    </row>
    <row r="595" spans="1:22" x14ac:dyDescent="0.45">
      <c r="A595" t="str">
        <f>"10736258"</f>
        <v>10736258</v>
      </c>
      <c r="B595" t="s">
        <v>22</v>
      </c>
      <c r="C595" s="1">
        <v>44155</v>
      </c>
      <c r="D595">
        <v>589000</v>
      </c>
      <c r="E595" t="s">
        <v>60</v>
      </c>
      <c r="F595">
        <v>1983</v>
      </c>
      <c r="G595">
        <v>1025</v>
      </c>
      <c r="H595" t="s">
        <v>268</v>
      </c>
      <c r="I595" t="str">
        <f t="shared" si="9"/>
        <v>25</v>
      </c>
      <c r="J595">
        <v>60025</v>
      </c>
      <c r="K595">
        <v>3580</v>
      </c>
      <c r="L595">
        <v>9</v>
      </c>
      <c r="M595">
        <v>2</v>
      </c>
      <c r="N595">
        <v>1</v>
      </c>
      <c r="O595" t="s">
        <v>41</v>
      </c>
      <c r="P595">
        <v>5</v>
      </c>
      <c r="Q595">
        <v>0</v>
      </c>
      <c r="R595" t="s">
        <v>26</v>
      </c>
      <c r="S595">
        <v>2</v>
      </c>
      <c r="U595">
        <v>1600</v>
      </c>
      <c r="V595" t="s">
        <v>67</v>
      </c>
    </row>
    <row r="596" spans="1:22" x14ac:dyDescent="0.45">
      <c r="A596" t="str">
        <f>"10443152"</f>
        <v>10443152</v>
      </c>
      <c r="B596" t="s">
        <v>22</v>
      </c>
      <c r="C596" s="1">
        <v>43689</v>
      </c>
      <c r="D596">
        <v>590000</v>
      </c>
      <c r="E596" t="s">
        <v>37</v>
      </c>
      <c r="F596">
        <v>1958</v>
      </c>
      <c r="G596">
        <v>1105</v>
      </c>
      <c r="H596" t="s">
        <v>170</v>
      </c>
      <c r="I596" t="str">
        <f t="shared" si="9"/>
        <v>25</v>
      </c>
      <c r="J596">
        <v>60025</v>
      </c>
      <c r="K596">
        <v>2100</v>
      </c>
      <c r="L596">
        <v>10</v>
      </c>
      <c r="M596">
        <v>2</v>
      </c>
      <c r="N596">
        <v>1</v>
      </c>
      <c r="O596" t="s">
        <v>41</v>
      </c>
      <c r="P596">
        <v>3</v>
      </c>
      <c r="Q596">
        <v>0</v>
      </c>
      <c r="R596" t="s">
        <v>26</v>
      </c>
      <c r="S596">
        <v>2</v>
      </c>
      <c r="V596" t="s">
        <v>36</v>
      </c>
    </row>
    <row r="597" spans="1:22" x14ac:dyDescent="0.45">
      <c r="A597" t="str">
        <f>"10741946"</f>
        <v>10741946</v>
      </c>
      <c r="B597" t="s">
        <v>22</v>
      </c>
      <c r="C597" s="1">
        <v>44032</v>
      </c>
      <c r="D597">
        <v>590000</v>
      </c>
      <c r="E597" t="s">
        <v>23</v>
      </c>
      <c r="F597">
        <v>1950</v>
      </c>
      <c r="G597">
        <v>650</v>
      </c>
      <c r="H597" t="s">
        <v>151</v>
      </c>
      <c r="I597" t="str">
        <f t="shared" si="9"/>
        <v>25</v>
      </c>
      <c r="J597">
        <v>60025</v>
      </c>
      <c r="K597">
        <v>1950</v>
      </c>
      <c r="L597">
        <v>9</v>
      </c>
      <c r="M597">
        <v>2</v>
      </c>
      <c r="N597">
        <v>1</v>
      </c>
      <c r="O597" t="s">
        <v>41</v>
      </c>
      <c r="P597">
        <v>3</v>
      </c>
      <c r="Q597">
        <v>0</v>
      </c>
      <c r="R597" t="s">
        <v>26</v>
      </c>
      <c r="S597">
        <v>2</v>
      </c>
      <c r="V597" t="s">
        <v>27</v>
      </c>
    </row>
    <row r="598" spans="1:22" x14ac:dyDescent="0.45">
      <c r="A598" t="str">
        <f>"10681309"</f>
        <v>10681309</v>
      </c>
      <c r="B598" t="s">
        <v>22</v>
      </c>
      <c r="C598" s="1">
        <v>44095</v>
      </c>
      <c r="D598">
        <v>590000</v>
      </c>
      <c r="E598" t="s">
        <v>302</v>
      </c>
      <c r="F598">
        <v>1959</v>
      </c>
      <c r="G598">
        <v>2913</v>
      </c>
      <c r="H598" t="s">
        <v>51</v>
      </c>
      <c r="I598" t="str">
        <f t="shared" si="9"/>
        <v>25</v>
      </c>
      <c r="J598">
        <v>60025</v>
      </c>
      <c r="K598">
        <v>3400</v>
      </c>
      <c r="L598">
        <v>11</v>
      </c>
      <c r="M598">
        <v>3</v>
      </c>
      <c r="N598">
        <v>2</v>
      </c>
      <c r="O598" t="s">
        <v>41</v>
      </c>
      <c r="P598">
        <v>5</v>
      </c>
      <c r="Q598">
        <v>0</v>
      </c>
      <c r="R598" t="s">
        <v>26</v>
      </c>
      <c r="S598">
        <v>2</v>
      </c>
      <c r="V598" t="s">
        <v>303</v>
      </c>
    </row>
    <row r="599" spans="1:22" x14ac:dyDescent="0.45">
      <c r="A599" t="str">
        <f>"10607235"</f>
        <v>10607235</v>
      </c>
      <c r="B599" t="s">
        <v>22</v>
      </c>
      <c r="C599" s="1">
        <v>43875</v>
      </c>
      <c r="D599">
        <v>590000</v>
      </c>
      <c r="E599" t="s">
        <v>60</v>
      </c>
      <c r="F599">
        <v>1976</v>
      </c>
      <c r="G599">
        <v>3623</v>
      </c>
      <c r="H599" t="s">
        <v>295</v>
      </c>
      <c r="I599" t="str">
        <f t="shared" si="9"/>
        <v>25</v>
      </c>
      <c r="J599">
        <v>60026</v>
      </c>
      <c r="K599">
        <v>2685</v>
      </c>
      <c r="L599">
        <v>9</v>
      </c>
      <c r="M599">
        <v>3</v>
      </c>
      <c r="N599">
        <v>1</v>
      </c>
      <c r="O599" t="s">
        <v>41</v>
      </c>
      <c r="P599">
        <v>4</v>
      </c>
      <c r="Q599">
        <v>0</v>
      </c>
      <c r="R599" t="s">
        <v>192</v>
      </c>
      <c r="S599">
        <v>4</v>
      </c>
    </row>
    <row r="600" spans="1:22" x14ac:dyDescent="0.45">
      <c r="A600" t="str">
        <f>"10421523"</f>
        <v>10421523</v>
      </c>
      <c r="B600" t="s">
        <v>22</v>
      </c>
      <c r="C600" s="1">
        <v>43950</v>
      </c>
      <c r="D600">
        <v>590000</v>
      </c>
      <c r="E600" t="s">
        <v>60</v>
      </c>
      <c r="F600">
        <v>2002</v>
      </c>
      <c r="G600">
        <v>2548</v>
      </c>
      <c r="H600" t="s">
        <v>304</v>
      </c>
      <c r="I600" t="str">
        <f t="shared" si="9"/>
        <v>25</v>
      </c>
      <c r="J600">
        <v>60026</v>
      </c>
      <c r="K600">
        <v>2030</v>
      </c>
      <c r="L600">
        <v>9</v>
      </c>
      <c r="M600">
        <v>3</v>
      </c>
      <c r="N600">
        <v>1</v>
      </c>
      <c r="O600" t="s">
        <v>41</v>
      </c>
      <c r="P600">
        <v>3</v>
      </c>
      <c r="Q600">
        <v>1</v>
      </c>
      <c r="R600" t="s">
        <v>35</v>
      </c>
      <c r="S600">
        <v>2</v>
      </c>
      <c r="V600" t="s">
        <v>305</v>
      </c>
    </row>
    <row r="601" spans="1:22" x14ac:dyDescent="0.45">
      <c r="A601" t="str">
        <f>"10081638"</f>
        <v>10081638</v>
      </c>
      <c r="B601" t="s">
        <v>22</v>
      </c>
      <c r="C601" s="1">
        <v>43482</v>
      </c>
      <c r="D601">
        <v>592500</v>
      </c>
      <c r="E601" t="s">
        <v>60</v>
      </c>
      <c r="F601">
        <v>1963</v>
      </c>
      <c r="G601">
        <v>1314</v>
      </c>
      <c r="H601" t="s">
        <v>306</v>
      </c>
      <c r="I601" t="str">
        <f t="shared" si="9"/>
        <v>25</v>
      </c>
      <c r="J601">
        <v>60025</v>
      </c>
      <c r="K601">
        <v>0</v>
      </c>
      <c r="L601">
        <v>8</v>
      </c>
      <c r="M601">
        <v>3</v>
      </c>
      <c r="N601">
        <v>0</v>
      </c>
      <c r="O601" t="s">
        <v>25</v>
      </c>
      <c r="P601">
        <v>4</v>
      </c>
      <c r="Q601">
        <v>0</v>
      </c>
      <c r="R601" t="s">
        <v>26</v>
      </c>
      <c r="S601">
        <v>2</v>
      </c>
      <c r="V601" t="s">
        <v>71</v>
      </c>
    </row>
    <row r="602" spans="1:22" x14ac:dyDescent="0.45">
      <c r="A602" t="str">
        <f>"10748694"</f>
        <v>10748694</v>
      </c>
      <c r="B602" t="s">
        <v>22</v>
      </c>
      <c r="C602" s="1">
        <v>44054</v>
      </c>
      <c r="D602">
        <v>595000</v>
      </c>
      <c r="E602" t="s">
        <v>60</v>
      </c>
      <c r="F602">
        <v>2000</v>
      </c>
      <c r="G602">
        <v>805</v>
      </c>
      <c r="H602" t="s">
        <v>62</v>
      </c>
      <c r="I602" t="str">
        <f t="shared" si="9"/>
        <v>25</v>
      </c>
      <c r="J602">
        <v>60025</v>
      </c>
      <c r="K602">
        <v>2802</v>
      </c>
      <c r="L602">
        <v>9</v>
      </c>
      <c r="M602">
        <v>3</v>
      </c>
      <c r="N602">
        <v>1</v>
      </c>
      <c r="O602" t="s">
        <v>41</v>
      </c>
      <c r="P602">
        <v>4</v>
      </c>
      <c r="Q602">
        <v>0</v>
      </c>
      <c r="R602" t="s">
        <v>26</v>
      </c>
      <c r="S602">
        <v>2</v>
      </c>
      <c r="U602">
        <v>1800</v>
      </c>
      <c r="V602" t="s">
        <v>176</v>
      </c>
    </row>
    <row r="603" spans="1:22" x14ac:dyDescent="0.45">
      <c r="A603" t="str">
        <f>"10886739"</f>
        <v>10886739</v>
      </c>
      <c r="B603" t="s">
        <v>22</v>
      </c>
      <c r="C603" s="1">
        <v>44166</v>
      </c>
      <c r="D603">
        <v>595000</v>
      </c>
      <c r="E603" t="s">
        <v>60</v>
      </c>
      <c r="F603">
        <v>1952</v>
      </c>
      <c r="G603">
        <v>720</v>
      </c>
      <c r="H603" t="s">
        <v>116</v>
      </c>
      <c r="I603" t="str">
        <f t="shared" si="9"/>
        <v>25</v>
      </c>
      <c r="J603">
        <v>60025</v>
      </c>
      <c r="K603">
        <v>2311</v>
      </c>
      <c r="L603">
        <v>9</v>
      </c>
      <c r="M603">
        <v>2</v>
      </c>
      <c r="N603">
        <v>1</v>
      </c>
      <c r="O603" t="s">
        <v>25</v>
      </c>
      <c r="P603">
        <v>4</v>
      </c>
      <c r="Q603">
        <v>0</v>
      </c>
      <c r="R603" t="s">
        <v>26</v>
      </c>
      <c r="S603">
        <v>1</v>
      </c>
      <c r="V603" t="s">
        <v>33</v>
      </c>
    </row>
    <row r="604" spans="1:22" x14ac:dyDescent="0.45">
      <c r="A604" t="str">
        <f>"10632031"</f>
        <v>10632031</v>
      </c>
      <c r="B604" t="s">
        <v>22</v>
      </c>
      <c r="C604" s="1">
        <v>44055</v>
      </c>
      <c r="D604">
        <v>595000</v>
      </c>
      <c r="E604" t="s">
        <v>60</v>
      </c>
      <c r="F604">
        <v>1966</v>
      </c>
      <c r="G604">
        <v>1416</v>
      </c>
      <c r="H604" t="s">
        <v>307</v>
      </c>
      <c r="I604" t="str">
        <f t="shared" si="9"/>
        <v>25</v>
      </c>
      <c r="J604">
        <v>60025</v>
      </c>
      <c r="K604">
        <v>2654</v>
      </c>
      <c r="L604">
        <v>10</v>
      </c>
      <c r="M604">
        <v>2</v>
      </c>
      <c r="N604">
        <v>1</v>
      </c>
      <c r="O604" t="s">
        <v>25</v>
      </c>
      <c r="P604">
        <v>4</v>
      </c>
      <c r="Q604">
        <v>0</v>
      </c>
      <c r="R604" t="s">
        <v>26</v>
      </c>
      <c r="S604">
        <v>2.5</v>
      </c>
      <c r="V604" t="s">
        <v>67</v>
      </c>
    </row>
    <row r="605" spans="1:22" x14ac:dyDescent="0.45">
      <c r="A605" t="str">
        <f>"10674665"</f>
        <v>10674665</v>
      </c>
      <c r="B605" t="s">
        <v>22</v>
      </c>
      <c r="C605" s="1">
        <v>43917</v>
      </c>
      <c r="D605">
        <v>599000</v>
      </c>
      <c r="E605" t="s">
        <v>60</v>
      </c>
      <c r="F605">
        <v>1974</v>
      </c>
      <c r="G605">
        <v>1204</v>
      </c>
      <c r="H605" t="s">
        <v>82</v>
      </c>
      <c r="I605" t="str">
        <f t="shared" si="9"/>
        <v>25</v>
      </c>
      <c r="J605">
        <v>60025</v>
      </c>
      <c r="K605">
        <v>4194</v>
      </c>
      <c r="L605">
        <v>11</v>
      </c>
      <c r="M605">
        <v>3</v>
      </c>
      <c r="N605">
        <v>1</v>
      </c>
      <c r="O605" t="s">
        <v>41</v>
      </c>
      <c r="P605">
        <v>4</v>
      </c>
      <c r="Q605">
        <v>1</v>
      </c>
      <c r="R605" t="s">
        <v>26</v>
      </c>
      <c r="S605">
        <v>2</v>
      </c>
      <c r="U605">
        <v>1222</v>
      </c>
    </row>
    <row r="606" spans="1:22" x14ac:dyDescent="0.45">
      <c r="A606" t="str">
        <f>"10905921"</f>
        <v>10905921</v>
      </c>
      <c r="B606" t="s">
        <v>22</v>
      </c>
      <c r="C606" s="1">
        <v>44172</v>
      </c>
      <c r="D606">
        <v>599000</v>
      </c>
      <c r="E606" t="s">
        <v>60</v>
      </c>
      <c r="F606">
        <v>1988</v>
      </c>
      <c r="G606">
        <v>800</v>
      </c>
      <c r="H606" t="s">
        <v>44</v>
      </c>
      <c r="I606" t="str">
        <f t="shared" si="9"/>
        <v>25</v>
      </c>
      <c r="J606">
        <v>60025</v>
      </c>
      <c r="K606">
        <v>3122</v>
      </c>
      <c r="L606">
        <v>10</v>
      </c>
      <c r="M606">
        <v>3</v>
      </c>
      <c r="N606">
        <v>0</v>
      </c>
      <c r="O606" t="s">
        <v>25</v>
      </c>
      <c r="P606">
        <v>4</v>
      </c>
      <c r="Q606">
        <v>0</v>
      </c>
      <c r="R606" t="s">
        <v>26</v>
      </c>
      <c r="S606">
        <v>2.5</v>
      </c>
      <c r="U606">
        <v>400</v>
      </c>
    </row>
    <row r="607" spans="1:22" x14ac:dyDescent="0.45">
      <c r="A607" t="str">
        <f>"10746243"</f>
        <v>10746243</v>
      </c>
      <c r="B607" t="s">
        <v>22</v>
      </c>
      <c r="C607" s="1">
        <v>44036</v>
      </c>
      <c r="D607">
        <v>600000</v>
      </c>
      <c r="E607" t="s">
        <v>64</v>
      </c>
      <c r="F607">
        <v>1960</v>
      </c>
      <c r="G607">
        <v>3027</v>
      </c>
      <c r="H607" t="s">
        <v>239</v>
      </c>
      <c r="I607" t="str">
        <f t="shared" si="9"/>
        <v>25</v>
      </c>
      <c r="J607">
        <v>60025</v>
      </c>
      <c r="K607">
        <v>0</v>
      </c>
      <c r="L607">
        <v>8</v>
      </c>
      <c r="M607">
        <v>3</v>
      </c>
      <c r="N607">
        <v>0</v>
      </c>
      <c r="O607" t="s">
        <v>41</v>
      </c>
      <c r="P607">
        <v>4</v>
      </c>
      <c r="Q607">
        <v>0</v>
      </c>
      <c r="R607" t="s">
        <v>35</v>
      </c>
      <c r="S607">
        <v>2</v>
      </c>
      <c r="V607" t="s">
        <v>67</v>
      </c>
    </row>
    <row r="608" spans="1:22" x14ac:dyDescent="0.45">
      <c r="A608" t="str">
        <f>"10269469"</f>
        <v>10269469</v>
      </c>
      <c r="B608" t="s">
        <v>22</v>
      </c>
      <c r="C608" s="1">
        <v>43630</v>
      </c>
      <c r="D608">
        <v>600000</v>
      </c>
      <c r="E608" t="s">
        <v>60</v>
      </c>
      <c r="F608">
        <v>1951</v>
      </c>
      <c r="G608">
        <v>1733</v>
      </c>
      <c r="H608" t="s">
        <v>308</v>
      </c>
      <c r="I608" t="str">
        <f t="shared" si="9"/>
        <v>25</v>
      </c>
      <c r="J608">
        <v>60025</v>
      </c>
      <c r="K608">
        <v>0</v>
      </c>
      <c r="L608">
        <v>10</v>
      </c>
      <c r="M608">
        <v>3</v>
      </c>
      <c r="N608">
        <v>0</v>
      </c>
      <c r="O608" t="s">
        <v>41</v>
      </c>
      <c r="P608">
        <v>4</v>
      </c>
      <c r="Q608">
        <v>0</v>
      </c>
      <c r="R608" t="s">
        <v>35</v>
      </c>
      <c r="S608">
        <v>2.5</v>
      </c>
      <c r="V608" t="s">
        <v>33</v>
      </c>
    </row>
    <row r="609" spans="1:22" x14ac:dyDescent="0.45">
      <c r="A609" t="str">
        <f>"10640592"</f>
        <v>10640592</v>
      </c>
      <c r="B609" t="s">
        <v>22</v>
      </c>
      <c r="C609" s="1">
        <v>44113</v>
      </c>
      <c r="D609">
        <v>600000</v>
      </c>
      <c r="E609" t="s">
        <v>60</v>
      </c>
      <c r="F609">
        <v>1992</v>
      </c>
      <c r="G609">
        <v>2122</v>
      </c>
      <c r="H609" t="s">
        <v>309</v>
      </c>
      <c r="I609" t="str">
        <f t="shared" si="9"/>
        <v>25</v>
      </c>
      <c r="J609">
        <v>60026</v>
      </c>
      <c r="K609">
        <v>3252</v>
      </c>
      <c r="L609">
        <v>9</v>
      </c>
      <c r="M609">
        <v>2</v>
      </c>
      <c r="N609">
        <v>1</v>
      </c>
      <c r="O609" t="s">
        <v>25</v>
      </c>
      <c r="P609">
        <v>4</v>
      </c>
      <c r="Q609">
        <v>0</v>
      </c>
      <c r="R609" t="s">
        <v>26</v>
      </c>
      <c r="S609">
        <v>2</v>
      </c>
    </row>
    <row r="610" spans="1:22" x14ac:dyDescent="0.45">
      <c r="A610" t="str">
        <f>"10602725"</f>
        <v>10602725</v>
      </c>
      <c r="B610" t="s">
        <v>22</v>
      </c>
      <c r="C610" s="1">
        <v>43889</v>
      </c>
      <c r="D610">
        <v>600000</v>
      </c>
      <c r="E610" t="s">
        <v>60</v>
      </c>
      <c r="F610">
        <v>1942</v>
      </c>
      <c r="G610">
        <v>39</v>
      </c>
      <c r="H610" t="s">
        <v>190</v>
      </c>
      <c r="I610" t="str">
        <f t="shared" si="9"/>
        <v>25</v>
      </c>
      <c r="J610">
        <v>60029</v>
      </c>
      <c r="K610">
        <v>0</v>
      </c>
      <c r="L610">
        <v>8</v>
      </c>
      <c r="M610">
        <v>2</v>
      </c>
      <c r="N610">
        <v>1</v>
      </c>
      <c r="O610" t="s">
        <v>25</v>
      </c>
      <c r="P610">
        <v>3</v>
      </c>
      <c r="Q610">
        <v>0</v>
      </c>
      <c r="R610" t="s">
        <v>26</v>
      </c>
      <c r="S610">
        <v>2</v>
      </c>
      <c r="V610" t="s">
        <v>67</v>
      </c>
    </row>
    <row r="611" spans="1:22" x14ac:dyDescent="0.45">
      <c r="A611" t="str">
        <f>"10612842"</f>
        <v>10612842</v>
      </c>
      <c r="B611" t="s">
        <v>22</v>
      </c>
      <c r="C611" s="1">
        <v>43881</v>
      </c>
      <c r="D611">
        <v>601000</v>
      </c>
      <c r="E611" t="s">
        <v>23</v>
      </c>
      <c r="F611">
        <v>1954</v>
      </c>
      <c r="G611">
        <v>1010</v>
      </c>
      <c r="H611" t="s">
        <v>310</v>
      </c>
      <c r="I611" t="str">
        <f t="shared" si="9"/>
        <v>25</v>
      </c>
      <c r="J611">
        <v>60025</v>
      </c>
      <c r="K611">
        <v>1771</v>
      </c>
      <c r="L611">
        <v>7</v>
      </c>
      <c r="M611">
        <v>2</v>
      </c>
      <c r="N611">
        <v>0</v>
      </c>
      <c r="O611" t="s">
        <v>41</v>
      </c>
      <c r="P611">
        <v>3</v>
      </c>
      <c r="Q611">
        <v>0</v>
      </c>
      <c r="R611" t="s">
        <v>26</v>
      </c>
      <c r="S611">
        <v>2</v>
      </c>
      <c r="V611" t="s">
        <v>311</v>
      </c>
    </row>
    <row r="612" spans="1:22" x14ac:dyDescent="0.45">
      <c r="A612" t="str">
        <f>"10659573"</f>
        <v>10659573</v>
      </c>
      <c r="B612" t="s">
        <v>22</v>
      </c>
      <c r="C612" s="1">
        <v>43951</v>
      </c>
      <c r="D612">
        <v>601000</v>
      </c>
      <c r="E612" t="s">
        <v>60</v>
      </c>
      <c r="F612">
        <v>1962</v>
      </c>
      <c r="G612">
        <v>1302</v>
      </c>
      <c r="H612" t="s">
        <v>306</v>
      </c>
      <c r="I612" t="str">
        <f t="shared" si="9"/>
        <v>25</v>
      </c>
      <c r="J612">
        <v>60025</v>
      </c>
      <c r="K612">
        <v>2254</v>
      </c>
      <c r="L612">
        <v>9</v>
      </c>
      <c r="M612">
        <v>2</v>
      </c>
      <c r="N612">
        <v>1</v>
      </c>
      <c r="O612" t="s">
        <v>25</v>
      </c>
      <c r="P612">
        <v>4</v>
      </c>
      <c r="Q612">
        <v>0</v>
      </c>
      <c r="R612" t="s">
        <v>26</v>
      </c>
      <c r="S612">
        <v>2.5</v>
      </c>
      <c r="V612" t="s">
        <v>67</v>
      </c>
    </row>
    <row r="613" spans="1:22" x14ac:dyDescent="0.45">
      <c r="A613" t="str">
        <f>"10693303"</f>
        <v>10693303</v>
      </c>
      <c r="B613" t="s">
        <v>22</v>
      </c>
      <c r="C613" s="1">
        <v>44041</v>
      </c>
      <c r="D613">
        <v>603000</v>
      </c>
      <c r="E613" t="s">
        <v>64</v>
      </c>
      <c r="F613">
        <v>1944</v>
      </c>
      <c r="G613">
        <v>2247</v>
      </c>
      <c r="H613" t="s">
        <v>115</v>
      </c>
      <c r="I613" t="str">
        <f t="shared" si="9"/>
        <v>25</v>
      </c>
      <c r="J613">
        <v>60025</v>
      </c>
      <c r="K613">
        <v>3207</v>
      </c>
      <c r="L613">
        <v>11</v>
      </c>
      <c r="M613">
        <v>2</v>
      </c>
      <c r="N613">
        <v>1</v>
      </c>
      <c r="O613" t="s">
        <v>25</v>
      </c>
      <c r="P613">
        <v>5</v>
      </c>
      <c r="Q613">
        <v>0</v>
      </c>
      <c r="R613" t="s">
        <v>26</v>
      </c>
      <c r="S613">
        <v>2</v>
      </c>
      <c r="V613" t="s">
        <v>67</v>
      </c>
    </row>
    <row r="614" spans="1:22" x14ac:dyDescent="0.45">
      <c r="A614" t="str">
        <f>"10634012"</f>
        <v>10634012</v>
      </c>
      <c r="B614" t="s">
        <v>22</v>
      </c>
      <c r="C614" s="1">
        <v>43951</v>
      </c>
      <c r="D614">
        <v>605000</v>
      </c>
      <c r="E614" t="s">
        <v>37</v>
      </c>
      <c r="F614">
        <v>1961</v>
      </c>
      <c r="G614">
        <v>1911</v>
      </c>
      <c r="H614" t="s">
        <v>76</v>
      </c>
      <c r="I614" t="str">
        <f t="shared" si="9"/>
        <v>25</v>
      </c>
      <c r="J614">
        <v>60025</v>
      </c>
      <c r="K614">
        <v>0</v>
      </c>
      <c r="L614">
        <v>8</v>
      </c>
      <c r="M614">
        <v>2</v>
      </c>
      <c r="N614">
        <v>0</v>
      </c>
      <c r="O614" t="s">
        <v>41</v>
      </c>
      <c r="P614">
        <v>3</v>
      </c>
      <c r="Q614">
        <v>0</v>
      </c>
      <c r="R614" t="s">
        <v>35</v>
      </c>
      <c r="S614">
        <v>3</v>
      </c>
    </row>
    <row r="615" spans="1:22" x14ac:dyDescent="0.45">
      <c r="A615" t="str">
        <f>"10921533"</f>
        <v>10921533</v>
      </c>
      <c r="B615" t="s">
        <v>22</v>
      </c>
      <c r="C615" s="1">
        <v>44196</v>
      </c>
      <c r="D615">
        <v>605000</v>
      </c>
      <c r="E615" t="s">
        <v>37</v>
      </c>
      <c r="F615">
        <v>1966</v>
      </c>
      <c r="G615">
        <v>1409</v>
      </c>
      <c r="H615" t="s">
        <v>312</v>
      </c>
      <c r="I615" t="str">
        <f t="shared" si="9"/>
        <v>25</v>
      </c>
      <c r="J615">
        <v>60025</v>
      </c>
      <c r="K615">
        <v>0</v>
      </c>
      <c r="L615">
        <v>11</v>
      </c>
      <c r="M615">
        <v>2</v>
      </c>
      <c r="N615">
        <v>1</v>
      </c>
      <c r="O615" t="s">
        <v>25</v>
      </c>
      <c r="P615">
        <v>4</v>
      </c>
      <c r="Q615">
        <v>0</v>
      </c>
      <c r="R615" t="s">
        <v>26</v>
      </c>
      <c r="S615">
        <v>2.5</v>
      </c>
      <c r="V615" t="s">
        <v>36</v>
      </c>
    </row>
    <row r="616" spans="1:22" x14ac:dyDescent="0.45">
      <c r="A616" t="str">
        <f>"10727131"</f>
        <v>10727131</v>
      </c>
      <c r="B616" t="s">
        <v>22</v>
      </c>
      <c r="C616" s="1">
        <v>44049</v>
      </c>
      <c r="D616">
        <v>605000</v>
      </c>
      <c r="E616" t="s">
        <v>60</v>
      </c>
      <c r="F616">
        <v>2001</v>
      </c>
      <c r="G616">
        <v>3850</v>
      </c>
      <c r="H616" t="s">
        <v>76</v>
      </c>
      <c r="I616" t="str">
        <f t="shared" si="9"/>
        <v>25</v>
      </c>
      <c r="J616">
        <v>60025</v>
      </c>
      <c r="K616">
        <v>3331</v>
      </c>
      <c r="L616">
        <v>10</v>
      </c>
      <c r="M616">
        <v>2</v>
      </c>
      <c r="N616">
        <v>1</v>
      </c>
      <c r="O616" t="s">
        <v>25</v>
      </c>
      <c r="P616">
        <v>4</v>
      </c>
      <c r="Q616">
        <v>0</v>
      </c>
      <c r="R616" t="s">
        <v>26</v>
      </c>
      <c r="S616">
        <v>2</v>
      </c>
    </row>
    <row r="617" spans="1:22" x14ac:dyDescent="0.45">
      <c r="A617" t="str">
        <f>"10656109"</f>
        <v>10656109</v>
      </c>
      <c r="B617" t="s">
        <v>22</v>
      </c>
      <c r="C617" s="1">
        <v>44123</v>
      </c>
      <c r="D617">
        <v>607000</v>
      </c>
      <c r="E617" t="s">
        <v>60</v>
      </c>
      <c r="F617">
        <v>1992</v>
      </c>
      <c r="G617">
        <v>2114</v>
      </c>
      <c r="H617" t="s">
        <v>309</v>
      </c>
      <c r="I617" t="str">
        <f t="shared" si="9"/>
        <v>25</v>
      </c>
      <c r="J617">
        <v>60026</v>
      </c>
      <c r="K617">
        <v>3111</v>
      </c>
      <c r="L617">
        <v>10</v>
      </c>
      <c r="M617">
        <v>2</v>
      </c>
      <c r="N617">
        <v>1</v>
      </c>
      <c r="O617" t="s">
        <v>25</v>
      </c>
      <c r="P617">
        <v>4</v>
      </c>
      <c r="Q617">
        <v>0</v>
      </c>
      <c r="R617" t="s">
        <v>26</v>
      </c>
      <c r="S617">
        <v>3</v>
      </c>
    </row>
    <row r="618" spans="1:22" x14ac:dyDescent="0.45">
      <c r="A618" t="str">
        <f>"10813862"</f>
        <v>10813862</v>
      </c>
      <c r="B618" t="s">
        <v>22</v>
      </c>
      <c r="C618" s="1">
        <v>44091</v>
      </c>
      <c r="D618">
        <v>610000</v>
      </c>
      <c r="E618" t="s">
        <v>23</v>
      </c>
      <c r="F618">
        <v>1955</v>
      </c>
      <c r="G618">
        <v>729</v>
      </c>
      <c r="H618" t="s">
        <v>278</v>
      </c>
      <c r="I618" t="str">
        <f t="shared" si="9"/>
        <v>25</v>
      </c>
      <c r="J618">
        <v>60025</v>
      </c>
      <c r="K618">
        <v>3115</v>
      </c>
      <c r="L618">
        <v>9</v>
      </c>
      <c r="M618">
        <v>2</v>
      </c>
      <c r="N618">
        <v>0</v>
      </c>
      <c r="O618" t="s">
        <v>25</v>
      </c>
      <c r="P618">
        <v>3</v>
      </c>
      <c r="Q618">
        <v>1</v>
      </c>
      <c r="R618" t="s">
        <v>26</v>
      </c>
      <c r="S618">
        <v>2</v>
      </c>
      <c r="V618" t="s">
        <v>27</v>
      </c>
    </row>
    <row r="619" spans="1:22" x14ac:dyDescent="0.45">
      <c r="A619" t="str">
        <f>"10553789"</f>
        <v>10553789</v>
      </c>
      <c r="B619" t="s">
        <v>22</v>
      </c>
      <c r="C619" s="1">
        <v>43818</v>
      </c>
      <c r="D619">
        <v>610000</v>
      </c>
      <c r="E619" t="s">
        <v>64</v>
      </c>
      <c r="F619">
        <v>1952</v>
      </c>
      <c r="G619">
        <v>2245</v>
      </c>
      <c r="H619" t="s">
        <v>86</v>
      </c>
      <c r="I619" t="str">
        <f t="shared" si="9"/>
        <v>25</v>
      </c>
      <c r="J619">
        <v>60638</v>
      </c>
      <c r="K619">
        <v>3779</v>
      </c>
      <c r="L619">
        <v>12</v>
      </c>
      <c r="M619">
        <v>4</v>
      </c>
      <c r="N619">
        <v>0</v>
      </c>
      <c r="O619" t="s">
        <v>25</v>
      </c>
      <c r="P619">
        <v>4</v>
      </c>
      <c r="Q619">
        <v>0</v>
      </c>
      <c r="R619" t="s">
        <v>35</v>
      </c>
      <c r="S619">
        <v>3</v>
      </c>
      <c r="T619">
        <v>6</v>
      </c>
      <c r="U619">
        <v>367</v>
      </c>
      <c r="V619" t="s">
        <v>196</v>
      </c>
    </row>
    <row r="620" spans="1:22" x14ac:dyDescent="0.45">
      <c r="A620" t="str">
        <f>"10362095"</f>
        <v>10362095</v>
      </c>
      <c r="B620" t="s">
        <v>22</v>
      </c>
      <c r="C620" s="1">
        <v>43665</v>
      </c>
      <c r="D620">
        <v>610000</v>
      </c>
      <c r="E620" t="s">
        <v>60</v>
      </c>
      <c r="F620">
        <v>2001</v>
      </c>
      <c r="G620">
        <v>3215</v>
      </c>
      <c r="H620" t="s">
        <v>28</v>
      </c>
      <c r="I620" t="str">
        <f t="shared" si="9"/>
        <v>25</v>
      </c>
      <c r="J620">
        <v>60025</v>
      </c>
      <c r="K620">
        <v>3892</v>
      </c>
      <c r="L620">
        <v>14</v>
      </c>
      <c r="M620">
        <v>4</v>
      </c>
      <c r="N620">
        <v>1</v>
      </c>
      <c r="O620" t="s">
        <v>41</v>
      </c>
      <c r="P620">
        <v>5</v>
      </c>
      <c r="Q620">
        <v>0</v>
      </c>
      <c r="R620" t="s">
        <v>26</v>
      </c>
      <c r="S620">
        <v>2</v>
      </c>
    </row>
    <row r="621" spans="1:22" x14ac:dyDescent="0.45">
      <c r="A621" t="str">
        <f>"10517100"</f>
        <v>10517100</v>
      </c>
      <c r="B621" t="s">
        <v>22</v>
      </c>
      <c r="C621" s="1">
        <v>43819</v>
      </c>
      <c r="D621">
        <v>610000</v>
      </c>
      <c r="E621" t="s">
        <v>60</v>
      </c>
      <c r="F621">
        <v>1973</v>
      </c>
      <c r="G621">
        <v>3914</v>
      </c>
      <c r="H621" t="s">
        <v>215</v>
      </c>
      <c r="I621" t="str">
        <f t="shared" si="9"/>
        <v>25</v>
      </c>
      <c r="J621">
        <v>60026</v>
      </c>
      <c r="K621">
        <v>2683</v>
      </c>
      <c r="L621">
        <v>12</v>
      </c>
      <c r="M621">
        <v>2</v>
      </c>
      <c r="N621">
        <v>2</v>
      </c>
      <c r="O621" t="s">
        <v>41</v>
      </c>
      <c r="P621">
        <v>4</v>
      </c>
      <c r="Q621">
        <v>0</v>
      </c>
      <c r="R621" t="s">
        <v>26</v>
      </c>
      <c r="S621">
        <v>2</v>
      </c>
      <c r="V621" t="s">
        <v>67</v>
      </c>
    </row>
    <row r="622" spans="1:22" x14ac:dyDescent="0.45">
      <c r="A622" t="str">
        <f>"10397935"</f>
        <v>10397935</v>
      </c>
      <c r="B622" t="s">
        <v>22</v>
      </c>
      <c r="C622" s="1">
        <v>43885</v>
      </c>
      <c r="D622">
        <v>610000</v>
      </c>
      <c r="E622" t="s">
        <v>60</v>
      </c>
      <c r="F622">
        <v>1980</v>
      </c>
      <c r="G622">
        <v>3910</v>
      </c>
      <c r="H622" t="s">
        <v>213</v>
      </c>
      <c r="I622" t="str">
        <f t="shared" si="9"/>
        <v>25</v>
      </c>
      <c r="J622">
        <v>60025</v>
      </c>
      <c r="K622">
        <v>3744</v>
      </c>
      <c r="L622">
        <v>12</v>
      </c>
      <c r="M622">
        <v>3</v>
      </c>
      <c r="N622">
        <v>1</v>
      </c>
      <c r="O622" t="s">
        <v>25</v>
      </c>
      <c r="P622">
        <v>4</v>
      </c>
      <c r="Q622">
        <v>0</v>
      </c>
      <c r="R622" t="s">
        <v>26</v>
      </c>
      <c r="S622">
        <v>2.5</v>
      </c>
      <c r="V622" t="s">
        <v>67</v>
      </c>
    </row>
    <row r="623" spans="1:22" x14ac:dyDescent="0.45">
      <c r="A623" t="str">
        <f>"10658131"</f>
        <v>10658131</v>
      </c>
      <c r="B623" t="s">
        <v>22</v>
      </c>
      <c r="C623" s="1">
        <v>43951</v>
      </c>
      <c r="D623">
        <v>611000</v>
      </c>
      <c r="E623" t="s">
        <v>37</v>
      </c>
      <c r="F623">
        <v>1962</v>
      </c>
      <c r="G623">
        <v>1313</v>
      </c>
      <c r="H623" t="s">
        <v>198</v>
      </c>
      <c r="I623" t="str">
        <f t="shared" si="9"/>
        <v>25</v>
      </c>
      <c r="J623">
        <v>60025</v>
      </c>
      <c r="K623">
        <v>2883</v>
      </c>
      <c r="L623">
        <v>10</v>
      </c>
      <c r="M623">
        <v>4</v>
      </c>
      <c r="N623">
        <v>0</v>
      </c>
      <c r="O623" t="s">
        <v>41</v>
      </c>
      <c r="P623">
        <v>5</v>
      </c>
      <c r="Q623">
        <v>0</v>
      </c>
      <c r="R623" t="s">
        <v>26</v>
      </c>
      <c r="S623">
        <v>3</v>
      </c>
      <c r="V623" t="s">
        <v>36</v>
      </c>
    </row>
    <row r="624" spans="1:22" x14ac:dyDescent="0.45">
      <c r="A624" t="str">
        <f>"10253401"</f>
        <v>10253401</v>
      </c>
      <c r="B624" t="s">
        <v>22</v>
      </c>
      <c r="C624" s="1">
        <v>43553</v>
      </c>
      <c r="D624">
        <v>615000</v>
      </c>
      <c r="E624" t="s">
        <v>60</v>
      </c>
      <c r="F624">
        <v>1986</v>
      </c>
      <c r="G624">
        <v>1023</v>
      </c>
      <c r="H624" t="s">
        <v>313</v>
      </c>
      <c r="I624" t="str">
        <f t="shared" si="9"/>
        <v>25</v>
      </c>
      <c r="J624">
        <v>60025</v>
      </c>
      <c r="K624">
        <v>2843</v>
      </c>
      <c r="L624">
        <v>11</v>
      </c>
      <c r="M624">
        <v>2</v>
      </c>
      <c r="N624">
        <v>1</v>
      </c>
      <c r="O624" t="s">
        <v>25</v>
      </c>
      <c r="P624">
        <v>5</v>
      </c>
      <c r="Q624">
        <v>0</v>
      </c>
      <c r="R624" t="s">
        <v>26</v>
      </c>
      <c r="S624">
        <v>2</v>
      </c>
      <c r="U624">
        <v>0</v>
      </c>
    </row>
    <row r="625" spans="1:22" x14ac:dyDescent="0.45">
      <c r="A625" t="str">
        <f>"10453171"</f>
        <v>10453171</v>
      </c>
      <c r="B625" t="s">
        <v>22</v>
      </c>
      <c r="C625" s="1">
        <v>43699</v>
      </c>
      <c r="D625">
        <v>615000</v>
      </c>
      <c r="E625" t="s">
        <v>23</v>
      </c>
      <c r="F625">
        <v>1988</v>
      </c>
      <c r="G625">
        <v>2505</v>
      </c>
      <c r="H625" t="s">
        <v>314</v>
      </c>
      <c r="I625" t="str">
        <f t="shared" si="9"/>
        <v>25</v>
      </c>
      <c r="J625">
        <v>60026</v>
      </c>
      <c r="K625">
        <v>0</v>
      </c>
      <c r="L625">
        <v>8</v>
      </c>
      <c r="M625">
        <v>2</v>
      </c>
      <c r="N625">
        <v>0</v>
      </c>
      <c r="O625" t="s">
        <v>25</v>
      </c>
      <c r="P625">
        <v>3</v>
      </c>
      <c r="Q625">
        <v>0</v>
      </c>
      <c r="R625" t="s">
        <v>26</v>
      </c>
      <c r="S625">
        <v>2.5</v>
      </c>
      <c r="V625" t="s">
        <v>27</v>
      </c>
    </row>
    <row r="626" spans="1:22" x14ac:dyDescent="0.45">
      <c r="A626" t="str">
        <f>"10667020"</f>
        <v>10667020</v>
      </c>
      <c r="B626" t="s">
        <v>22</v>
      </c>
      <c r="C626" s="1">
        <v>43997</v>
      </c>
      <c r="D626">
        <v>615000</v>
      </c>
      <c r="E626" t="s">
        <v>37</v>
      </c>
      <c r="F626">
        <v>1958</v>
      </c>
      <c r="G626">
        <v>1031</v>
      </c>
      <c r="H626" t="s">
        <v>256</v>
      </c>
      <c r="I626" t="str">
        <f t="shared" si="9"/>
        <v>25</v>
      </c>
      <c r="J626">
        <v>60025</v>
      </c>
      <c r="K626">
        <v>1692</v>
      </c>
      <c r="L626">
        <v>8</v>
      </c>
      <c r="M626">
        <v>2</v>
      </c>
      <c r="N626">
        <v>1</v>
      </c>
      <c r="O626" t="s">
        <v>41</v>
      </c>
      <c r="P626">
        <v>3</v>
      </c>
      <c r="Q626">
        <v>0</v>
      </c>
      <c r="R626" t="s">
        <v>26</v>
      </c>
      <c r="S626">
        <v>2</v>
      </c>
    </row>
    <row r="627" spans="1:22" x14ac:dyDescent="0.45">
      <c r="A627" t="str">
        <f>"10616381"</f>
        <v>10616381</v>
      </c>
      <c r="B627" t="s">
        <v>22</v>
      </c>
      <c r="C627" s="1">
        <v>43966</v>
      </c>
      <c r="D627">
        <v>615000</v>
      </c>
      <c r="E627" t="s">
        <v>64</v>
      </c>
      <c r="F627">
        <v>1958</v>
      </c>
      <c r="G627">
        <v>1222</v>
      </c>
      <c r="H627" t="s">
        <v>227</v>
      </c>
      <c r="I627" t="str">
        <f t="shared" si="9"/>
        <v>25</v>
      </c>
      <c r="J627">
        <v>60025</v>
      </c>
      <c r="K627">
        <v>3905</v>
      </c>
      <c r="L627">
        <v>11</v>
      </c>
      <c r="M627">
        <v>4</v>
      </c>
      <c r="N627">
        <v>1</v>
      </c>
      <c r="O627" t="s">
        <v>41</v>
      </c>
      <c r="P627">
        <v>5</v>
      </c>
      <c r="Q627">
        <v>0</v>
      </c>
      <c r="R627" t="s">
        <v>26</v>
      </c>
      <c r="S627">
        <v>2</v>
      </c>
      <c r="V627" t="s">
        <v>315</v>
      </c>
    </row>
    <row r="628" spans="1:22" x14ac:dyDescent="0.45">
      <c r="A628" t="str">
        <f>"10761190"</f>
        <v>10761190</v>
      </c>
      <c r="B628" t="s">
        <v>22</v>
      </c>
      <c r="C628" s="1">
        <v>44123</v>
      </c>
      <c r="D628">
        <v>617000</v>
      </c>
      <c r="E628" t="s">
        <v>60</v>
      </c>
      <c r="F628">
        <v>1975</v>
      </c>
      <c r="G628">
        <v>3913</v>
      </c>
      <c r="H628" t="s">
        <v>260</v>
      </c>
      <c r="I628" t="str">
        <f t="shared" si="9"/>
        <v>25</v>
      </c>
      <c r="J628">
        <v>60025</v>
      </c>
      <c r="K628">
        <v>3146</v>
      </c>
      <c r="L628">
        <v>12</v>
      </c>
      <c r="M628">
        <v>4</v>
      </c>
      <c r="N628">
        <v>1</v>
      </c>
      <c r="O628" t="s">
        <v>41</v>
      </c>
      <c r="P628">
        <v>5</v>
      </c>
      <c r="Q628">
        <v>1</v>
      </c>
      <c r="R628" t="s">
        <v>26</v>
      </c>
      <c r="S628">
        <v>2</v>
      </c>
    </row>
    <row r="629" spans="1:22" x14ac:dyDescent="0.45">
      <c r="A629" t="str">
        <f>"10686834"</f>
        <v>10686834</v>
      </c>
      <c r="B629" t="s">
        <v>22</v>
      </c>
      <c r="C629" s="1">
        <v>44049</v>
      </c>
      <c r="D629">
        <v>617500</v>
      </c>
      <c r="E629" t="s">
        <v>23</v>
      </c>
      <c r="F629">
        <v>1961</v>
      </c>
      <c r="G629">
        <v>1307</v>
      </c>
      <c r="H629" t="s">
        <v>300</v>
      </c>
      <c r="I629" t="str">
        <f t="shared" si="9"/>
        <v>25</v>
      </c>
      <c r="J629">
        <v>60025</v>
      </c>
      <c r="K629">
        <v>4177</v>
      </c>
      <c r="L629">
        <v>11</v>
      </c>
      <c r="M629">
        <v>2</v>
      </c>
      <c r="N629">
        <v>1</v>
      </c>
      <c r="O629" t="s">
        <v>25</v>
      </c>
      <c r="P629">
        <v>3</v>
      </c>
      <c r="Q629">
        <v>0</v>
      </c>
      <c r="R629" t="s">
        <v>26</v>
      </c>
      <c r="S629">
        <v>2.5</v>
      </c>
      <c r="U629">
        <v>1929</v>
      </c>
      <c r="V629" t="s">
        <v>27</v>
      </c>
    </row>
    <row r="630" spans="1:22" x14ac:dyDescent="0.45">
      <c r="A630" t="str">
        <f>"10721169"</f>
        <v>10721169</v>
      </c>
      <c r="B630" t="s">
        <v>22</v>
      </c>
      <c r="C630" s="1">
        <v>44068</v>
      </c>
      <c r="D630">
        <v>618500</v>
      </c>
      <c r="E630" t="s">
        <v>37</v>
      </c>
      <c r="F630" t="s">
        <v>29</v>
      </c>
      <c r="G630">
        <v>1103</v>
      </c>
      <c r="H630" t="s">
        <v>170</v>
      </c>
      <c r="I630" t="str">
        <f t="shared" si="9"/>
        <v>25</v>
      </c>
      <c r="J630">
        <v>60025</v>
      </c>
      <c r="K630">
        <v>3200</v>
      </c>
      <c r="L630">
        <v>11</v>
      </c>
      <c r="M630">
        <v>3</v>
      </c>
      <c r="N630">
        <v>1</v>
      </c>
      <c r="O630" t="s">
        <v>41</v>
      </c>
      <c r="P630">
        <v>5</v>
      </c>
      <c r="Q630">
        <v>0</v>
      </c>
      <c r="R630" t="s">
        <v>35</v>
      </c>
      <c r="S630">
        <v>2</v>
      </c>
      <c r="V630" t="s">
        <v>36</v>
      </c>
    </row>
    <row r="631" spans="1:22" x14ac:dyDescent="0.45">
      <c r="A631" t="str">
        <f>"10661269"</f>
        <v>10661269</v>
      </c>
      <c r="B631" t="s">
        <v>22</v>
      </c>
      <c r="C631" s="1">
        <v>43970</v>
      </c>
      <c r="D631">
        <v>619872</v>
      </c>
      <c r="E631" t="s">
        <v>23</v>
      </c>
      <c r="F631">
        <v>1959</v>
      </c>
      <c r="G631">
        <v>820</v>
      </c>
      <c r="H631" t="s">
        <v>316</v>
      </c>
      <c r="I631" t="str">
        <f t="shared" si="9"/>
        <v>25</v>
      </c>
      <c r="J631">
        <v>60025</v>
      </c>
      <c r="K631">
        <v>3320</v>
      </c>
      <c r="L631">
        <v>11</v>
      </c>
      <c r="M631">
        <v>3</v>
      </c>
      <c r="N631">
        <v>0</v>
      </c>
      <c r="O631" t="s">
        <v>41</v>
      </c>
      <c r="P631">
        <v>3</v>
      </c>
      <c r="Q631">
        <v>0</v>
      </c>
      <c r="R631" t="s">
        <v>26</v>
      </c>
      <c r="S631">
        <v>2</v>
      </c>
      <c r="U631">
        <v>930</v>
      </c>
      <c r="V631" t="s">
        <v>27</v>
      </c>
    </row>
    <row r="632" spans="1:22" x14ac:dyDescent="0.45">
      <c r="A632" t="str">
        <f>"10361543"</f>
        <v>10361543</v>
      </c>
      <c r="B632" t="s">
        <v>22</v>
      </c>
      <c r="C632" s="1">
        <v>43627</v>
      </c>
      <c r="D632">
        <v>620000</v>
      </c>
      <c r="E632" t="s">
        <v>60</v>
      </c>
      <c r="F632">
        <v>1941</v>
      </c>
      <c r="G632">
        <v>914</v>
      </c>
      <c r="H632" t="s">
        <v>317</v>
      </c>
      <c r="I632" t="str">
        <f t="shared" si="9"/>
        <v>25</v>
      </c>
      <c r="J632">
        <v>60025</v>
      </c>
      <c r="K632">
        <v>2948</v>
      </c>
      <c r="L632">
        <v>11</v>
      </c>
      <c r="M632">
        <v>3</v>
      </c>
      <c r="N632">
        <v>0</v>
      </c>
      <c r="O632" t="s">
        <v>25</v>
      </c>
      <c r="P632">
        <v>4</v>
      </c>
      <c r="Q632">
        <v>0</v>
      </c>
      <c r="R632" t="s">
        <v>26</v>
      </c>
      <c r="S632">
        <v>2</v>
      </c>
    </row>
    <row r="633" spans="1:22" x14ac:dyDescent="0.45">
      <c r="A633" t="str">
        <f>"10390465"</f>
        <v>10390465</v>
      </c>
      <c r="B633" t="s">
        <v>22</v>
      </c>
      <c r="C633" s="1">
        <v>43636</v>
      </c>
      <c r="D633">
        <v>625000</v>
      </c>
      <c r="E633" t="s">
        <v>60</v>
      </c>
      <c r="F633">
        <v>1943</v>
      </c>
      <c r="G633">
        <v>1152</v>
      </c>
      <c r="H633" t="s">
        <v>175</v>
      </c>
      <c r="I633" t="str">
        <f t="shared" si="9"/>
        <v>25</v>
      </c>
      <c r="J633">
        <v>60025</v>
      </c>
      <c r="K633">
        <v>2303</v>
      </c>
      <c r="L633">
        <v>9</v>
      </c>
      <c r="M633">
        <v>2</v>
      </c>
      <c r="N633">
        <v>0</v>
      </c>
      <c r="O633" t="s">
        <v>25</v>
      </c>
      <c r="P633">
        <v>3</v>
      </c>
      <c r="Q633">
        <v>0</v>
      </c>
      <c r="R633" t="s">
        <v>26</v>
      </c>
      <c r="S633">
        <v>1</v>
      </c>
      <c r="V633" t="s">
        <v>67</v>
      </c>
    </row>
    <row r="634" spans="1:22" x14ac:dyDescent="0.45">
      <c r="A634" t="str">
        <f>"10892037"</f>
        <v>10892037</v>
      </c>
      <c r="B634" t="s">
        <v>22</v>
      </c>
      <c r="C634" s="1">
        <v>44175</v>
      </c>
      <c r="D634">
        <v>625000</v>
      </c>
      <c r="E634" t="s">
        <v>64</v>
      </c>
      <c r="F634">
        <v>2002</v>
      </c>
      <c r="G634">
        <v>2206</v>
      </c>
      <c r="H634" t="s">
        <v>318</v>
      </c>
      <c r="I634" t="str">
        <f t="shared" si="9"/>
        <v>25</v>
      </c>
      <c r="J634">
        <v>60026</v>
      </c>
      <c r="K634">
        <v>2006</v>
      </c>
      <c r="L634">
        <v>10</v>
      </c>
      <c r="M634">
        <v>2</v>
      </c>
      <c r="N634">
        <v>1</v>
      </c>
      <c r="O634" t="s">
        <v>25</v>
      </c>
      <c r="P634">
        <v>3</v>
      </c>
      <c r="Q634">
        <v>0</v>
      </c>
      <c r="R634" t="s">
        <v>35</v>
      </c>
      <c r="S634">
        <v>2</v>
      </c>
      <c r="U634">
        <v>843</v>
      </c>
    </row>
    <row r="635" spans="1:22" x14ac:dyDescent="0.45">
      <c r="A635" t="str">
        <f>"10444276"</f>
        <v>10444276</v>
      </c>
      <c r="B635" t="s">
        <v>22</v>
      </c>
      <c r="C635" s="1">
        <v>43720</v>
      </c>
      <c r="D635">
        <v>625000</v>
      </c>
      <c r="E635" t="s">
        <v>60</v>
      </c>
      <c r="F635" t="s">
        <v>29</v>
      </c>
      <c r="G635">
        <v>611</v>
      </c>
      <c r="H635" t="s">
        <v>119</v>
      </c>
      <c r="I635" t="str">
        <f t="shared" si="9"/>
        <v>25</v>
      </c>
      <c r="J635">
        <v>60025</v>
      </c>
      <c r="K635">
        <v>0</v>
      </c>
      <c r="L635">
        <v>10</v>
      </c>
      <c r="M635">
        <v>2</v>
      </c>
      <c r="N635">
        <v>1</v>
      </c>
      <c r="O635" t="s">
        <v>25</v>
      </c>
      <c r="P635">
        <v>4</v>
      </c>
      <c r="Q635">
        <v>0</v>
      </c>
      <c r="R635" t="s">
        <v>26</v>
      </c>
      <c r="S635">
        <v>2.5</v>
      </c>
      <c r="V635" t="s">
        <v>67</v>
      </c>
    </row>
    <row r="636" spans="1:22" x14ac:dyDescent="0.45">
      <c r="A636" t="str">
        <f>"10642869"</f>
        <v>10642869</v>
      </c>
      <c r="B636" t="s">
        <v>22</v>
      </c>
      <c r="C636" s="1">
        <v>43928</v>
      </c>
      <c r="D636">
        <v>625000</v>
      </c>
      <c r="E636" t="s">
        <v>64</v>
      </c>
      <c r="F636">
        <v>2001</v>
      </c>
      <c r="G636">
        <v>2584</v>
      </c>
      <c r="H636" t="s">
        <v>304</v>
      </c>
      <c r="I636" t="str">
        <f t="shared" si="9"/>
        <v>25</v>
      </c>
      <c r="J636">
        <v>60026</v>
      </c>
      <c r="K636">
        <v>0</v>
      </c>
      <c r="L636">
        <v>9</v>
      </c>
      <c r="M636">
        <v>2</v>
      </c>
      <c r="N636">
        <v>1</v>
      </c>
      <c r="O636" t="s">
        <v>25</v>
      </c>
      <c r="P636">
        <v>4</v>
      </c>
      <c r="Q636">
        <v>0</v>
      </c>
      <c r="R636" t="s">
        <v>35</v>
      </c>
      <c r="S636">
        <v>2</v>
      </c>
    </row>
    <row r="637" spans="1:22" x14ac:dyDescent="0.45">
      <c r="A637" t="str">
        <f>"10360199"</f>
        <v>10360199</v>
      </c>
      <c r="B637" t="s">
        <v>22</v>
      </c>
      <c r="C637" s="1">
        <v>43860</v>
      </c>
      <c r="D637">
        <v>625000</v>
      </c>
      <c r="E637" t="s">
        <v>60</v>
      </c>
      <c r="F637">
        <v>1948</v>
      </c>
      <c r="G637">
        <v>1603</v>
      </c>
      <c r="H637" t="s">
        <v>230</v>
      </c>
      <c r="I637" t="str">
        <f t="shared" si="9"/>
        <v>25</v>
      </c>
      <c r="J637">
        <v>60025</v>
      </c>
      <c r="K637">
        <v>0</v>
      </c>
      <c r="L637">
        <v>8</v>
      </c>
      <c r="M637">
        <v>2</v>
      </c>
      <c r="N637">
        <v>0</v>
      </c>
      <c r="O637" t="s">
        <v>25</v>
      </c>
      <c r="P637">
        <v>3</v>
      </c>
      <c r="Q637">
        <v>0</v>
      </c>
      <c r="R637" t="s">
        <v>26</v>
      </c>
      <c r="S637">
        <v>2</v>
      </c>
      <c r="V637" t="s">
        <v>148</v>
      </c>
    </row>
    <row r="638" spans="1:22" x14ac:dyDescent="0.45">
      <c r="A638" t="str">
        <f>"10315880"</f>
        <v>10315880</v>
      </c>
      <c r="B638" t="s">
        <v>22</v>
      </c>
      <c r="C638" s="1">
        <v>43619</v>
      </c>
      <c r="D638">
        <v>625000</v>
      </c>
      <c r="E638" t="s">
        <v>60</v>
      </c>
      <c r="F638">
        <v>1966</v>
      </c>
      <c r="G638">
        <v>1041</v>
      </c>
      <c r="H638" t="s">
        <v>201</v>
      </c>
      <c r="I638" t="str">
        <f t="shared" si="9"/>
        <v>25</v>
      </c>
      <c r="J638">
        <v>60025</v>
      </c>
      <c r="K638">
        <v>4239</v>
      </c>
      <c r="L638">
        <v>12</v>
      </c>
      <c r="M638">
        <v>3</v>
      </c>
      <c r="N638">
        <v>1</v>
      </c>
      <c r="O638" t="s">
        <v>41</v>
      </c>
      <c r="P638">
        <v>4</v>
      </c>
      <c r="Q638">
        <v>1</v>
      </c>
      <c r="R638" t="s">
        <v>26</v>
      </c>
      <c r="S638">
        <v>2</v>
      </c>
      <c r="V638" t="s">
        <v>67</v>
      </c>
    </row>
    <row r="639" spans="1:22" x14ac:dyDescent="0.45">
      <c r="A639" t="str">
        <f>"10249028"</f>
        <v>10249028</v>
      </c>
      <c r="B639" t="s">
        <v>22</v>
      </c>
      <c r="C639" s="1">
        <v>43647</v>
      </c>
      <c r="D639">
        <v>625000</v>
      </c>
      <c r="E639" t="s">
        <v>60</v>
      </c>
      <c r="F639">
        <v>1966</v>
      </c>
      <c r="G639">
        <v>1032</v>
      </c>
      <c r="H639" t="s">
        <v>201</v>
      </c>
      <c r="I639" t="str">
        <f t="shared" si="9"/>
        <v>25</v>
      </c>
      <c r="J639">
        <v>60025</v>
      </c>
      <c r="K639">
        <v>3038</v>
      </c>
      <c r="L639">
        <v>10</v>
      </c>
      <c r="M639">
        <v>2</v>
      </c>
      <c r="N639">
        <v>1</v>
      </c>
      <c r="O639" t="s">
        <v>25</v>
      </c>
      <c r="P639">
        <v>5</v>
      </c>
      <c r="Q639">
        <v>0</v>
      </c>
      <c r="R639" t="s">
        <v>26</v>
      </c>
      <c r="S639">
        <v>2</v>
      </c>
      <c r="V639" t="s">
        <v>67</v>
      </c>
    </row>
    <row r="640" spans="1:22" x14ac:dyDescent="0.45">
      <c r="A640" t="str">
        <f>"10316416"</f>
        <v>10316416</v>
      </c>
      <c r="B640" t="s">
        <v>22</v>
      </c>
      <c r="C640" s="1">
        <v>43619</v>
      </c>
      <c r="D640">
        <v>630000</v>
      </c>
      <c r="E640" t="s">
        <v>64</v>
      </c>
      <c r="F640">
        <v>1961</v>
      </c>
      <c r="G640">
        <v>146</v>
      </c>
      <c r="H640" t="s">
        <v>115</v>
      </c>
      <c r="I640" t="str">
        <f t="shared" si="9"/>
        <v>25</v>
      </c>
      <c r="J640">
        <v>60025</v>
      </c>
      <c r="K640">
        <v>3140</v>
      </c>
      <c r="L640">
        <v>9</v>
      </c>
      <c r="M640">
        <v>2</v>
      </c>
      <c r="N640">
        <v>1</v>
      </c>
      <c r="O640" t="s">
        <v>41</v>
      </c>
      <c r="P640">
        <v>4</v>
      </c>
      <c r="Q640">
        <v>0</v>
      </c>
      <c r="R640" t="s">
        <v>26</v>
      </c>
      <c r="S640">
        <v>2.5</v>
      </c>
    </row>
    <row r="641" spans="1:22" x14ac:dyDescent="0.45">
      <c r="A641" t="str">
        <f>"10646261"</f>
        <v>10646261</v>
      </c>
      <c r="B641" t="s">
        <v>22</v>
      </c>
      <c r="C641" s="1">
        <v>43931</v>
      </c>
      <c r="D641">
        <v>630000</v>
      </c>
      <c r="E641" t="s">
        <v>60</v>
      </c>
      <c r="F641">
        <v>1966</v>
      </c>
      <c r="G641">
        <v>1526</v>
      </c>
      <c r="H641" t="s">
        <v>319</v>
      </c>
      <c r="I641" t="str">
        <f t="shared" si="9"/>
        <v>25</v>
      </c>
      <c r="J641">
        <v>60025</v>
      </c>
      <c r="K641">
        <v>3044</v>
      </c>
      <c r="L641">
        <v>11</v>
      </c>
      <c r="M641">
        <v>2</v>
      </c>
      <c r="N641">
        <v>1</v>
      </c>
      <c r="O641" t="s">
        <v>25</v>
      </c>
      <c r="P641">
        <v>5</v>
      </c>
      <c r="Q641">
        <v>0</v>
      </c>
      <c r="R641" t="s">
        <v>26</v>
      </c>
      <c r="S641">
        <v>2</v>
      </c>
    </row>
    <row r="642" spans="1:22" x14ac:dyDescent="0.45">
      <c r="A642" t="str">
        <f>"10758416"</f>
        <v>10758416</v>
      </c>
      <c r="B642" t="s">
        <v>22</v>
      </c>
      <c r="C642" s="1">
        <v>44060</v>
      </c>
      <c r="D642">
        <v>630000</v>
      </c>
      <c r="E642" t="s">
        <v>23</v>
      </c>
      <c r="F642">
        <v>1983</v>
      </c>
      <c r="G642">
        <v>2520</v>
      </c>
      <c r="H642" t="s">
        <v>314</v>
      </c>
      <c r="I642" t="str">
        <f t="shared" ref="I642:I705" si="10">"25"</f>
        <v>25</v>
      </c>
      <c r="J642">
        <v>60026</v>
      </c>
      <c r="K642">
        <v>2897</v>
      </c>
      <c r="L642">
        <v>11</v>
      </c>
      <c r="M642">
        <v>2</v>
      </c>
      <c r="N642">
        <v>1</v>
      </c>
      <c r="O642" t="s">
        <v>25</v>
      </c>
      <c r="P642">
        <v>4</v>
      </c>
      <c r="Q642">
        <v>0</v>
      </c>
      <c r="R642" t="s">
        <v>26</v>
      </c>
      <c r="S642">
        <v>2.5</v>
      </c>
      <c r="V642" t="s">
        <v>27</v>
      </c>
    </row>
    <row r="643" spans="1:22" x14ac:dyDescent="0.45">
      <c r="A643" t="str">
        <f>"10752151"</f>
        <v>10752151</v>
      </c>
      <c r="B643" t="s">
        <v>22</v>
      </c>
      <c r="C643" s="1">
        <v>44083</v>
      </c>
      <c r="D643">
        <v>630000</v>
      </c>
      <c r="E643" t="s">
        <v>60</v>
      </c>
      <c r="F643">
        <v>2001</v>
      </c>
      <c r="G643">
        <v>920</v>
      </c>
      <c r="H643" t="s">
        <v>201</v>
      </c>
      <c r="I643" t="str">
        <f t="shared" si="10"/>
        <v>25</v>
      </c>
      <c r="J643">
        <v>60025</v>
      </c>
      <c r="K643">
        <v>2758</v>
      </c>
      <c r="L643">
        <v>10</v>
      </c>
      <c r="M643">
        <v>2</v>
      </c>
      <c r="N643">
        <v>1</v>
      </c>
      <c r="O643" t="s">
        <v>25</v>
      </c>
      <c r="P643">
        <v>4</v>
      </c>
      <c r="Q643">
        <v>0</v>
      </c>
      <c r="R643" t="s">
        <v>35</v>
      </c>
      <c r="S643">
        <v>2</v>
      </c>
    </row>
    <row r="644" spans="1:22" x14ac:dyDescent="0.45">
      <c r="A644" t="str">
        <f>"10685890"</f>
        <v>10685890</v>
      </c>
      <c r="B644" t="s">
        <v>22</v>
      </c>
      <c r="C644" s="1">
        <v>44057</v>
      </c>
      <c r="D644">
        <v>630000</v>
      </c>
      <c r="E644" t="s">
        <v>60</v>
      </c>
      <c r="F644">
        <v>1963</v>
      </c>
      <c r="G644">
        <v>1523</v>
      </c>
      <c r="H644" t="s">
        <v>320</v>
      </c>
      <c r="I644" t="str">
        <f t="shared" si="10"/>
        <v>25</v>
      </c>
      <c r="J644">
        <v>60025</v>
      </c>
      <c r="K644">
        <v>2507</v>
      </c>
      <c r="L644">
        <v>9</v>
      </c>
      <c r="M644">
        <v>2</v>
      </c>
      <c r="N644">
        <v>1</v>
      </c>
      <c r="O644" t="s">
        <v>25</v>
      </c>
      <c r="P644">
        <v>4</v>
      </c>
      <c r="Q644">
        <v>0</v>
      </c>
      <c r="R644" t="s">
        <v>26</v>
      </c>
      <c r="S644">
        <v>2</v>
      </c>
      <c r="V644" t="s">
        <v>67</v>
      </c>
    </row>
    <row r="645" spans="1:22" x14ac:dyDescent="0.45">
      <c r="A645" t="str">
        <f>"10630474"</f>
        <v>10630474</v>
      </c>
      <c r="B645" t="s">
        <v>22</v>
      </c>
      <c r="C645" s="1">
        <v>44011</v>
      </c>
      <c r="D645">
        <v>630000</v>
      </c>
      <c r="E645" t="s">
        <v>60</v>
      </c>
      <c r="F645">
        <v>1988</v>
      </c>
      <c r="G645">
        <v>3320</v>
      </c>
      <c r="H645" t="s">
        <v>321</v>
      </c>
      <c r="I645" t="str">
        <f t="shared" si="10"/>
        <v>25</v>
      </c>
      <c r="J645">
        <v>60025</v>
      </c>
      <c r="K645">
        <v>2848</v>
      </c>
      <c r="L645">
        <v>9</v>
      </c>
      <c r="M645">
        <v>3</v>
      </c>
      <c r="N645">
        <v>1</v>
      </c>
      <c r="O645" t="s">
        <v>41</v>
      </c>
      <c r="P645">
        <v>4</v>
      </c>
      <c r="Q645">
        <v>0</v>
      </c>
      <c r="R645" t="s">
        <v>26</v>
      </c>
      <c r="S645">
        <v>2</v>
      </c>
      <c r="V645" t="s">
        <v>67</v>
      </c>
    </row>
    <row r="646" spans="1:22" x14ac:dyDescent="0.45">
      <c r="A646" t="str">
        <f>"10741289"</f>
        <v>10741289</v>
      </c>
      <c r="B646" t="s">
        <v>22</v>
      </c>
      <c r="C646" s="1">
        <v>44084</v>
      </c>
      <c r="D646">
        <v>631000</v>
      </c>
      <c r="E646" t="s">
        <v>60</v>
      </c>
      <c r="F646">
        <v>1973</v>
      </c>
      <c r="G646">
        <v>3917</v>
      </c>
      <c r="H646" t="s">
        <v>273</v>
      </c>
      <c r="I646" t="str">
        <f t="shared" si="10"/>
        <v>25</v>
      </c>
      <c r="J646">
        <v>60026</v>
      </c>
      <c r="K646">
        <v>2879</v>
      </c>
      <c r="L646">
        <v>10</v>
      </c>
      <c r="M646">
        <v>3</v>
      </c>
      <c r="N646">
        <v>1</v>
      </c>
      <c r="O646" t="s">
        <v>41</v>
      </c>
      <c r="P646">
        <v>4</v>
      </c>
      <c r="Q646">
        <v>0</v>
      </c>
      <c r="R646" t="s">
        <v>26</v>
      </c>
      <c r="S646">
        <v>2</v>
      </c>
      <c r="U646">
        <v>1440</v>
      </c>
      <c r="V646" t="s">
        <v>67</v>
      </c>
    </row>
    <row r="647" spans="1:22" x14ac:dyDescent="0.45">
      <c r="A647" t="str">
        <f>"10718375"</f>
        <v>10718375</v>
      </c>
      <c r="B647" t="s">
        <v>22</v>
      </c>
      <c r="C647" s="1">
        <v>44027</v>
      </c>
      <c r="D647">
        <v>632500</v>
      </c>
      <c r="E647" t="s">
        <v>23</v>
      </c>
      <c r="F647">
        <v>1958</v>
      </c>
      <c r="G647">
        <v>1431</v>
      </c>
      <c r="H647" t="s">
        <v>322</v>
      </c>
      <c r="I647" t="str">
        <f t="shared" si="10"/>
        <v>25</v>
      </c>
      <c r="J647">
        <v>60025</v>
      </c>
      <c r="K647">
        <v>2020</v>
      </c>
      <c r="L647">
        <v>8</v>
      </c>
      <c r="M647">
        <v>2</v>
      </c>
      <c r="N647">
        <v>1</v>
      </c>
      <c r="O647" t="s">
        <v>25</v>
      </c>
      <c r="P647">
        <v>4</v>
      </c>
      <c r="Q647">
        <v>0</v>
      </c>
      <c r="R647" t="s">
        <v>26</v>
      </c>
      <c r="S647">
        <v>2</v>
      </c>
      <c r="T647">
        <v>4</v>
      </c>
      <c r="V647" t="s">
        <v>27</v>
      </c>
    </row>
    <row r="648" spans="1:22" x14ac:dyDescent="0.45">
      <c r="A648" t="str">
        <f>"10293953"</f>
        <v>10293953</v>
      </c>
      <c r="B648" t="s">
        <v>22</v>
      </c>
      <c r="C648" s="1">
        <v>43629</v>
      </c>
      <c r="D648">
        <v>633255</v>
      </c>
      <c r="E648" t="s">
        <v>60</v>
      </c>
      <c r="F648">
        <v>2005</v>
      </c>
      <c r="G648">
        <v>2742</v>
      </c>
      <c r="H648" t="s">
        <v>323</v>
      </c>
      <c r="I648" t="str">
        <f t="shared" si="10"/>
        <v>25</v>
      </c>
      <c r="J648">
        <v>60025</v>
      </c>
      <c r="K648">
        <v>3777</v>
      </c>
      <c r="L648">
        <v>7</v>
      </c>
      <c r="M648">
        <v>3</v>
      </c>
      <c r="N648">
        <v>1</v>
      </c>
      <c r="O648" t="s">
        <v>41</v>
      </c>
      <c r="P648">
        <v>3</v>
      </c>
      <c r="Q648">
        <v>0</v>
      </c>
      <c r="R648" t="s">
        <v>26</v>
      </c>
      <c r="S648">
        <v>2</v>
      </c>
    </row>
    <row r="649" spans="1:22" x14ac:dyDescent="0.45">
      <c r="A649" t="str">
        <f>"10844707"</f>
        <v>10844707</v>
      </c>
      <c r="B649" t="s">
        <v>22</v>
      </c>
      <c r="C649" s="1">
        <v>44134</v>
      </c>
      <c r="D649">
        <v>634000</v>
      </c>
      <c r="E649" t="s">
        <v>60</v>
      </c>
      <c r="F649">
        <v>1981</v>
      </c>
      <c r="G649">
        <v>3927</v>
      </c>
      <c r="H649" t="s">
        <v>263</v>
      </c>
      <c r="I649" t="str">
        <f t="shared" si="10"/>
        <v>25</v>
      </c>
      <c r="J649">
        <v>60025</v>
      </c>
      <c r="K649">
        <v>3040</v>
      </c>
      <c r="L649">
        <v>9</v>
      </c>
      <c r="M649">
        <v>2</v>
      </c>
      <c r="N649">
        <v>1</v>
      </c>
      <c r="O649" t="s">
        <v>25</v>
      </c>
      <c r="P649">
        <v>4</v>
      </c>
      <c r="Q649">
        <v>0</v>
      </c>
      <c r="R649" t="s">
        <v>26</v>
      </c>
      <c r="S649">
        <v>2</v>
      </c>
      <c r="V649" t="s">
        <v>196</v>
      </c>
    </row>
    <row r="650" spans="1:22" x14ac:dyDescent="0.45">
      <c r="A650" t="str">
        <f>"10329045"</f>
        <v>10329045</v>
      </c>
      <c r="B650" t="s">
        <v>22</v>
      </c>
      <c r="C650" s="1">
        <v>43613</v>
      </c>
      <c r="D650">
        <v>635000</v>
      </c>
      <c r="E650" t="s">
        <v>60</v>
      </c>
      <c r="F650">
        <v>2013</v>
      </c>
      <c r="G650">
        <v>1625</v>
      </c>
      <c r="H650" t="s">
        <v>126</v>
      </c>
      <c r="I650" t="str">
        <f t="shared" si="10"/>
        <v>25</v>
      </c>
      <c r="J650">
        <v>60025</v>
      </c>
      <c r="K650">
        <v>2836</v>
      </c>
      <c r="L650">
        <v>6</v>
      </c>
      <c r="M650">
        <v>2</v>
      </c>
      <c r="N650">
        <v>1</v>
      </c>
      <c r="O650" t="s">
        <v>25</v>
      </c>
      <c r="P650">
        <v>3</v>
      </c>
      <c r="Q650">
        <v>0</v>
      </c>
      <c r="R650" t="s">
        <v>26</v>
      </c>
      <c r="S650">
        <v>2</v>
      </c>
    </row>
    <row r="651" spans="1:22" x14ac:dyDescent="0.45">
      <c r="A651" t="str">
        <f>"10841871"</f>
        <v>10841871</v>
      </c>
      <c r="B651" t="s">
        <v>22</v>
      </c>
      <c r="C651" s="1">
        <v>44109</v>
      </c>
      <c r="D651">
        <v>635000</v>
      </c>
      <c r="E651" t="s">
        <v>37</v>
      </c>
      <c r="F651">
        <v>1958</v>
      </c>
      <c r="G651">
        <v>401</v>
      </c>
      <c r="H651" t="s">
        <v>324</v>
      </c>
      <c r="I651" t="str">
        <f t="shared" si="10"/>
        <v>25</v>
      </c>
      <c r="J651">
        <v>60025</v>
      </c>
      <c r="K651">
        <v>3456</v>
      </c>
      <c r="L651">
        <v>10</v>
      </c>
      <c r="M651">
        <v>3</v>
      </c>
      <c r="N651">
        <v>1</v>
      </c>
      <c r="O651" t="s">
        <v>41</v>
      </c>
      <c r="P651">
        <v>5</v>
      </c>
      <c r="Q651">
        <v>0</v>
      </c>
      <c r="R651" t="s">
        <v>35</v>
      </c>
      <c r="S651">
        <v>2.5</v>
      </c>
      <c r="V651" t="s">
        <v>36</v>
      </c>
    </row>
    <row r="652" spans="1:22" x14ac:dyDescent="0.45">
      <c r="A652" t="str">
        <f>"10783864"</f>
        <v>10783864</v>
      </c>
      <c r="B652" t="s">
        <v>22</v>
      </c>
      <c r="C652" s="1">
        <v>44071</v>
      </c>
      <c r="D652">
        <v>635000</v>
      </c>
      <c r="E652" t="s">
        <v>60</v>
      </c>
      <c r="F652">
        <v>1959</v>
      </c>
      <c r="G652">
        <v>3003</v>
      </c>
      <c r="H652" t="s">
        <v>239</v>
      </c>
      <c r="I652" t="str">
        <f t="shared" si="10"/>
        <v>25</v>
      </c>
      <c r="J652">
        <v>60025</v>
      </c>
      <c r="K652">
        <v>0</v>
      </c>
      <c r="L652">
        <v>9</v>
      </c>
      <c r="M652">
        <v>2</v>
      </c>
      <c r="N652">
        <v>1</v>
      </c>
      <c r="O652" t="s">
        <v>25</v>
      </c>
      <c r="P652">
        <v>3</v>
      </c>
      <c r="Q652">
        <v>0</v>
      </c>
      <c r="R652" t="s">
        <v>26</v>
      </c>
      <c r="S652">
        <v>2.5</v>
      </c>
      <c r="V652" t="s">
        <v>67</v>
      </c>
    </row>
    <row r="653" spans="1:22" x14ac:dyDescent="0.45">
      <c r="A653" t="str">
        <f>"10579196"</f>
        <v>10579196</v>
      </c>
      <c r="B653" t="s">
        <v>22</v>
      </c>
      <c r="C653" s="1">
        <v>43861</v>
      </c>
      <c r="D653">
        <v>635000</v>
      </c>
      <c r="E653" t="s">
        <v>60</v>
      </c>
      <c r="F653">
        <v>1940</v>
      </c>
      <c r="G653">
        <v>1442</v>
      </c>
      <c r="H653" t="s">
        <v>300</v>
      </c>
      <c r="I653" t="str">
        <f t="shared" si="10"/>
        <v>25</v>
      </c>
      <c r="J653">
        <v>60091</v>
      </c>
      <c r="K653">
        <v>2795</v>
      </c>
      <c r="L653">
        <v>8</v>
      </c>
      <c r="M653">
        <v>2</v>
      </c>
      <c r="N653">
        <v>1</v>
      </c>
      <c r="O653" t="s">
        <v>25</v>
      </c>
      <c r="P653">
        <v>3</v>
      </c>
      <c r="Q653">
        <v>0</v>
      </c>
      <c r="R653" t="s">
        <v>26</v>
      </c>
      <c r="S653">
        <v>2</v>
      </c>
    </row>
    <row r="654" spans="1:22" x14ac:dyDescent="0.45">
      <c r="A654" t="str">
        <f>"10630864"</f>
        <v>10630864</v>
      </c>
      <c r="B654" t="s">
        <v>22</v>
      </c>
      <c r="C654" s="1">
        <v>44012</v>
      </c>
      <c r="D654">
        <v>635000</v>
      </c>
      <c r="E654" t="s">
        <v>60</v>
      </c>
      <c r="F654">
        <v>1996</v>
      </c>
      <c r="G654">
        <v>3775</v>
      </c>
      <c r="H654" t="s">
        <v>325</v>
      </c>
      <c r="I654" t="str">
        <f t="shared" si="10"/>
        <v>25</v>
      </c>
      <c r="J654">
        <v>60025</v>
      </c>
      <c r="K654">
        <v>3100</v>
      </c>
      <c r="L654">
        <v>8</v>
      </c>
      <c r="M654">
        <v>2</v>
      </c>
      <c r="N654">
        <v>1</v>
      </c>
      <c r="O654" t="s">
        <v>25</v>
      </c>
      <c r="P654">
        <v>4</v>
      </c>
      <c r="Q654">
        <v>0</v>
      </c>
      <c r="R654" t="s">
        <v>26</v>
      </c>
      <c r="S654">
        <v>2</v>
      </c>
    </row>
    <row r="655" spans="1:22" x14ac:dyDescent="0.45">
      <c r="A655" t="str">
        <f>"10603081"</f>
        <v>10603081</v>
      </c>
      <c r="B655" t="s">
        <v>22</v>
      </c>
      <c r="C655" s="1">
        <v>43881</v>
      </c>
      <c r="D655">
        <v>635000</v>
      </c>
      <c r="E655" t="s">
        <v>64</v>
      </c>
      <c r="F655">
        <v>2001</v>
      </c>
      <c r="G655">
        <v>2307</v>
      </c>
      <c r="H655" t="s">
        <v>326</v>
      </c>
      <c r="I655" t="str">
        <f t="shared" si="10"/>
        <v>25</v>
      </c>
      <c r="J655">
        <v>60026</v>
      </c>
      <c r="K655">
        <v>0</v>
      </c>
      <c r="L655">
        <v>10</v>
      </c>
      <c r="M655">
        <v>3</v>
      </c>
      <c r="N655">
        <v>1</v>
      </c>
      <c r="O655" t="s">
        <v>41</v>
      </c>
      <c r="P655">
        <v>4</v>
      </c>
      <c r="Q655">
        <v>0</v>
      </c>
      <c r="R655" t="s">
        <v>35</v>
      </c>
      <c r="S655">
        <v>2</v>
      </c>
    </row>
    <row r="656" spans="1:22" x14ac:dyDescent="0.45">
      <c r="A656" t="str">
        <f>"10796445"</f>
        <v>10796445</v>
      </c>
      <c r="B656" t="s">
        <v>22</v>
      </c>
      <c r="C656" s="1">
        <v>44195</v>
      </c>
      <c r="D656">
        <v>635000</v>
      </c>
      <c r="E656" t="s">
        <v>60</v>
      </c>
      <c r="F656">
        <v>1957</v>
      </c>
      <c r="G656">
        <v>1717</v>
      </c>
      <c r="H656" t="s">
        <v>106</v>
      </c>
      <c r="I656" t="str">
        <f t="shared" si="10"/>
        <v>25</v>
      </c>
      <c r="J656">
        <v>60026</v>
      </c>
      <c r="K656">
        <v>3684</v>
      </c>
      <c r="L656">
        <v>11</v>
      </c>
      <c r="M656">
        <v>5</v>
      </c>
      <c r="N656">
        <v>0</v>
      </c>
      <c r="O656" t="s">
        <v>41</v>
      </c>
      <c r="P656">
        <v>4</v>
      </c>
      <c r="Q656">
        <v>0</v>
      </c>
      <c r="R656" t="s">
        <v>26</v>
      </c>
      <c r="S656">
        <v>3</v>
      </c>
      <c r="U656">
        <v>972</v>
      </c>
    </row>
    <row r="657" spans="1:22" x14ac:dyDescent="0.45">
      <c r="A657" t="str">
        <f>"10766238"</f>
        <v>10766238</v>
      </c>
      <c r="B657" t="s">
        <v>22</v>
      </c>
      <c r="C657" s="1">
        <v>44127</v>
      </c>
      <c r="D657">
        <v>637500</v>
      </c>
      <c r="E657" t="s">
        <v>23</v>
      </c>
      <c r="F657">
        <v>1983</v>
      </c>
      <c r="G657">
        <v>2301</v>
      </c>
      <c r="H657" t="s">
        <v>327</v>
      </c>
      <c r="I657" t="str">
        <f t="shared" si="10"/>
        <v>25</v>
      </c>
      <c r="J657">
        <v>60026</v>
      </c>
      <c r="K657">
        <v>3600</v>
      </c>
      <c r="L657">
        <v>9</v>
      </c>
      <c r="M657">
        <v>3</v>
      </c>
      <c r="N657">
        <v>1</v>
      </c>
      <c r="O657" t="s">
        <v>41</v>
      </c>
      <c r="P657">
        <v>3</v>
      </c>
      <c r="Q657">
        <v>1</v>
      </c>
      <c r="R657" t="s">
        <v>26</v>
      </c>
      <c r="S657">
        <v>2</v>
      </c>
      <c r="U657">
        <v>800</v>
      </c>
      <c r="V657" t="s">
        <v>27</v>
      </c>
    </row>
    <row r="658" spans="1:22" x14ac:dyDescent="0.45">
      <c r="A658" t="str">
        <f>"10783049"</f>
        <v>10783049</v>
      </c>
      <c r="B658" t="s">
        <v>22</v>
      </c>
      <c r="C658" s="1">
        <v>44029</v>
      </c>
      <c r="D658">
        <v>639000</v>
      </c>
      <c r="E658" t="s">
        <v>37</v>
      </c>
      <c r="F658">
        <v>1957</v>
      </c>
      <c r="G658">
        <v>1253</v>
      </c>
      <c r="H658" t="s">
        <v>293</v>
      </c>
      <c r="I658" t="str">
        <f t="shared" si="10"/>
        <v>25</v>
      </c>
      <c r="J658">
        <v>60025</v>
      </c>
      <c r="K658">
        <v>0</v>
      </c>
      <c r="L658">
        <v>10</v>
      </c>
      <c r="M658">
        <v>2</v>
      </c>
      <c r="N658">
        <v>1</v>
      </c>
      <c r="O658" t="s">
        <v>41</v>
      </c>
      <c r="P658">
        <v>5</v>
      </c>
      <c r="Q658">
        <v>0</v>
      </c>
      <c r="R658" t="s">
        <v>26</v>
      </c>
      <c r="S658">
        <v>2</v>
      </c>
      <c r="V658" t="s">
        <v>36</v>
      </c>
    </row>
    <row r="659" spans="1:22" x14ac:dyDescent="0.45">
      <c r="A659" t="str">
        <f>"10818544"</f>
        <v>10818544</v>
      </c>
      <c r="B659" t="s">
        <v>22</v>
      </c>
      <c r="C659" s="1">
        <v>44133</v>
      </c>
      <c r="D659">
        <v>640000</v>
      </c>
      <c r="E659" t="s">
        <v>23</v>
      </c>
      <c r="F659">
        <v>1949</v>
      </c>
      <c r="G659">
        <v>1905</v>
      </c>
      <c r="H659" t="s">
        <v>328</v>
      </c>
      <c r="I659" t="str">
        <f t="shared" si="10"/>
        <v>25</v>
      </c>
      <c r="J659">
        <v>60025</v>
      </c>
      <c r="K659">
        <v>2200</v>
      </c>
      <c r="L659">
        <v>7</v>
      </c>
      <c r="M659">
        <v>2</v>
      </c>
      <c r="N659">
        <v>1</v>
      </c>
      <c r="O659" t="s">
        <v>25</v>
      </c>
      <c r="P659">
        <v>3</v>
      </c>
      <c r="Q659">
        <v>0</v>
      </c>
      <c r="R659" t="s">
        <v>26</v>
      </c>
      <c r="S659">
        <v>2</v>
      </c>
      <c r="V659" t="s">
        <v>27</v>
      </c>
    </row>
    <row r="660" spans="1:22" x14ac:dyDescent="0.45">
      <c r="A660" t="str">
        <f>"10587813"</f>
        <v>10587813</v>
      </c>
      <c r="B660" t="s">
        <v>22</v>
      </c>
      <c r="C660" s="1">
        <v>43861</v>
      </c>
      <c r="D660">
        <v>640000</v>
      </c>
      <c r="E660" t="s">
        <v>60</v>
      </c>
      <c r="F660">
        <v>1968</v>
      </c>
      <c r="G660">
        <v>3634</v>
      </c>
      <c r="H660" t="s">
        <v>155</v>
      </c>
      <c r="I660" t="str">
        <f t="shared" si="10"/>
        <v>25</v>
      </c>
      <c r="J660">
        <v>60026</v>
      </c>
      <c r="K660">
        <v>2657</v>
      </c>
      <c r="L660">
        <v>9</v>
      </c>
      <c r="M660">
        <v>2</v>
      </c>
      <c r="N660">
        <v>1</v>
      </c>
      <c r="O660" t="s">
        <v>25</v>
      </c>
      <c r="P660">
        <v>4</v>
      </c>
      <c r="Q660">
        <v>0</v>
      </c>
      <c r="R660" t="s">
        <v>26</v>
      </c>
      <c r="S660">
        <v>2</v>
      </c>
    </row>
    <row r="661" spans="1:22" x14ac:dyDescent="0.45">
      <c r="A661" t="str">
        <f>"10567016"</f>
        <v>10567016</v>
      </c>
      <c r="B661" t="s">
        <v>22</v>
      </c>
      <c r="C661" s="1">
        <v>43818</v>
      </c>
      <c r="D661">
        <v>640000</v>
      </c>
      <c r="E661" t="s">
        <v>23</v>
      </c>
      <c r="F661">
        <v>1958</v>
      </c>
      <c r="G661">
        <v>1402</v>
      </c>
      <c r="H661" t="s">
        <v>179</v>
      </c>
      <c r="I661" t="str">
        <f t="shared" si="10"/>
        <v>25</v>
      </c>
      <c r="J661">
        <v>60025</v>
      </c>
      <c r="K661">
        <v>2900</v>
      </c>
      <c r="L661">
        <v>9</v>
      </c>
      <c r="M661">
        <v>3</v>
      </c>
      <c r="N661">
        <v>0</v>
      </c>
      <c r="O661" t="s">
        <v>41</v>
      </c>
      <c r="P661">
        <v>3</v>
      </c>
      <c r="Q661">
        <v>1</v>
      </c>
      <c r="R661" t="s">
        <v>26</v>
      </c>
      <c r="S661">
        <v>2</v>
      </c>
      <c r="T661">
        <v>2</v>
      </c>
      <c r="V661" t="s">
        <v>27</v>
      </c>
    </row>
    <row r="662" spans="1:22" x14ac:dyDescent="0.45">
      <c r="A662" t="str">
        <f>"10486912"</f>
        <v>10486912</v>
      </c>
      <c r="B662" t="s">
        <v>22</v>
      </c>
      <c r="C662" s="1">
        <v>43921</v>
      </c>
      <c r="D662">
        <v>640000</v>
      </c>
      <c r="E662" t="s">
        <v>60</v>
      </c>
      <c r="F662">
        <v>1965</v>
      </c>
      <c r="G662">
        <v>1830</v>
      </c>
      <c r="H662" t="s">
        <v>329</v>
      </c>
      <c r="I662" t="str">
        <f t="shared" si="10"/>
        <v>25</v>
      </c>
      <c r="J662">
        <v>60025</v>
      </c>
      <c r="K662">
        <v>3399</v>
      </c>
      <c r="L662">
        <v>9</v>
      </c>
      <c r="M662">
        <v>2</v>
      </c>
      <c r="N662">
        <v>2</v>
      </c>
      <c r="O662" t="s">
        <v>25</v>
      </c>
      <c r="P662">
        <v>4</v>
      </c>
      <c r="Q662">
        <v>0</v>
      </c>
      <c r="R662" t="s">
        <v>26</v>
      </c>
      <c r="S662">
        <v>2</v>
      </c>
      <c r="V662" t="s">
        <v>67</v>
      </c>
    </row>
    <row r="663" spans="1:22" x14ac:dyDescent="0.45">
      <c r="A663" t="str">
        <f>"10822689"</f>
        <v>10822689</v>
      </c>
      <c r="B663" t="s">
        <v>22</v>
      </c>
      <c r="C663" s="1">
        <v>44147</v>
      </c>
      <c r="D663">
        <v>640000</v>
      </c>
      <c r="E663" t="s">
        <v>60</v>
      </c>
      <c r="F663">
        <v>2001</v>
      </c>
      <c r="G663">
        <v>501</v>
      </c>
      <c r="H663" t="s">
        <v>110</v>
      </c>
      <c r="I663" t="str">
        <f t="shared" si="10"/>
        <v>25</v>
      </c>
      <c r="J663">
        <v>60025</v>
      </c>
      <c r="K663">
        <v>3096</v>
      </c>
      <c r="L663">
        <v>11</v>
      </c>
      <c r="M663">
        <v>3</v>
      </c>
      <c r="N663">
        <v>0</v>
      </c>
      <c r="O663" t="s">
        <v>25</v>
      </c>
      <c r="P663">
        <v>5</v>
      </c>
      <c r="Q663">
        <v>0</v>
      </c>
      <c r="R663" t="s">
        <v>26</v>
      </c>
      <c r="S663">
        <v>3</v>
      </c>
    </row>
    <row r="664" spans="1:22" x14ac:dyDescent="0.45">
      <c r="A664" t="str">
        <f>"10480193"</f>
        <v>10480193</v>
      </c>
      <c r="B664" t="s">
        <v>22</v>
      </c>
      <c r="C664" s="1">
        <v>43782</v>
      </c>
      <c r="D664">
        <v>640000</v>
      </c>
      <c r="E664" t="s">
        <v>60</v>
      </c>
      <c r="F664">
        <v>1983</v>
      </c>
      <c r="G664">
        <v>2535</v>
      </c>
      <c r="H664" t="s">
        <v>330</v>
      </c>
      <c r="I664" t="str">
        <f t="shared" si="10"/>
        <v>25</v>
      </c>
      <c r="J664">
        <v>60026</v>
      </c>
      <c r="K664">
        <v>3280</v>
      </c>
      <c r="L664">
        <v>12</v>
      </c>
      <c r="M664">
        <v>3</v>
      </c>
      <c r="N664">
        <v>1</v>
      </c>
      <c r="O664" t="s">
        <v>41</v>
      </c>
      <c r="P664">
        <v>4</v>
      </c>
      <c r="Q664">
        <v>1</v>
      </c>
      <c r="R664" t="s">
        <v>26</v>
      </c>
      <c r="S664">
        <v>2</v>
      </c>
      <c r="U664">
        <v>0</v>
      </c>
      <c r="V664" t="s">
        <v>67</v>
      </c>
    </row>
    <row r="665" spans="1:22" x14ac:dyDescent="0.45">
      <c r="A665" t="str">
        <f>"10520688"</f>
        <v>10520688</v>
      </c>
      <c r="B665" t="s">
        <v>22</v>
      </c>
      <c r="C665" s="1">
        <v>43874</v>
      </c>
      <c r="D665">
        <v>644000</v>
      </c>
      <c r="E665" t="s">
        <v>74</v>
      </c>
      <c r="F665">
        <v>1964</v>
      </c>
      <c r="G665">
        <v>1513</v>
      </c>
      <c r="H665" t="s">
        <v>331</v>
      </c>
      <c r="I665" t="str">
        <f t="shared" si="10"/>
        <v>25</v>
      </c>
      <c r="J665">
        <v>60025</v>
      </c>
      <c r="K665">
        <v>2034</v>
      </c>
      <c r="L665">
        <v>9</v>
      </c>
      <c r="M665">
        <v>3</v>
      </c>
      <c r="N665">
        <v>0</v>
      </c>
      <c r="O665" t="s">
        <v>25</v>
      </c>
      <c r="P665">
        <v>5</v>
      </c>
      <c r="Q665">
        <v>0</v>
      </c>
      <c r="R665" t="s">
        <v>26</v>
      </c>
      <c r="S665">
        <v>2</v>
      </c>
    </row>
    <row r="666" spans="1:22" x14ac:dyDescent="0.45">
      <c r="A666" t="str">
        <f>"10478646"</f>
        <v>10478646</v>
      </c>
      <c r="B666" t="s">
        <v>22</v>
      </c>
      <c r="C666" s="1">
        <v>43836</v>
      </c>
      <c r="D666">
        <v>645000</v>
      </c>
      <c r="E666" t="s">
        <v>60</v>
      </c>
      <c r="F666">
        <v>1989</v>
      </c>
      <c r="G666">
        <v>2008</v>
      </c>
      <c r="H666" t="s">
        <v>332</v>
      </c>
      <c r="I666" t="str">
        <f t="shared" si="10"/>
        <v>25</v>
      </c>
      <c r="J666">
        <v>60026</v>
      </c>
      <c r="K666">
        <v>4592</v>
      </c>
      <c r="L666">
        <v>12</v>
      </c>
      <c r="M666">
        <v>5</v>
      </c>
      <c r="N666">
        <v>1</v>
      </c>
      <c r="O666" t="s">
        <v>41</v>
      </c>
      <c r="P666">
        <v>5</v>
      </c>
      <c r="Q666">
        <v>0</v>
      </c>
      <c r="R666" t="s">
        <v>26</v>
      </c>
      <c r="S666">
        <v>3</v>
      </c>
    </row>
    <row r="667" spans="1:22" x14ac:dyDescent="0.45">
      <c r="A667" t="str">
        <f>"10770848"</f>
        <v>10770848</v>
      </c>
      <c r="B667" t="s">
        <v>22</v>
      </c>
      <c r="C667" s="1">
        <v>44202</v>
      </c>
      <c r="D667">
        <v>647000</v>
      </c>
      <c r="E667" t="s">
        <v>60</v>
      </c>
      <c r="F667">
        <v>1956</v>
      </c>
      <c r="G667">
        <v>700</v>
      </c>
      <c r="H667" t="s">
        <v>202</v>
      </c>
      <c r="I667" t="str">
        <f t="shared" si="10"/>
        <v>25</v>
      </c>
      <c r="J667">
        <v>60025</v>
      </c>
      <c r="K667">
        <v>0</v>
      </c>
      <c r="L667">
        <v>11</v>
      </c>
      <c r="M667">
        <v>2</v>
      </c>
      <c r="N667">
        <v>1</v>
      </c>
      <c r="O667" t="s">
        <v>25</v>
      </c>
      <c r="P667">
        <v>4</v>
      </c>
      <c r="Q667">
        <v>0</v>
      </c>
      <c r="R667" t="s">
        <v>26</v>
      </c>
      <c r="S667">
        <v>1</v>
      </c>
      <c r="V667" t="s">
        <v>67</v>
      </c>
    </row>
    <row r="668" spans="1:22" x14ac:dyDescent="0.45">
      <c r="A668" t="str">
        <f>"10781861"</f>
        <v>10781861</v>
      </c>
      <c r="B668" t="s">
        <v>22</v>
      </c>
      <c r="C668" s="1">
        <v>44092</v>
      </c>
      <c r="D668">
        <v>647500</v>
      </c>
      <c r="E668" t="s">
        <v>60</v>
      </c>
      <c r="F668">
        <v>1949</v>
      </c>
      <c r="G668">
        <v>2241</v>
      </c>
      <c r="H668" t="s">
        <v>76</v>
      </c>
      <c r="I668" t="str">
        <f t="shared" si="10"/>
        <v>25</v>
      </c>
      <c r="J668">
        <v>60025</v>
      </c>
      <c r="K668">
        <v>0</v>
      </c>
      <c r="L668">
        <v>8</v>
      </c>
      <c r="M668">
        <v>2</v>
      </c>
      <c r="N668">
        <v>0</v>
      </c>
      <c r="O668" t="s">
        <v>25</v>
      </c>
      <c r="P668">
        <v>3</v>
      </c>
      <c r="Q668">
        <v>0</v>
      </c>
      <c r="R668" t="s">
        <v>26</v>
      </c>
      <c r="S668">
        <v>1</v>
      </c>
      <c r="V668" t="s">
        <v>67</v>
      </c>
    </row>
    <row r="669" spans="1:22" x14ac:dyDescent="0.45">
      <c r="A669" t="str">
        <f>"10730632"</f>
        <v>10730632</v>
      </c>
      <c r="B669" t="s">
        <v>22</v>
      </c>
      <c r="C669" s="1">
        <v>44029</v>
      </c>
      <c r="D669">
        <v>648000</v>
      </c>
      <c r="E669" t="s">
        <v>23</v>
      </c>
      <c r="F669">
        <v>1950</v>
      </c>
      <c r="G669">
        <v>3412</v>
      </c>
      <c r="H669" t="s">
        <v>66</v>
      </c>
      <c r="I669" t="str">
        <f t="shared" si="10"/>
        <v>25</v>
      </c>
      <c r="J669">
        <v>60025</v>
      </c>
      <c r="K669">
        <v>0</v>
      </c>
      <c r="L669">
        <v>11</v>
      </c>
      <c r="M669">
        <v>3</v>
      </c>
      <c r="N669">
        <v>1</v>
      </c>
      <c r="O669" t="s">
        <v>25</v>
      </c>
      <c r="P669">
        <v>4</v>
      </c>
      <c r="Q669">
        <v>0</v>
      </c>
      <c r="R669" t="s">
        <v>26</v>
      </c>
      <c r="S669">
        <v>2</v>
      </c>
      <c r="V669" t="s">
        <v>27</v>
      </c>
    </row>
    <row r="670" spans="1:22" x14ac:dyDescent="0.45">
      <c r="A670" t="str">
        <f>"10896210"</f>
        <v>10896210</v>
      </c>
      <c r="B670" t="s">
        <v>22</v>
      </c>
      <c r="C670" s="1">
        <v>44168</v>
      </c>
      <c r="D670">
        <v>648000</v>
      </c>
      <c r="E670" t="s">
        <v>23</v>
      </c>
      <c r="F670">
        <v>1983</v>
      </c>
      <c r="G670">
        <v>2539</v>
      </c>
      <c r="H670" t="s">
        <v>314</v>
      </c>
      <c r="I670" t="str">
        <f t="shared" si="10"/>
        <v>25</v>
      </c>
      <c r="J670">
        <v>60025</v>
      </c>
      <c r="K670">
        <v>2588</v>
      </c>
      <c r="L670">
        <v>8</v>
      </c>
      <c r="M670">
        <v>2</v>
      </c>
      <c r="N670">
        <v>1</v>
      </c>
      <c r="O670" t="s">
        <v>25</v>
      </c>
      <c r="P670">
        <v>3</v>
      </c>
      <c r="Q670">
        <v>0</v>
      </c>
      <c r="R670" t="s">
        <v>26</v>
      </c>
      <c r="S670">
        <v>2.5</v>
      </c>
      <c r="V670" t="s">
        <v>27</v>
      </c>
    </row>
    <row r="671" spans="1:22" x14ac:dyDescent="0.45">
      <c r="A671" t="str">
        <f>"10855137"</f>
        <v>10855137</v>
      </c>
      <c r="B671" t="s">
        <v>22</v>
      </c>
      <c r="C671" s="1">
        <v>44173</v>
      </c>
      <c r="D671">
        <v>649913</v>
      </c>
      <c r="E671" t="s">
        <v>60</v>
      </c>
      <c r="F671">
        <v>1987</v>
      </c>
      <c r="G671">
        <v>1020</v>
      </c>
      <c r="H671" t="s">
        <v>268</v>
      </c>
      <c r="I671" t="str">
        <f t="shared" si="10"/>
        <v>25</v>
      </c>
      <c r="J671">
        <v>60025</v>
      </c>
      <c r="K671">
        <v>3628</v>
      </c>
      <c r="L671">
        <v>11</v>
      </c>
      <c r="M671">
        <v>4</v>
      </c>
      <c r="N671">
        <v>0</v>
      </c>
      <c r="O671" t="s">
        <v>41</v>
      </c>
      <c r="P671">
        <v>5</v>
      </c>
      <c r="Q671">
        <v>0</v>
      </c>
      <c r="R671" t="s">
        <v>26</v>
      </c>
      <c r="S671">
        <v>3</v>
      </c>
      <c r="V671" t="s">
        <v>67</v>
      </c>
    </row>
    <row r="672" spans="1:22" x14ac:dyDescent="0.45">
      <c r="A672" t="str">
        <f>"10852755"</f>
        <v>10852755</v>
      </c>
      <c r="B672" t="s">
        <v>22</v>
      </c>
      <c r="C672" s="1">
        <v>44117</v>
      </c>
      <c r="D672">
        <v>650000</v>
      </c>
      <c r="E672" t="s">
        <v>23</v>
      </c>
      <c r="F672">
        <v>1951</v>
      </c>
      <c r="G672">
        <v>724</v>
      </c>
      <c r="H672" t="s">
        <v>158</v>
      </c>
      <c r="I672" t="str">
        <f t="shared" si="10"/>
        <v>25</v>
      </c>
      <c r="J672">
        <v>60025</v>
      </c>
      <c r="K672">
        <v>2026</v>
      </c>
      <c r="L672">
        <v>7</v>
      </c>
      <c r="M672">
        <v>2</v>
      </c>
      <c r="N672">
        <v>0</v>
      </c>
      <c r="O672" t="s">
        <v>25</v>
      </c>
      <c r="P672">
        <v>3</v>
      </c>
      <c r="Q672">
        <v>0</v>
      </c>
      <c r="R672" t="s">
        <v>26</v>
      </c>
      <c r="S672">
        <v>2</v>
      </c>
      <c r="V672" t="s">
        <v>27</v>
      </c>
    </row>
    <row r="673" spans="1:22" x14ac:dyDescent="0.45">
      <c r="A673" t="str">
        <f>"10464358"</f>
        <v>10464358</v>
      </c>
      <c r="B673" t="s">
        <v>22</v>
      </c>
      <c r="C673" s="1">
        <v>43728</v>
      </c>
      <c r="D673">
        <v>650000</v>
      </c>
      <c r="E673" t="s">
        <v>60</v>
      </c>
      <c r="F673">
        <v>1976</v>
      </c>
      <c r="G673">
        <v>3804</v>
      </c>
      <c r="H673" t="s">
        <v>258</v>
      </c>
      <c r="I673" t="str">
        <f t="shared" si="10"/>
        <v>25</v>
      </c>
      <c r="J673">
        <v>60026</v>
      </c>
      <c r="K673">
        <v>3700</v>
      </c>
      <c r="L673">
        <v>12</v>
      </c>
      <c r="M673">
        <v>3</v>
      </c>
      <c r="N673">
        <v>1</v>
      </c>
      <c r="O673" t="s">
        <v>41</v>
      </c>
      <c r="P673">
        <v>4</v>
      </c>
      <c r="Q673">
        <v>0</v>
      </c>
      <c r="R673" t="s">
        <v>26</v>
      </c>
      <c r="S673">
        <v>2</v>
      </c>
      <c r="U673">
        <v>1000</v>
      </c>
      <c r="V673" t="s">
        <v>333</v>
      </c>
    </row>
    <row r="674" spans="1:22" x14ac:dyDescent="0.45">
      <c r="A674" t="str">
        <f>"10305860"</f>
        <v>10305860</v>
      </c>
      <c r="B674" t="s">
        <v>22</v>
      </c>
      <c r="C674" s="1">
        <v>43620</v>
      </c>
      <c r="D674">
        <v>650000</v>
      </c>
      <c r="E674" t="s">
        <v>60</v>
      </c>
      <c r="F674">
        <v>1965</v>
      </c>
      <c r="G674">
        <v>1633</v>
      </c>
      <c r="H674" t="s">
        <v>334</v>
      </c>
      <c r="I674" t="str">
        <f t="shared" si="10"/>
        <v>25</v>
      </c>
      <c r="J674">
        <v>60025</v>
      </c>
      <c r="K674">
        <v>2800</v>
      </c>
      <c r="L674">
        <v>10</v>
      </c>
      <c r="M674">
        <v>2</v>
      </c>
      <c r="N674">
        <v>2</v>
      </c>
      <c r="O674" t="s">
        <v>25</v>
      </c>
      <c r="P674">
        <v>4</v>
      </c>
      <c r="Q674">
        <v>0</v>
      </c>
      <c r="R674" t="s">
        <v>26</v>
      </c>
      <c r="S674">
        <v>2</v>
      </c>
    </row>
    <row r="675" spans="1:22" x14ac:dyDescent="0.45">
      <c r="A675" t="str">
        <f>"10251597"</f>
        <v>10251597</v>
      </c>
      <c r="B675" t="s">
        <v>22</v>
      </c>
      <c r="C675" s="1">
        <v>43535</v>
      </c>
      <c r="D675">
        <v>650000</v>
      </c>
      <c r="E675" t="s">
        <v>64</v>
      </c>
      <c r="F675">
        <v>1958</v>
      </c>
      <c r="G675">
        <v>326</v>
      </c>
      <c r="H675" t="s">
        <v>95</v>
      </c>
      <c r="I675" t="str">
        <f t="shared" si="10"/>
        <v>25</v>
      </c>
      <c r="J675">
        <v>60025</v>
      </c>
      <c r="K675">
        <v>0</v>
      </c>
      <c r="L675">
        <v>12</v>
      </c>
      <c r="M675">
        <v>4</v>
      </c>
      <c r="N675">
        <v>0</v>
      </c>
      <c r="O675" t="s">
        <v>25</v>
      </c>
      <c r="P675">
        <v>5</v>
      </c>
      <c r="Q675">
        <v>0</v>
      </c>
      <c r="R675" t="s">
        <v>26</v>
      </c>
      <c r="S675">
        <v>2</v>
      </c>
      <c r="U675">
        <v>0</v>
      </c>
      <c r="V675" t="s">
        <v>36</v>
      </c>
    </row>
    <row r="676" spans="1:22" x14ac:dyDescent="0.45">
      <c r="A676" t="str">
        <f>"10280927"</f>
        <v>10280927</v>
      </c>
      <c r="B676" t="s">
        <v>22</v>
      </c>
      <c r="C676" s="1">
        <v>43551</v>
      </c>
      <c r="D676">
        <v>650000</v>
      </c>
      <c r="E676" t="s">
        <v>23</v>
      </c>
      <c r="F676">
        <v>1953</v>
      </c>
      <c r="G676">
        <v>526</v>
      </c>
      <c r="H676" t="s">
        <v>335</v>
      </c>
      <c r="I676" t="str">
        <f t="shared" si="10"/>
        <v>25</v>
      </c>
      <c r="J676">
        <v>60025</v>
      </c>
      <c r="K676">
        <v>2283</v>
      </c>
      <c r="L676">
        <v>7</v>
      </c>
      <c r="M676">
        <v>2</v>
      </c>
      <c r="N676">
        <v>1</v>
      </c>
      <c r="O676" t="s">
        <v>25</v>
      </c>
      <c r="P676">
        <v>3</v>
      </c>
      <c r="Q676">
        <v>0</v>
      </c>
      <c r="R676" t="s">
        <v>26</v>
      </c>
      <c r="S676">
        <v>3</v>
      </c>
      <c r="V676" t="s">
        <v>27</v>
      </c>
    </row>
    <row r="677" spans="1:22" x14ac:dyDescent="0.45">
      <c r="A677" t="str">
        <f>"10304157"</f>
        <v>10304157</v>
      </c>
      <c r="B677" t="s">
        <v>22</v>
      </c>
      <c r="C677" s="1">
        <v>43592</v>
      </c>
      <c r="D677">
        <v>650000</v>
      </c>
      <c r="E677" t="s">
        <v>60</v>
      </c>
      <c r="F677">
        <v>1967</v>
      </c>
      <c r="G677">
        <v>1641</v>
      </c>
      <c r="H677" t="s">
        <v>334</v>
      </c>
      <c r="I677" t="str">
        <f t="shared" si="10"/>
        <v>25</v>
      </c>
      <c r="J677">
        <v>60025</v>
      </c>
      <c r="K677">
        <v>2684</v>
      </c>
      <c r="L677">
        <v>10</v>
      </c>
      <c r="M677">
        <v>2</v>
      </c>
      <c r="N677">
        <v>1</v>
      </c>
      <c r="O677" t="s">
        <v>25</v>
      </c>
      <c r="P677">
        <v>4</v>
      </c>
      <c r="Q677">
        <v>0</v>
      </c>
      <c r="R677" t="s">
        <v>26</v>
      </c>
      <c r="S677">
        <v>2.5</v>
      </c>
      <c r="U677">
        <v>1100</v>
      </c>
    </row>
    <row r="678" spans="1:22" x14ac:dyDescent="0.45">
      <c r="A678" t="str">
        <f>"10309622"</f>
        <v>10309622</v>
      </c>
      <c r="B678" t="s">
        <v>22</v>
      </c>
      <c r="C678" s="1">
        <v>43663</v>
      </c>
      <c r="D678">
        <v>650000</v>
      </c>
      <c r="E678" t="s">
        <v>60</v>
      </c>
      <c r="F678">
        <v>2001</v>
      </c>
      <c r="G678">
        <v>4405</v>
      </c>
      <c r="H678" t="s">
        <v>336</v>
      </c>
      <c r="I678" t="str">
        <f t="shared" si="10"/>
        <v>25</v>
      </c>
      <c r="J678">
        <v>60026</v>
      </c>
      <c r="K678">
        <v>4814</v>
      </c>
      <c r="L678">
        <v>13</v>
      </c>
      <c r="M678">
        <v>3</v>
      </c>
      <c r="N678">
        <v>1</v>
      </c>
      <c r="O678" t="s">
        <v>41</v>
      </c>
      <c r="P678">
        <v>4</v>
      </c>
      <c r="Q678">
        <v>1</v>
      </c>
      <c r="R678" t="s">
        <v>26</v>
      </c>
      <c r="S678">
        <v>3</v>
      </c>
      <c r="U678">
        <v>1360</v>
      </c>
      <c r="V678" t="s">
        <v>67</v>
      </c>
    </row>
    <row r="679" spans="1:22" x14ac:dyDescent="0.45">
      <c r="A679" t="str">
        <f>"10279017"</f>
        <v>10279017</v>
      </c>
      <c r="B679" t="s">
        <v>22</v>
      </c>
      <c r="C679" s="1">
        <v>43613</v>
      </c>
      <c r="D679">
        <v>650000</v>
      </c>
      <c r="E679" t="s">
        <v>23</v>
      </c>
      <c r="F679">
        <v>1984</v>
      </c>
      <c r="G679">
        <v>2340</v>
      </c>
      <c r="H679" t="s">
        <v>330</v>
      </c>
      <c r="I679" t="str">
        <f t="shared" si="10"/>
        <v>25</v>
      </c>
      <c r="J679">
        <v>60025</v>
      </c>
      <c r="K679">
        <v>2581</v>
      </c>
      <c r="L679">
        <v>10</v>
      </c>
      <c r="M679">
        <v>2</v>
      </c>
      <c r="N679">
        <v>1</v>
      </c>
      <c r="O679" t="s">
        <v>25</v>
      </c>
      <c r="P679">
        <v>3</v>
      </c>
      <c r="Q679">
        <v>0</v>
      </c>
      <c r="R679" t="s">
        <v>26</v>
      </c>
      <c r="S679">
        <v>2</v>
      </c>
      <c r="V679" t="s">
        <v>27</v>
      </c>
    </row>
    <row r="680" spans="1:22" x14ac:dyDescent="0.45">
      <c r="A680" t="str">
        <f>"10166662"</f>
        <v>10166662</v>
      </c>
      <c r="B680" t="s">
        <v>22</v>
      </c>
      <c r="C680" s="1">
        <v>43531</v>
      </c>
      <c r="D680">
        <v>650000</v>
      </c>
      <c r="E680" t="s">
        <v>60</v>
      </c>
      <c r="F680">
        <v>1977</v>
      </c>
      <c r="G680">
        <v>2627</v>
      </c>
      <c r="H680" t="s">
        <v>337</v>
      </c>
      <c r="I680" t="str">
        <f t="shared" si="10"/>
        <v>25</v>
      </c>
      <c r="J680">
        <v>60026</v>
      </c>
      <c r="K680">
        <v>2814</v>
      </c>
      <c r="L680">
        <v>11</v>
      </c>
      <c r="M680">
        <v>2</v>
      </c>
      <c r="N680">
        <v>1</v>
      </c>
      <c r="O680" t="s">
        <v>25</v>
      </c>
      <c r="P680">
        <v>4</v>
      </c>
      <c r="Q680">
        <v>0</v>
      </c>
      <c r="R680" t="s">
        <v>26</v>
      </c>
      <c r="S680">
        <v>2</v>
      </c>
    </row>
    <row r="681" spans="1:22" x14ac:dyDescent="0.45">
      <c r="A681" t="str">
        <f>"10745296"</f>
        <v>10745296</v>
      </c>
      <c r="B681" t="s">
        <v>22</v>
      </c>
      <c r="C681" s="1">
        <v>44033</v>
      </c>
      <c r="D681">
        <v>650000</v>
      </c>
      <c r="E681" t="s">
        <v>60</v>
      </c>
      <c r="F681">
        <v>1964</v>
      </c>
      <c r="G681">
        <v>1510</v>
      </c>
      <c r="H681" t="s">
        <v>154</v>
      </c>
      <c r="I681" t="str">
        <f t="shared" si="10"/>
        <v>25</v>
      </c>
      <c r="J681">
        <v>60025</v>
      </c>
      <c r="K681">
        <v>3321</v>
      </c>
      <c r="L681">
        <v>9</v>
      </c>
      <c r="M681">
        <v>2</v>
      </c>
      <c r="N681">
        <v>1</v>
      </c>
      <c r="O681" t="s">
        <v>25</v>
      </c>
      <c r="P681">
        <v>4</v>
      </c>
      <c r="Q681">
        <v>0</v>
      </c>
      <c r="R681" t="s">
        <v>26</v>
      </c>
      <c r="S681">
        <v>2</v>
      </c>
      <c r="U681">
        <v>1118</v>
      </c>
      <c r="V681" t="s">
        <v>67</v>
      </c>
    </row>
    <row r="682" spans="1:22" x14ac:dyDescent="0.45">
      <c r="A682" t="str">
        <f>"10674682"</f>
        <v>10674682</v>
      </c>
      <c r="B682" t="s">
        <v>22</v>
      </c>
      <c r="C682" s="1">
        <v>44120</v>
      </c>
      <c r="D682">
        <v>650000</v>
      </c>
      <c r="E682" t="s">
        <v>60</v>
      </c>
      <c r="F682">
        <v>2007</v>
      </c>
      <c r="G682">
        <v>3920</v>
      </c>
      <c r="H682" t="s">
        <v>338</v>
      </c>
      <c r="I682" t="str">
        <f t="shared" si="10"/>
        <v>25</v>
      </c>
      <c r="J682">
        <v>60025</v>
      </c>
      <c r="K682">
        <v>3910</v>
      </c>
      <c r="L682">
        <v>7</v>
      </c>
      <c r="M682">
        <v>2</v>
      </c>
      <c r="N682">
        <v>1</v>
      </c>
      <c r="O682" t="s">
        <v>41</v>
      </c>
      <c r="P682">
        <v>4</v>
      </c>
      <c r="Q682">
        <v>0</v>
      </c>
      <c r="R682" t="s">
        <v>26</v>
      </c>
      <c r="S682">
        <v>2</v>
      </c>
    </row>
    <row r="683" spans="1:22" x14ac:dyDescent="0.45">
      <c r="A683" t="str">
        <f>"10917964"</f>
        <v>10917964</v>
      </c>
      <c r="B683" t="s">
        <v>22</v>
      </c>
      <c r="C683" s="1">
        <v>44193</v>
      </c>
      <c r="D683">
        <v>651500</v>
      </c>
      <c r="E683" t="s">
        <v>31</v>
      </c>
      <c r="F683">
        <v>1967</v>
      </c>
      <c r="G683">
        <v>1030</v>
      </c>
      <c r="H683" t="s">
        <v>294</v>
      </c>
      <c r="I683" t="str">
        <f t="shared" si="10"/>
        <v>25</v>
      </c>
      <c r="J683">
        <v>60025</v>
      </c>
      <c r="K683">
        <v>3147</v>
      </c>
      <c r="L683">
        <v>8</v>
      </c>
      <c r="M683">
        <v>3</v>
      </c>
      <c r="N683">
        <v>0</v>
      </c>
      <c r="O683" t="s">
        <v>25</v>
      </c>
      <c r="P683">
        <v>4</v>
      </c>
      <c r="Q683">
        <v>0</v>
      </c>
      <c r="R683" t="s">
        <v>26</v>
      </c>
      <c r="S683">
        <v>1.5</v>
      </c>
      <c r="V683" t="s">
        <v>33</v>
      </c>
    </row>
    <row r="684" spans="1:22" x14ac:dyDescent="0.45">
      <c r="A684" t="str">
        <f>"10847341"</f>
        <v>10847341</v>
      </c>
      <c r="B684" t="s">
        <v>22</v>
      </c>
      <c r="C684" s="1">
        <v>44151</v>
      </c>
      <c r="D684">
        <v>652500</v>
      </c>
      <c r="E684" t="s">
        <v>60</v>
      </c>
      <c r="F684">
        <v>1966</v>
      </c>
      <c r="G684">
        <v>1625</v>
      </c>
      <c r="H684" t="s">
        <v>177</v>
      </c>
      <c r="I684" t="str">
        <f t="shared" si="10"/>
        <v>25</v>
      </c>
      <c r="J684">
        <v>60026</v>
      </c>
      <c r="K684">
        <v>2908</v>
      </c>
      <c r="L684">
        <v>11</v>
      </c>
      <c r="M684">
        <v>3</v>
      </c>
      <c r="N684">
        <v>1</v>
      </c>
      <c r="O684" t="s">
        <v>41</v>
      </c>
      <c r="P684">
        <v>4</v>
      </c>
      <c r="Q684">
        <v>0</v>
      </c>
      <c r="R684" t="s">
        <v>26</v>
      </c>
      <c r="S684">
        <v>2</v>
      </c>
    </row>
    <row r="685" spans="1:22" x14ac:dyDescent="0.45">
      <c r="A685" t="str">
        <f>"10130742"</f>
        <v>10130742</v>
      </c>
      <c r="B685" t="s">
        <v>22</v>
      </c>
      <c r="C685" s="1">
        <v>43546</v>
      </c>
      <c r="D685">
        <v>653500</v>
      </c>
      <c r="E685" t="s">
        <v>60</v>
      </c>
      <c r="F685">
        <v>1997</v>
      </c>
      <c r="G685">
        <v>1505</v>
      </c>
      <c r="H685" t="s">
        <v>271</v>
      </c>
      <c r="I685" t="str">
        <f t="shared" si="10"/>
        <v>25</v>
      </c>
      <c r="J685">
        <v>60025</v>
      </c>
      <c r="K685">
        <v>2611</v>
      </c>
      <c r="L685">
        <v>9</v>
      </c>
      <c r="M685">
        <v>3</v>
      </c>
      <c r="N685">
        <v>1</v>
      </c>
      <c r="O685" t="s">
        <v>41</v>
      </c>
      <c r="P685">
        <v>3</v>
      </c>
      <c r="Q685">
        <v>0</v>
      </c>
      <c r="R685" t="s">
        <v>26</v>
      </c>
      <c r="S685">
        <v>2</v>
      </c>
    </row>
    <row r="686" spans="1:22" x14ac:dyDescent="0.45">
      <c r="A686" t="str">
        <f>"10135749"</f>
        <v>10135749</v>
      </c>
      <c r="B686" t="s">
        <v>22</v>
      </c>
      <c r="C686" s="1">
        <v>43525</v>
      </c>
      <c r="D686">
        <v>655000</v>
      </c>
      <c r="E686" t="s">
        <v>31</v>
      </c>
      <c r="F686">
        <v>1954</v>
      </c>
      <c r="G686">
        <v>1313</v>
      </c>
      <c r="H686" t="s">
        <v>286</v>
      </c>
      <c r="I686" t="str">
        <f t="shared" si="10"/>
        <v>25</v>
      </c>
      <c r="J686">
        <v>60025</v>
      </c>
      <c r="K686">
        <v>0</v>
      </c>
      <c r="L686">
        <v>8</v>
      </c>
      <c r="M686">
        <v>2</v>
      </c>
      <c r="N686">
        <v>0</v>
      </c>
      <c r="O686" t="s">
        <v>25</v>
      </c>
      <c r="P686">
        <v>3</v>
      </c>
      <c r="Q686">
        <v>0</v>
      </c>
      <c r="R686" t="s">
        <v>26</v>
      </c>
      <c r="S686">
        <v>1.5</v>
      </c>
      <c r="V686" t="s">
        <v>33</v>
      </c>
    </row>
    <row r="687" spans="1:22" x14ac:dyDescent="0.45">
      <c r="A687" t="str">
        <f>"10589500"</f>
        <v>10589500</v>
      </c>
      <c r="B687" t="s">
        <v>22</v>
      </c>
      <c r="C687" s="1">
        <v>43879</v>
      </c>
      <c r="D687">
        <v>657000</v>
      </c>
      <c r="E687" t="s">
        <v>60</v>
      </c>
      <c r="F687">
        <v>1999</v>
      </c>
      <c r="G687">
        <v>3545</v>
      </c>
      <c r="H687" t="s">
        <v>339</v>
      </c>
      <c r="I687" t="str">
        <f t="shared" si="10"/>
        <v>25</v>
      </c>
      <c r="J687">
        <v>60026</v>
      </c>
      <c r="K687">
        <v>2700</v>
      </c>
      <c r="L687">
        <v>11</v>
      </c>
      <c r="M687">
        <v>3</v>
      </c>
      <c r="N687">
        <v>1</v>
      </c>
      <c r="O687" t="s">
        <v>41</v>
      </c>
      <c r="P687">
        <v>4</v>
      </c>
      <c r="Q687">
        <v>0</v>
      </c>
      <c r="R687" t="s">
        <v>26</v>
      </c>
      <c r="S687">
        <v>2</v>
      </c>
      <c r="V687" t="s">
        <v>67</v>
      </c>
    </row>
    <row r="688" spans="1:22" x14ac:dyDescent="0.45">
      <c r="A688" t="str">
        <f>"10314265"</f>
        <v>10314265</v>
      </c>
      <c r="B688" t="s">
        <v>22</v>
      </c>
      <c r="C688" s="1">
        <v>43920</v>
      </c>
      <c r="D688">
        <v>657500</v>
      </c>
      <c r="E688" t="s">
        <v>60</v>
      </c>
      <c r="F688">
        <v>1984</v>
      </c>
      <c r="G688">
        <v>2515</v>
      </c>
      <c r="H688" t="s">
        <v>340</v>
      </c>
      <c r="I688" t="str">
        <f t="shared" si="10"/>
        <v>25</v>
      </c>
      <c r="J688">
        <v>60026</v>
      </c>
      <c r="K688">
        <v>3291</v>
      </c>
      <c r="L688">
        <v>9</v>
      </c>
      <c r="M688">
        <v>2</v>
      </c>
      <c r="N688">
        <v>1</v>
      </c>
      <c r="O688" t="s">
        <v>25</v>
      </c>
      <c r="P688">
        <v>4</v>
      </c>
      <c r="Q688">
        <v>0</v>
      </c>
      <c r="R688" t="s">
        <v>26</v>
      </c>
      <c r="S688">
        <v>2.1</v>
      </c>
    </row>
    <row r="689" spans="1:22" x14ac:dyDescent="0.45">
      <c r="A689" t="str">
        <f>"10449004"</f>
        <v>10449004</v>
      </c>
      <c r="B689" t="s">
        <v>22</v>
      </c>
      <c r="C689" s="1">
        <v>43754</v>
      </c>
      <c r="D689">
        <v>658000</v>
      </c>
      <c r="E689" t="s">
        <v>60</v>
      </c>
      <c r="F689">
        <v>1992</v>
      </c>
      <c r="G689">
        <v>3724</v>
      </c>
      <c r="H689" t="s">
        <v>341</v>
      </c>
      <c r="I689" t="str">
        <f t="shared" si="10"/>
        <v>25</v>
      </c>
      <c r="J689">
        <v>60026</v>
      </c>
      <c r="K689">
        <v>3481</v>
      </c>
      <c r="L689">
        <v>11</v>
      </c>
      <c r="M689">
        <v>3</v>
      </c>
      <c r="N689">
        <v>2</v>
      </c>
      <c r="O689" t="s">
        <v>41</v>
      </c>
      <c r="P689">
        <v>4</v>
      </c>
      <c r="Q689">
        <v>1</v>
      </c>
      <c r="R689" t="s">
        <v>26</v>
      </c>
      <c r="S689">
        <v>3</v>
      </c>
    </row>
    <row r="690" spans="1:22" x14ac:dyDescent="0.45">
      <c r="A690" t="str">
        <f>"10737121"</f>
        <v>10737121</v>
      </c>
      <c r="B690" t="s">
        <v>22</v>
      </c>
      <c r="C690" s="1">
        <v>44071</v>
      </c>
      <c r="D690">
        <v>660000</v>
      </c>
      <c r="E690" t="s">
        <v>23</v>
      </c>
      <c r="F690">
        <v>1961</v>
      </c>
      <c r="G690">
        <v>1300</v>
      </c>
      <c r="H690" t="s">
        <v>300</v>
      </c>
      <c r="I690" t="str">
        <f t="shared" si="10"/>
        <v>25</v>
      </c>
      <c r="J690">
        <v>60025</v>
      </c>
      <c r="K690">
        <v>0</v>
      </c>
      <c r="L690">
        <v>12</v>
      </c>
      <c r="M690">
        <v>4</v>
      </c>
      <c r="N690">
        <v>0</v>
      </c>
      <c r="O690" t="s">
        <v>41</v>
      </c>
      <c r="P690">
        <v>5</v>
      </c>
      <c r="Q690">
        <v>0</v>
      </c>
      <c r="R690" t="s">
        <v>26</v>
      </c>
      <c r="S690">
        <v>2</v>
      </c>
    </row>
    <row r="691" spans="1:22" x14ac:dyDescent="0.45">
      <c r="A691" t="str">
        <f>"10265255"</f>
        <v>10265255</v>
      </c>
      <c r="B691" t="s">
        <v>22</v>
      </c>
      <c r="C691" s="1">
        <v>43656</v>
      </c>
      <c r="D691">
        <v>660000</v>
      </c>
      <c r="E691" t="s">
        <v>60</v>
      </c>
      <c r="F691">
        <v>1948</v>
      </c>
      <c r="G691">
        <v>1953</v>
      </c>
      <c r="H691" t="s">
        <v>135</v>
      </c>
      <c r="I691" t="str">
        <f t="shared" si="10"/>
        <v>25</v>
      </c>
      <c r="J691">
        <v>60025</v>
      </c>
      <c r="K691">
        <v>0</v>
      </c>
      <c r="L691">
        <v>9</v>
      </c>
      <c r="M691">
        <v>2</v>
      </c>
      <c r="N691">
        <v>1</v>
      </c>
      <c r="O691" t="s">
        <v>25</v>
      </c>
      <c r="P691">
        <v>4</v>
      </c>
      <c r="Q691">
        <v>0</v>
      </c>
      <c r="R691" t="s">
        <v>35</v>
      </c>
      <c r="S691">
        <v>2.5</v>
      </c>
    </row>
    <row r="692" spans="1:22" x14ac:dyDescent="0.45">
      <c r="A692" t="str">
        <f>"10041216"</f>
        <v>10041216</v>
      </c>
      <c r="B692" t="s">
        <v>22</v>
      </c>
      <c r="C692" s="1">
        <v>43517</v>
      </c>
      <c r="D692">
        <v>660000</v>
      </c>
      <c r="E692" t="s">
        <v>60</v>
      </c>
      <c r="F692">
        <v>1975</v>
      </c>
      <c r="G692">
        <v>1609</v>
      </c>
      <c r="H692" t="s">
        <v>342</v>
      </c>
      <c r="I692" t="str">
        <f t="shared" si="10"/>
        <v>25</v>
      </c>
      <c r="J692">
        <v>60025</v>
      </c>
      <c r="K692">
        <v>3420</v>
      </c>
      <c r="L692">
        <v>10</v>
      </c>
      <c r="M692">
        <v>2</v>
      </c>
      <c r="N692">
        <v>1</v>
      </c>
      <c r="O692" t="s">
        <v>25</v>
      </c>
      <c r="P692">
        <v>5</v>
      </c>
      <c r="Q692">
        <v>0</v>
      </c>
      <c r="R692" t="s">
        <v>26</v>
      </c>
      <c r="S692">
        <v>2</v>
      </c>
      <c r="V692" t="s">
        <v>67</v>
      </c>
    </row>
    <row r="693" spans="1:22" x14ac:dyDescent="0.45">
      <c r="A693" t="str">
        <f>"10447643"</f>
        <v>10447643</v>
      </c>
      <c r="B693" t="s">
        <v>22</v>
      </c>
      <c r="C693" s="1">
        <v>43787</v>
      </c>
      <c r="D693">
        <v>663000</v>
      </c>
      <c r="E693" t="s">
        <v>23</v>
      </c>
      <c r="F693">
        <v>1983</v>
      </c>
      <c r="G693">
        <v>741</v>
      </c>
      <c r="H693" t="s">
        <v>343</v>
      </c>
      <c r="I693" t="str">
        <f t="shared" si="10"/>
        <v>25</v>
      </c>
      <c r="J693">
        <v>60025</v>
      </c>
      <c r="K693">
        <v>2634</v>
      </c>
      <c r="L693">
        <v>10</v>
      </c>
      <c r="M693">
        <v>2</v>
      </c>
      <c r="N693">
        <v>1</v>
      </c>
      <c r="O693" t="s">
        <v>41</v>
      </c>
      <c r="P693">
        <v>4</v>
      </c>
      <c r="Q693">
        <v>0</v>
      </c>
      <c r="R693" t="s">
        <v>26</v>
      </c>
      <c r="S693">
        <v>2</v>
      </c>
      <c r="U693">
        <v>2634</v>
      </c>
      <c r="V693" t="s">
        <v>27</v>
      </c>
    </row>
    <row r="694" spans="1:22" x14ac:dyDescent="0.45">
      <c r="A694" t="str">
        <f>"10779572"</f>
        <v>10779572</v>
      </c>
      <c r="B694" t="s">
        <v>22</v>
      </c>
      <c r="C694" s="1">
        <v>44013</v>
      </c>
      <c r="D694">
        <v>665000</v>
      </c>
      <c r="E694" t="s">
        <v>143</v>
      </c>
      <c r="F694">
        <v>1966</v>
      </c>
      <c r="G694">
        <v>1716</v>
      </c>
      <c r="H694" t="s">
        <v>344</v>
      </c>
      <c r="I694" t="str">
        <f t="shared" si="10"/>
        <v>25</v>
      </c>
      <c r="J694">
        <v>60025</v>
      </c>
      <c r="K694">
        <v>2350</v>
      </c>
      <c r="L694">
        <v>7</v>
      </c>
      <c r="M694">
        <v>2</v>
      </c>
      <c r="N694">
        <v>0</v>
      </c>
      <c r="O694" t="s">
        <v>25</v>
      </c>
      <c r="P694">
        <v>3</v>
      </c>
      <c r="Q694">
        <v>0</v>
      </c>
      <c r="R694" t="s">
        <v>26</v>
      </c>
      <c r="S694">
        <v>2</v>
      </c>
      <c r="T694">
        <v>4</v>
      </c>
      <c r="U694">
        <v>1600</v>
      </c>
      <c r="V694" t="s">
        <v>27</v>
      </c>
    </row>
    <row r="695" spans="1:22" x14ac:dyDescent="0.45">
      <c r="A695" t="str">
        <f>"10794366"</f>
        <v>10794366</v>
      </c>
      <c r="B695" t="s">
        <v>22</v>
      </c>
      <c r="C695" s="1">
        <v>44075</v>
      </c>
      <c r="D695">
        <v>665000</v>
      </c>
      <c r="E695" t="s">
        <v>60</v>
      </c>
      <c r="F695">
        <v>1939</v>
      </c>
      <c r="G695">
        <v>1521</v>
      </c>
      <c r="H695" t="s">
        <v>300</v>
      </c>
      <c r="I695" t="str">
        <f t="shared" si="10"/>
        <v>25</v>
      </c>
      <c r="J695">
        <v>60025</v>
      </c>
      <c r="K695">
        <v>3179</v>
      </c>
      <c r="L695">
        <v>11</v>
      </c>
      <c r="M695">
        <v>2</v>
      </c>
      <c r="N695">
        <v>1</v>
      </c>
      <c r="O695" t="s">
        <v>25</v>
      </c>
      <c r="P695">
        <v>4</v>
      </c>
      <c r="Q695">
        <v>0</v>
      </c>
      <c r="R695" t="s">
        <v>26</v>
      </c>
      <c r="S695">
        <v>2</v>
      </c>
      <c r="U695">
        <v>633</v>
      </c>
      <c r="V695" t="s">
        <v>33</v>
      </c>
    </row>
    <row r="696" spans="1:22" x14ac:dyDescent="0.45">
      <c r="A696" t="str">
        <f>"10609084"</f>
        <v>10609084</v>
      </c>
      <c r="B696" t="s">
        <v>22</v>
      </c>
      <c r="C696" s="1">
        <v>43899</v>
      </c>
      <c r="D696">
        <v>665000</v>
      </c>
      <c r="E696" t="s">
        <v>60</v>
      </c>
      <c r="F696">
        <v>2010</v>
      </c>
      <c r="G696">
        <v>1406</v>
      </c>
      <c r="H696" t="s">
        <v>55</v>
      </c>
      <c r="I696" t="str">
        <f t="shared" si="10"/>
        <v>25</v>
      </c>
      <c r="J696">
        <v>60025</v>
      </c>
      <c r="K696">
        <v>0</v>
      </c>
      <c r="L696">
        <v>12</v>
      </c>
      <c r="M696">
        <v>4</v>
      </c>
      <c r="N696">
        <v>1</v>
      </c>
      <c r="O696" t="s">
        <v>41</v>
      </c>
      <c r="P696">
        <v>4</v>
      </c>
      <c r="Q696">
        <v>1</v>
      </c>
      <c r="R696" t="s">
        <v>26</v>
      </c>
      <c r="S696">
        <v>2</v>
      </c>
    </row>
    <row r="697" spans="1:22" x14ac:dyDescent="0.45">
      <c r="A697" t="str">
        <f>"10322736"</f>
        <v>10322736</v>
      </c>
      <c r="B697" t="s">
        <v>22</v>
      </c>
      <c r="C697" s="1">
        <v>43623</v>
      </c>
      <c r="D697">
        <v>665000</v>
      </c>
      <c r="E697" t="s">
        <v>60</v>
      </c>
      <c r="F697">
        <v>1961</v>
      </c>
      <c r="G697">
        <v>808</v>
      </c>
      <c r="H697" t="s">
        <v>44</v>
      </c>
      <c r="I697" t="str">
        <f t="shared" si="10"/>
        <v>25</v>
      </c>
      <c r="J697">
        <v>60025</v>
      </c>
      <c r="K697">
        <v>2520</v>
      </c>
      <c r="L697">
        <v>10</v>
      </c>
      <c r="M697">
        <v>3</v>
      </c>
      <c r="N697">
        <v>1</v>
      </c>
      <c r="O697" t="s">
        <v>41</v>
      </c>
      <c r="P697">
        <v>5</v>
      </c>
      <c r="Q697">
        <v>1</v>
      </c>
      <c r="R697" t="s">
        <v>26</v>
      </c>
      <c r="S697">
        <v>2</v>
      </c>
      <c r="V697" t="s">
        <v>67</v>
      </c>
    </row>
    <row r="698" spans="1:22" x14ac:dyDescent="0.45">
      <c r="A698" t="str">
        <f>"10846801"</f>
        <v>10846801</v>
      </c>
      <c r="B698" t="s">
        <v>22</v>
      </c>
      <c r="C698" s="1">
        <v>44148</v>
      </c>
      <c r="D698">
        <v>665000</v>
      </c>
      <c r="E698" t="s">
        <v>37</v>
      </c>
      <c r="F698">
        <v>1962</v>
      </c>
      <c r="G698">
        <v>1302</v>
      </c>
      <c r="H698" t="s">
        <v>345</v>
      </c>
      <c r="I698" t="str">
        <f t="shared" si="10"/>
        <v>25</v>
      </c>
      <c r="J698">
        <v>60025</v>
      </c>
      <c r="K698">
        <v>2200</v>
      </c>
      <c r="L698">
        <v>7</v>
      </c>
      <c r="M698">
        <v>2</v>
      </c>
      <c r="N698">
        <v>0</v>
      </c>
      <c r="O698" t="s">
        <v>41</v>
      </c>
      <c r="P698">
        <v>3</v>
      </c>
      <c r="Q698">
        <v>0</v>
      </c>
      <c r="R698" t="s">
        <v>26</v>
      </c>
      <c r="S698">
        <v>2</v>
      </c>
      <c r="V698" t="s">
        <v>36</v>
      </c>
    </row>
    <row r="699" spans="1:22" x14ac:dyDescent="0.45">
      <c r="A699" t="str">
        <f>"10622623"</f>
        <v>10622623</v>
      </c>
      <c r="B699" t="s">
        <v>22</v>
      </c>
      <c r="C699" s="1">
        <v>43979</v>
      </c>
      <c r="D699">
        <v>665000</v>
      </c>
      <c r="E699" t="s">
        <v>60</v>
      </c>
      <c r="F699">
        <v>2001</v>
      </c>
      <c r="G699">
        <v>1828</v>
      </c>
      <c r="H699" t="s">
        <v>154</v>
      </c>
      <c r="I699" t="str">
        <f t="shared" si="10"/>
        <v>25</v>
      </c>
      <c r="J699">
        <v>60025</v>
      </c>
      <c r="K699">
        <v>0</v>
      </c>
      <c r="L699">
        <v>10</v>
      </c>
      <c r="M699">
        <v>3</v>
      </c>
      <c r="N699">
        <v>1</v>
      </c>
      <c r="O699" t="s">
        <v>25</v>
      </c>
      <c r="P699">
        <v>5</v>
      </c>
      <c r="Q699">
        <v>0</v>
      </c>
      <c r="R699" t="s">
        <v>26</v>
      </c>
      <c r="S699">
        <v>2</v>
      </c>
    </row>
    <row r="700" spans="1:22" x14ac:dyDescent="0.45">
      <c r="A700" t="str">
        <f>"10699358"</f>
        <v>10699358</v>
      </c>
      <c r="B700" t="s">
        <v>22</v>
      </c>
      <c r="C700" s="1">
        <v>44169</v>
      </c>
      <c r="D700">
        <v>665000</v>
      </c>
      <c r="E700" t="s">
        <v>60</v>
      </c>
      <c r="F700">
        <v>2020</v>
      </c>
      <c r="G700">
        <v>1069</v>
      </c>
      <c r="H700" t="s">
        <v>346</v>
      </c>
      <c r="I700" t="str">
        <f t="shared" si="10"/>
        <v>25</v>
      </c>
      <c r="J700">
        <v>60025</v>
      </c>
      <c r="K700">
        <v>2530</v>
      </c>
      <c r="L700">
        <v>8</v>
      </c>
      <c r="M700">
        <v>3</v>
      </c>
      <c r="N700">
        <v>0</v>
      </c>
      <c r="O700" t="s">
        <v>25</v>
      </c>
      <c r="P700">
        <v>3</v>
      </c>
      <c r="Q700">
        <v>0</v>
      </c>
      <c r="R700" t="s">
        <v>26</v>
      </c>
      <c r="S700">
        <v>2</v>
      </c>
      <c r="U700">
        <v>0</v>
      </c>
    </row>
    <row r="701" spans="1:22" x14ac:dyDescent="0.45">
      <c r="A701" t="str">
        <f>"10600837"</f>
        <v>10600837</v>
      </c>
      <c r="B701" t="s">
        <v>22</v>
      </c>
      <c r="C701" s="1">
        <v>44063</v>
      </c>
      <c r="D701">
        <v>667500</v>
      </c>
      <c r="E701" t="s">
        <v>23</v>
      </c>
      <c r="F701">
        <v>1984</v>
      </c>
      <c r="G701">
        <v>2306</v>
      </c>
      <c r="H701" t="s">
        <v>347</v>
      </c>
      <c r="I701" t="str">
        <f t="shared" si="10"/>
        <v>25</v>
      </c>
      <c r="J701">
        <v>60026</v>
      </c>
      <c r="K701">
        <v>2581</v>
      </c>
      <c r="L701">
        <v>9</v>
      </c>
      <c r="M701">
        <v>2</v>
      </c>
      <c r="N701">
        <v>1</v>
      </c>
      <c r="O701" t="s">
        <v>25</v>
      </c>
      <c r="P701">
        <v>3</v>
      </c>
      <c r="Q701">
        <v>0</v>
      </c>
      <c r="R701" t="s">
        <v>26</v>
      </c>
      <c r="S701">
        <v>2.5</v>
      </c>
      <c r="V701" t="s">
        <v>27</v>
      </c>
    </row>
    <row r="702" spans="1:22" x14ac:dyDescent="0.45">
      <c r="A702" t="str">
        <f>"10863579"</f>
        <v>10863579</v>
      </c>
      <c r="B702" t="s">
        <v>22</v>
      </c>
      <c r="C702" s="1">
        <v>44168</v>
      </c>
      <c r="D702">
        <v>669900</v>
      </c>
      <c r="E702" t="s">
        <v>60</v>
      </c>
      <c r="F702">
        <v>2003</v>
      </c>
      <c r="G702">
        <v>2535</v>
      </c>
      <c r="H702" t="s">
        <v>115</v>
      </c>
      <c r="I702" t="str">
        <f t="shared" si="10"/>
        <v>25</v>
      </c>
      <c r="J702">
        <v>60025</v>
      </c>
      <c r="K702">
        <v>4700</v>
      </c>
      <c r="L702">
        <v>12</v>
      </c>
      <c r="M702">
        <v>4</v>
      </c>
      <c r="N702">
        <v>1</v>
      </c>
      <c r="O702" t="s">
        <v>41</v>
      </c>
      <c r="P702">
        <v>5</v>
      </c>
      <c r="Q702">
        <v>0</v>
      </c>
      <c r="R702" t="s">
        <v>26</v>
      </c>
      <c r="S702">
        <v>2</v>
      </c>
      <c r="V702" t="s">
        <v>67</v>
      </c>
    </row>
    <row r="703" spans="1:22" x14ac:dyDescent="0.45">
      <c r="A703" t="str">
        <f>"10799583"</f>
        <v>10799583</v>
      </c>
      <c r="B703" t="s">
        <v>22</v>
      </c>
      <c r="C703" s="1">
        <v>44127</v>
      </c>
      <c r="D703">
        <v>670000</v>
      </c>
      <c r="E703" t="s">
        <v>60</v>
      </c>
      <c r="F703">
        <v>1966</v>
      </c>
      <c r="G703">
        <v>1300</v>
      </c>
      <c r="H703" t="s">
        <v>261</v>
      </c>
      <c r="I703" t="str">
        <f t="shared" si="10"/>
        <v>25</v>
      </c>
      <c r="J703">
        <v>60025</v>
      </c>
      <c r="K703">
        <v>3476</v>
      </c>
      <c r="L703">
        <v>10</v>
      </c>
      <c r="M703">
        <v>2</v>
      </c>
      <c r="N703">
        <v>1</v>
      </c>
      <c r="O703" t="s">
        <v>25</v>
      </c>
      <c r="P703">
        <v>4</v>
      </c>
      <c r="Q703">
        <v>0</v>
      </c>
      <c r="R703" t="s">
        <v>26</v>
      </c>
      <c r="S703">
        <v>2</v>
      </c>
      <c r="V703" t="s">
        <v>67</v>
      </c>
    </row>
    <row r="704" spans="1:22" x14ac:dyDescent="0.45">
      <c r="A704" t="str">
        <f>"10130156"</f>
        <v>10130156</v>
      </c>
      <c r="B704" t="s">
        <v>22</v>
      </c>
      <c r="C704" s="1">
        <v>43732</v>
      </c>
      <c r="D704">
        <v>672458</v>
      </c>
      <c r="E704" t="s">
        <v>23</v>
      </c>
      <c r="F704">
        <v>2019</v>
      </c>
      <c r="G704">
        <v>1057</v>
      </c>
      <c r="H704" t="s">
        <v>346</v>
      </c>
      <c r="I704" t="str">
        <f t="shared" si="10"/>
        <v>25</v>
      </c>
      <c r="J704">
        <v>60025</v>
      </c>
      <c r="K704">
        <v>2308</v>
      </c>
      <c r="L704">
        <v>6</v>
      </c>
      <c r="M704">
        <v>2</v>
      </c>
      <c r="N704">
        <v>0</v>
      </c>
      <c r="O704" t="s">
        <v>25</v>
      </c>
      <c r="P704">
        <v>3</v>
      </c>
      <c r="Q704">
        <v>0</v>
      </c>
      <c r="R704" t="s">
        <v>26</v>
      </c>
      <c r="S704">
        <v>2</v>
      </c>
      <c r="U704">
        <v>0</v>
      </c>
      <c r="V704" t="s">
        <v>27</v>
      </c>
    </row>
    <row r="705" spans="1:22" x14ac:dyDescent="0.45">
      <c r="A705" t="str">
        <f>"10140353"</f>
        <v>10140353</v>
      </c>
      <c r="B705" t="s">
        <v>22</v>
      </c>
      <c r="C705" s="1">
        <v>43563</v>
      </c>
      <c r="D705">
        <v>672500</v>
      </c>
      <c r="E705" t="s">
        <v>60</v>
      </c>
      <c r="F705">
        <v>1952</v>
      </c>
      <c r="G705">
        <v>244</v>
      </c>
      <c r="H705" t="s">
        <v>63</v>
      </c>
      <c r="I705" t="str">
        <f t="shared" si="10"/>
        <v>25</v>
      </c>
      <c r="J705">
        <v>60025</v>
      </c>
      <c r="K705">
        <v>2814</v>
      </c>
      <c r="L705">
        <v>12</v>
      </c>
      <c r="M705">
        <v>3</v>
      </c>
      <c r="N705">
        <v>0</v>
      </c>
      <c r="O705" t="s">
        <v>25</v>
      </c>
      <c r="P705">
        <v>5</v>
      </c>
      <c r="Q705">
        <v>0</v>
      </c>
      <c r="R705" t="s">
        <v>26</v>
      </c>
      <c r="S705">
        <v>2.5</v>
      </c>
      <c r="V705" t="s">
        <v>33</v>
      </c>
    </row>
    <row r="706" spans="1:22" x14ac:dyDescent="0.45">
      <c r="A706" t="str">
        <f>"10786059"</f>
        <v>10786059</v>
      </c>
      <c r="B706" t="s">
        <v>22</v>
      </c>
      <c r="C706" s="1">
        <v>44083</v>
      </c>
      <c r="D706">
        <v>675000</v>
      </c>
      <c r="E706" t="s">
        <v>60</v>
      </c>
      <c r="F706">
        <v>1941</v>
      </c>
      <c r="G706">
        <v>2022</v>
      </c>
      <c r="H706" t="s">
        <v>245</v>
      </c>
      <c r="I706" t="str">
        <f t="shared" ref="I706:I769" si="11">"25"</f>
        <v>25</v>
      </c>
      <c r="J706">
        <v>60025</v>
      </c>
      <c r="K706">
        <v>0</v>
      </c>
      <c r="L706">
        <v>8</v>
      </c>
      <c r="M706">
        <v>2</v>
      </c>
      <c r="N706">
        <v>1</v>
      </c>
      <c r="O706" t="s">
        <v>41</v>
      </c>
      <c r="P706">
        <v>3</v>
      </c>
      <c r="Q706">
        <v>0</v>
      </c>
      <c r="R706" t="s">
        <v>35</v>
      </c>
      <c r="S706">
        <v>1</v>
      </c>
      <c r="V706" t="s">
        <v>33</v>
      </c>
    </row>
    <row r="707" spans="1:22" x14ac:dyDescent="0.45">
      <c r="A707" t="str">
        <f>"10375798"</f>
        <v>10375798</v>
      </c>
      <c r="B707" t="s">
        <v>22</v>
      </c>
      <c r="C707" s="1">
        <v>43719</v>
      </c>
      <c r="D707">
        <v>675000</v>
      </c>
      <c r="E707" t="s">
        <v>60</v>
      </c>
      <c r="F707">
        <v>1995</v>
      </c>
      <c r="G707">
        <v>700</v>
      </c>
      <c r="H707" t="s">
        <v>348</v>
      </c>
      <c r="I707" t="str">
        <f t="shared" si="11"/>
        <v>25</v>
      </c>
      <c r="J707">
        <v>60025</v>
      </c>
      <c r="K707">
        <v>2761</v>
      </c>
      <c r="L707">
        <v>12</v>
      </c>
      <c r="M707">
        <v>2</v>
      </c>
      <c r="N707">
        <v>1</v>
      </c>
      <c r="O707" t="s">
        <v>25</v>
      </c>
      <c r="P707">
        <v>4</v>
      </c>
      <c r="Q707">
        <v>0</v>
      </c>
      <c r="R707" t="s">
        <v>26</v>
      </c>
      <c r="S707">
        <v>2</v>
      </c>
    </row>
    <row r="708" spans="1:22" x14ac:dyDescent="0.45">
      <c r="A708" t="str">
        <f>"10814849"</f>
        <v>10814849</v>
      </c>
      <c r="B708" t="s">
        <v>22</v>
      </c>
      <c r="C708" s="1">
        <v>44165</v>
      </c>
      <c r="D708">
        <v>675000</v>
      </c>
      <c r="E708" t="s">
        <v>60</v>
      </c>
      <c r="F708">
        <v>2001</v>
      </c>
      <c r="G708">
        <v>2300</v>
      </c>
      <c r="H708" t="s">
        <v>349</v>
      </c>
      <c r="I708" t="str">
        <f t="shared" si="11"/>
        <v>25</v>
      </c>
      <c r="J708">
        <v>60026</v>
      </c>
      <c r="K708">
        <v>3735</v>
      </c>
      <c r="L708">
        <v>9</v>
      </c>
      <c r="M708">
        <v>3</v>
      </c>
      <c r="N708">
        <v>1</v>
      </c>
      <c r="O708" t="s">
        <v>41</v>
      </c>
      <c r="P708">
        <v>4</v>
      </c>
      <c r="Q708">
        <v>1</v>
      </c>
      <c r="R708" t="s">
        <v>35</v>
      </c>
      <c r="S708">
        <v>2</v>
      </c>
      <c r="U708">
        <v>1310</v>
      </c>
    </row>
    <row r="709" spans="1:22" x14ac:dyDescent="0.45">
      <c r="A709" t="str">
        <f>"10104064"</f>
        <v>10104064</v>
      </c>
      <c r="B709" t="s">
        <v>22</v>
      </c>
      <c r="C709" s="1">
        <v>43584</v>
      </c>
      <c r="D709">
        <v>675000</v>
      </c>
      <c r="E709" t="s">
        <v>60</v>
      </c>
      <c r="F709">
        <v>2001</v>
      </c>
      <c r="G709">
        <v>2528</v>
      </c>
      <c r="H709" t="s">
        <v>304</v>
      </c>
      <c r="I709" t="str">
        <f t="shared" si="11"/>
        <v>25</v>
      </c>
      <c r="J709">
        <v>60026</v>
      </c>
      <c r="K709">
        <v>3000</v>
      </c>
      <c r="L709">
        <v>9</v>
      </c>
      <c r="M709">
        <v>3</v>
      </c>
      <c r="N709">
        <v>1</v>
      </c>
      <c r="O709" t="s">
        <v>41</v>
      </c>
      <c r="P709">
        <v>3</v>
      </c>
      <c r="Q709">
        <v>0</v>
      </c>
      <c r="R709" t="s">
        <v>35</v>
      </c>
      <c r="S709">
        <v>2</v>
      </c>
      <c r="U709">
        <v>1000</v>
      </c>
    </row>
    <row r="710" spans="1:22" x14ac:dyDescent="0.45">
      <c r="A710" t="str">
        <f>"10792433"</f>
        <v>10792433</v>
      </c>
      <c r="B710" t="s">
        <v>22</v>
      </c>
      <c r="C710" s="1">
        <v>44145</v>
      </c>
      <c r="D710">
        <v>675000</v>
      </c>
      <c r="E710" t="s">
        <v>60</v>
      </c>
      <c r="F710">
        <v>2004</v>
      </c>
      <c r="G710">
        <v>4726</v>
      </c>
      <c r="H710" t="s">
        <v>53</v>
      </c>
      <c r="I710" t="str">
        <f t="shared" si="11"/>
        <v>25</v>
      </c>
      <c r="J710">
        <v>60025</v>
      </c>
      <c r="K710">
        <v>2964</v>
      </c>
      <c r="L710">
        <v>10</v>
      </c>
      <c r="M710">
        <v>3</v>
      </c>
      <c r="N710">
        <v>1</v>
      </c>
      <c r="O710" t="s">
        <v>41</v>
      </c>
      <c r="P710">
        <v>4</v>
      </c>
      <c r="Q710">
        <v>0</v>
      </c>
      <c r="R710" t="s">
        <v>26</v>
      </c>
      <c r="S710">
        <v>2.5</v>
      </c>
      <c r="V710" t="s">
        <v>259</v>
      </c>
    </row>
    <row r="711" spans="1:22" x14ac:dyDescent="0.45">
      <c r="A711" t="str">
        <f>"10469826"</f>
        <v>10469826</v>
      </c>
      <c r="B711" t="s">
        <v>22</v>
      </c>
      <c r="C711" s="1">
        <v>43759</v>
      </c>
      <c r="D711">
        <v>675000</v>
      </c>
      <c r="E711" t="s">
        <v>60</v>
      </c>
      <c r="F711">
        <v>2001</v>
      </c>
      <c r="G711">
        <v>2200</v>
      </c>
      <c r="H711" t="s">
        <v>350</v>
      </c>
      <c r="I711" t="str">
        <f t="shared" si="11"/>
        <v>25</v>
      </c>
      <c r="J711">
        <v>60026</v>
      </c>
      <c r="K711">
        <v>2375</v>
      </c>
      <c r="L711">
        <v>10</v>
      </c>
      <c r="M711">
        <v>3</v>
      </c>
      <c r="N711">
        <v>1</v>
      </c>
      <c r="O711" t="s">
        <v>41</v>
      </c>
      <c r="P711">
        <v>4</v>
      </c>
      <c r="Q711">
        <v>1</v>
      </c>
      <c r="R711" t="s">
        <v>35</v>
      </c>
      <c r="S711">
        <v>2.5</v>
      </c>
    </row>
    <row r="712" spans="1:22" x14ac:dyDescent="0.45">
      <c r="A712" t="str">
        <f>"10717757"</f>
        <v>10717757</v>
      </c>
      <c r="B712" t="s">
        <v>22</v>
      </c>
      <c r="C712" s="1">
        <v>44027</v>
      </c>
      <c r="D712">
        <v>675000</v>
      </c>
      <c r="E712" t="s">
        <v>60</v>
      </c>
      <c r="F712">
        <v>1955</v>
      </c>
      <c r="G712">
        <v>1646</v>
      </c>
      <c r="H712" t="s">
        <v>106</v>
      </c>
      <c r="I712" t="str">
        <f t="shared" si="11"/>
        <v>25</v>
      </c>
      <c r="J712">
        <v>60026</v>
      </c>
      <c r="K712">
        <v>3083</v>
      </c>
      <c r="L712">
        <v>10</v>
      </c>
      <c r="M712">
        <v>4</v>
      </c>
      <c r="N712">
        <v>0</v>
      </c>
      <c r="O712" t="s">
        <v>41</v>
      </c>
      <c r="P712">
        <v>5</v>
      </c>
      <c r="Q712">
        <v>0</v>
      </c>
      <c r="R712" t="s">
        <v>26</v>
      </c>
      <c r="S712">
        <v>3</v>
      </c>
      <c r="V712" t="s">
        <v>176</v>
      </c>
    </row>
    <row r="713" spans="1:22" x14ac:dyDescent="0.45">
      <c r="A713" t="str">
        <f>"10402992"</f>
        <v>10402992</v>
      </c>
      <c r="B713" t="s">
        <v>22</v>
      </c>
      <c r="C713" s="1">
        <v>43733</v>
      </c>
      <c r="D713">
        <v>675000</v>
      </c>
      <c r="E713" t="s">
        <v>60</v>
      </c>
      <c r="F713">
        <v>1978</v>
      </c>
      <c r="G713">
        <v>3900</v>
      </c>
      <c r="H713" t="s">
        <v>351</v>
      </c>
      <c r="I713" t="str">
        <f t="shared" si="11"/>
        <v>25</v>
      </c>
      <c r="J713">
        <v>60026</v>
      </c>
      <c r="K713">
        <v>3160</v>
      </c>
      <c r="L713">
        <v>10</v>
      </c>
      <c r="M713">
        <v>4</v>
      </c>
      <c r="N713">
        <v>1</v>
      </c>
      <c r="O713" t="s">
        <v>25</v>
      </c>
      <c r="P713">
        <v>4</v>
      </c>
      <c r="Q713">
        <v>0</v>
      </c>
      <c r="R713" t="s">
        <v>26</v>
      </c>
      <c r="S713">
        <v>2.5</v>
      </c>
      <c r="V713" t="s">
        <v>67</v>
      </c>
    </row>
    <row r="714" spans="1:22" x14ac:dyDescent="0.45">
      <c r="A714" t="str">
        <f>"10672426"</f>
        <v>10672426</v>
      </c>
      <c r="B714" t="s">
        <v>22</v>
      </c>
      <c r="C714" s="1">
        <v>44054</v>
      </c>
      <c r="D714">
        <v>675000</v>
      </c>
      <c r="E714" t="s">
        <v>60</v>
      </c>
      <c r="F714">
        <v>1967</v>
      </c>
      <c r="G714">
        <v>2500</v>
      </c>
      <c r="H714" t="s">
        <v>235</v>
      </c>
      <c r="I714" t="str">
        <f t="shared" si="11"/>
        <v>25</v>
      </c>
      <c r="J714">
        <v>60025</v>
      </c>
      <c r="K714">
        <v>5437</v>
      </c>
      <c r="L714">
        <v>12</v>
      </c>
      <c r="M714">
        <v>3</v>
      </c>
      <c r="N714">
        <v>1</v>
      </c>
      <c r="O714" t="s">
        <v>41</v>
      </c>
      <c r="P714">
        <v>5</v>
      </c>
      <c r="Q714">
        <v>0</v>
      </c>
      <c r="R714" t="s">
        <v>26</v>
      </c>
      <c r="S714">
        <v>2</v>
      </c>
      <c r="U714">
        <v>1626</v>
      </c>
      <c r="V714" t="s">
        <v>67</v>
      </c>
    </row>
    <row r="715" spans="1:22" x14ac:dyDescent="0.45">
      <c r="A715" t="str">
        <f>"10888525"</f>
        <v>10888525</v>
      </c>
      <c r="B715" t="s">
        <v>22</v>
      </c>
      <c r="C715" s="1">
        <v>44148</v>
      </c>
      <c r="D715">
        <v>675000</v>
      </c>
      <c r="E715" t="s">
        <v>60</v>
      </c>
      <c r="F715">
        <v>1974</v>
      </c>
      <c r="G715">
        <v>1621</v>
      </c>
      <c r="H715" t="s">
        <v>242</v>
      </c>
      <c r="I715" t="str">
        <f t="shared" si="11"/>
        <v>25</v>
      </c>
      <c r="J715">
        <v>60025</v>
      </c>
      <c r="K715">
        <v>3026</v>
      </c>
      <c r="L715">
        <v>9</v>
      </c>
      <c r="M715">
        <v>2</v>
      </c>
      <c r="N715">
        <v>1</v>
      </c>
      <c r="O715" t="s">
        <v>25</v>
      </c>
      <c r="P715">
        <v>4</v>
      </c>
      <c r="Q715">
        <v>0</v>
      </c>
      <c r="R715" t="s">
        <v>26</v>
      </c>
      <c r="S715">
        <v>2</v>
      </c>
      <c r="V715" t="s">
        <v>67</v>
      </c>
    </row>
    <row r="716" spans="1:22" x14ac:dyDescent="0.45">
      <c r="A716" t="str">
        <f>"10901840"</f>
        <v>10901840</v>
      </c>
      <c r="B716" t="s">
        <v>22</v>
      </c>
      <c r="C716" s="1">
        <v>44175</v>
      </c>
      <c r="D716">
        <v>675000</v>
      </c>
      <c r="E716" t="s">
        <v>60</v>
      </c>
      <c r="F716">
        <v>2001</v>
      </c>
      <c r="G716">
        <v>716</v>
      </c>
      <c r="H716" t="s">
        <v>122</v>
      </c>
      <c r="I716" t="str">
        <f t="shared" si="11"/>
        <v>25</v>
      </c>
      <c r="J716">
        <v>60025</v>
      </c>
      <c r="K716">
        <v>5750</v>
      </c>
      <c r="L716">
        <v>11</v>
      </c>
      <c r="M716">
        <v>2</v>
      </c>
      <c r="N716">
        <v>1</v>
      </c>
      <c r="O716" t="s">
        <v>25</v>
      </c>
      <c r="P716">
        <v>4</v>
      </c>
      <c r="Q716">
        <v>0</v>
      </c>
      <c r="R716" t="s">
        <v>26</v>
      </c>
      <c r="S716">
        <v>2</v>
      </c>
      <c r="U716">
        <v>0</v>
      </c>
      <c r="V716" t="s">
        <v>67</v>
      </c>
    </row>
    <row r="717" spans="1:22" x14ac:dyDescent="0.45">
      <c r="A717" t="str">
        <f>"10306699"</f>
        <v>10306699</v>
      </c>
      <c r="B717" t="s">
        <v>22</v>
      </c>
      <c r="C717" s="1">
        <v>43602</v>
      </c>
      <c r="D717">
        <v>677500</v>
      </c>
      <c r="E717" t="s">
        <v>60</v>
      </c>
      <c r="F717">
        <v>1941</v>
      </c>
      <c r="G717">
        <v>1725</v>
      </c>
      <c r="H717" t="s">
        <v>289</v>
      </c>
      <c r="I717" t="str">
        <f t="shared" si="11"/>
        <v>25</v>
      </c>
      <c r="J717">
        <v>60025</v>
      </c>
      <c r="K717">
        <v>0</v>
      </c>
      <c r="L717">
        <v>10</v>
      </c>
      <c r="M717">
        <v>2</v>
      </c>
      <c r="N717">
        <v>0</v>
      </c>
      <c r="O717" t="s">
        <v>25</v>
      </c>
      <c r="P717">
        <v>3</v>
      </c>
      <c r="Q717">
        <v>0</v>
      </c>
      <c r="R717" t="s">
        <v>35</v>
      </c>
      <c r="S717">
        <v>2</v>
      </c>
      <c r="V717" t="s">
        <v>33</v>
      </c>
    </row>
    <row r="718" spans="1:22" x14ac:dyDescent="0.45">
      <c r="A718" t="str">
        <f>"10685907"</f>
        <v>10685907</v>
      </c>
      <c r="B718" t="s">
        <v>22</v>
      </c>
      <c r="C718" s="1">
        <v>44012</v>
      </c>
      <c r="D718">
        <v>677500</v>
      </c>
      <c r="E718" t="s">
        <v>60</v>
      </c>
      <c r="F718">
        <v>1985</v>
      </c>
      <c r="G718">
        <v>3417</v>
      </c>
      <c r="H718" t="s">
        <v>352</v>
      </c>
      <c r="I718" t="str">
        <f t="shared" si="11"/>
        <v>25</v>
      </c>
      <c r="J718">
        <v>60026</v>
      </c>
      <c r="K718">
        <v>3461</v>
      </c>
      <c r="L718">
        <v>12</v>
      </c>
      <c r="M718">
        <v>2</v>
      </c>
      <c r="N718">
        <v>1</v>
      </c>
      <c r="O718" t="s">
        <v>25</v>
      </c>
      <c r="P718">
        <v>5</v>
      </c>
      <c r="Q718">
        <v>0</v>
      </c>
      <c r="R718" t="s">
        <v>26</v>
      </c>
      <c r="S718">
        <v>2</v>
      </c>
      <c r="U718">
        <v>1709</v>
      </c>
      <c r="V718" t="s">
        <v>67</v>
      </c>
    </row>
    <row r="719" spans="1:22" x14ac:dyDescent="0.45">
      <c r="A719" t="str">
        <f>"10841768"</f>
        <v>10841768</v>
      </c>
      <c r="B719" t="s">
        <v>22</v>
      </c>
      <c r="C719" s="1">
        <v>44131</v>
      </c>
      <c r="D719">
        <v>679000</v>
      </c>
      <c r="E719" t="s">
        <v>60</v>
      </c>
      <c r="F719">
        <v>1953</v>
      </c>
      <c r="G719">
        <v>123</v>
      </c>
      <c r="H719" t="s">
        <v>77</v>
      </c>
      <c r="I719" t="str">
        <f t="shared" si="11"/>
        <v>25</v>
      </c>
      <c r="J719">
        <v>60025</v>
      </c>
      <c r="K719">
        <v>2600</v>
      </c>
      <c r="L719">
        <v>8</v>
      </c>
      <c r="M719">
        <v>3</v>
      </c>
      <c r="N719">
        <v>1</v>
      </c>
      <c r="O719" t="s">
        <v>41</v>
      </c>
      <c r="P719">
        <v>3</v>
      </c>
      <c r="Q719">
        <v>1</v>
      </c>
      <c r="R719" t="s">
        <v>35</v>
      </c>
      <c r="S719">
        <v>2</v>
      </c>
      <c r="V719" t="s">
        <v>226</v>
      </c>
    </row>
    <row r="720" spans="1:22" x14ac:dyDescent="0.45">
      <c r="A720" t="str">
        <f>"10647720"</f>
        <v>10647720</v>
      </c>
      <c r="B720" t="s">
        <v>22</v>
      </c>
      <c r="C720" s="1">
        <v>43893</v>
      </c>
      <c r="D720">
        <v>680000</v>
      </c>
      <c r="E720" t="s">
        <v>60</v>
      </c>
      <c r="F720">
        <v>1977</v>
      </c>
      <c r="G720">
        <v>1333</v>
      </c>
      <c r="H720" t="s">
        <v>267</v>
      </c>
      <c r="I720" t="str">
        <f t="shared" si="11"/>
        <v>25</v>
      </c>
      <c r="J720">
        <v>60025</v>
      </c>
      <c r="K720">
        <v>2539</v>
      </c>
      <c r="L720">
        <v>10</v>
      </c>
      <c r="M720">
        <v>2</v>
      </c>
      <c r="N720">
        <v>1</v>
      </c>
      <c r="O720" t="s">
        <v>41</v>
      </c>
      <c r="P720">
        <v>4</v>
      </c>
      <c r="Q720">
        <v>0</v>
      </c>
      <c r="R720" t="s">
        <v>26</v>
      </c>
      <c r="S720">
        <v>2</v>
      </c>
      <c r="V720" t="s">
        <v>67</v>
      </c>
    </row>
    <row r="721" spans="1:22" x14ac:dyDescent="0.45">
      <c r="A721" t="str">
        <f>"10563908"</f>
        <v>10563908</v>
      </c>
      <c r="B721" t="s">
        <v>22</v>
      </c>
      <c r="C721" s="1">
        <v>43966</v>
      </c>
      <c r="D721">
        <v>680000</v>
      </c>
      <c r="E721" t="s">
        <v>60</v>
      </c>
      <c r="F721">
        <v>2019</v>
      </c>
      <c r="G721">
        <v>1098</v>
      </c>
      <c r="H721" t="s">
        <v>346</v>
      </c>
      <c r="I721" t="str">
        <f t="shared" si="11"/>
        <v>25</v>
      </c>
      <c r="J721">
        <v>60025</v>
      </c>
      <c r="K721">
        <v>2530</v>
      </c>
      <c r="L721">
        <v>8</v>
      </c>
      <c r="M721">
        <v>3</v>
      </c>
      <c r="N721">
        <v>0</v>
      </c>
      <c r="O721" t="s">
        <v>25</v>
      </c>
      <c r="P721">
        <v>3</v>
      </c>
      <c r="Q721">
        <v>0</v>
      </c>
      <c r="R721" t="s">
        <v>26</v>
      </c>
      <c r="S721">
        <v>2</v>
      </c>
      <c r="U721">
        <v>0</v>
      </c>
      <c r="V721" t="s">
        <v>196</v>
      </c>
    </row>
    <row r="722" spans="1:22" x14ac:dyDescent="0.45">
      <c r="A722" t="str">
        <f>"10654805"</f>
        <v>10654805</v>
      </c>
      <c r="B722" t="s">
        <v>22</v>
      </c>
      <c r="C722" s="1">
        <v>44050</v>
      </c>
      <c r="D722">
        <v>680000</v>
      </c>
      <c r="E722" t="s">
        <v>60</v>
      </c>
      <c r="F722">
        <v>2000</v>
      </c>
      <c r="G722">
        <v>1916</v>
      </c>
      <c r="H722" t="s">
        <v>353</v>
      </c>
      <c r="I722" t="str">
        <f t="shared" si="11"/>
        <v>25</v>
      </c>
      <c r="J722">
        <v>60025</v>
      </c>
      <c r="K722">
        <v>2719</v>
      </c>
      <c r="L722">
        <v>8</v>
      </c>
      <c r="M722">
        <v>2</v>
      </c>
      <c r="N722">
        <v>1</v>
      </c>
      <c r="O722" t="s">
        <v>25</v>
      </c>
      <c r="P722">
        <v>3</v>
      </c>
      <c r="Q722">
        <v>0</v>
      </c>
      <c r="R722" t="s">
        <v>26</v>
      </c>
      <c r="S722">
        <v>2</v>
      </c>
    </row>
    <row r="723" spans="1:22" x14ac:dyDescent="0.45">
      <c r="A723" t="str">
        <f>"10412739"</f>
        <v>10412739</v>
      </c>
      <c r="B723" t="s">
        <v>22</v>
      </c>
      <c r="C723" s="1">
        <v>43791</v>
      </c>
      <c r="D723">
        <v>681199</v>
      </c>
      <c r="E723" t="s">
        <v>60</v>
      </c>
      <c r="F723">
        <v>2019</v>
      </c>
      <c r="G723">
        <v>1055</v>
      </c>
      <c r="H723" t="s">
        <v>346</v>
      </c>
      <c r="I723" t="str">
        <f t="shared" si="11"/>
        <v>25</v>
      </c>
      <c r="J723">
        <v>60025</v>
      </c>
      <c r="K723">
        <v>2530</v>
      </c>
      <c r="L723">
        <v>8</v>
      </c>
      <c r="M723">
        <v>3</v>
      </c>
      <c r="N723">
        <v>0</v>
      </c>
      <c r="O723" t="s">
        <v>25</v>
      </c>
      <c r="P723">
        <v>3</v>
      </c>
      <c r="Q723">
        <v>0</v>
      </c>
      <c r="R723" t="s">
        <v>26</v>
      </c>
      <c r="S723">
        <v>2</v>
      </c>
      <c r="U723">
        <v>0</v>
      </c>
    </row>
    <row r="724" spans="1:22" x14ac:dyDescent="0.45">
      <c r="A724" t="str">
        <f>"10260136"</f>
        <v>10260136</v>
      </c>
      <c r="B724" t="s">
        <v>22</v>
      </c>
      <c r="C724" s="1">
        <v>43861</v>
      </c>
      <c r="D724">
        <v>682000</v>
      </c>
      <c r="E724" t="s">
        <v>60</v>
      </c>
      <c r="F724">
        <v>2005</v>
      </c>
      <c r="G724">
        <v>605</v>
      </c>
      <c r="H724" t="s">
        <v>106</v>
      </c>
      <c r="I724" t="str">
        <f t="shared" si="11"/>
        <v>25</v>
      </c>
      <c r="J724">
        <v>60025</v>
      </c>
      <c r="K724">
        <v>3911</v>
      </c>
      <c r="L724">
        <v>9</v>
      </c>
      <c r="M724">
        <v>3</v>
      </c>
      <c r="N724">
        <v>1</v>
      </c>
      <c r="O724" t="s">
        <v>25</v>
      </c>
      <c r="P724">
        <v>5</v>
      </c>
      <c r="Q724">
        <v>0</v>
      </c>
      <c r="R724" t="s">
        <v>26</v>
      </c>
      <c r="S724">
        <v>3</v>
      </c>
    </row>
    <row r="725" spans="1:22" x14ac:dyDescent="0.45">
      <c r="A725" t="str">
        <f>"10563911"</f>
        <v>10563911</v>
      </c>
      <c r="B725" t="s">
        <v>22</v>
      </c>
      <c r="C725" s="1">
        <v>43875</v>
      </c>
      <c r="D725">
        <v>682334</v>
      </c>
      <c r="E725" t="s">
        <v>23</v>
      </c>
      <c r="F725">
        <v>2019</v>
      </c>
      <c r="G725">
        <v>1053</v>
      </c>
      <c r="H725" t="s">
        <v>346</v>
      </c>
      <c r="I725" t="str">
        <f t="shared" si="11"/>
        <v>25</v>
      </c>
      <c r="J725">
        <v>60025</v>
      </c>
      <c r="K725">
        <v>2308</v>
      </c>
      <c r="L725">
        <v>6</v>
      </c>
      <c r="M725">
        <v>2</v>
      </c>
      <c r="N725">
        <v>0</v>
      </c>
      <c r="O725" t="s">
        <v>25</v>
      </c>
      <c r="P725">
        <v>2</v>
      </c>
      <c r="Q725">
        <v>0</v>
      </c>
      <c r="R725" t="s">
        <v>26</v>
      </c>
      <c r="S725">
        <v>2</v>
      </c>
    </row>
    <row r="726" spans="1:22" x14ac:dyDescent="0.45">
      <c r="A726" t="str">
        <f>"10310484"</f>
        <v>10310484</v>
      </c>
      <c r="B726" t="s">
        <v>22</v>
      </c>
      <c r="C726" s="1">
        <v>43623</v>
      </c>
      <c r="D726">
        <v>685000</v>
      </c>
      <c r="E726" t="s">
        <v>60</v>
      </c>
      <c r="F726">
        <v>1987</v>
      </c>
      <c r="G726">
        <v>3912</v>
      </c>
      <c r="H726" t="s">
        <v>354</v>
      </c>
      <c r="I726" t="str">
        <f t="shared" si="11"/>
        <v>25</v>
      </c>
      <c r="J726">
        <v>60026</v>
      </c>
      <c r="K726">
        <v>0</v>
      </c>
      <c r="L726">
        <v>12</v>
      </c>
      <c r="M726">
        <v>3</v>
      </c>
      <c r="N726">
        <v>1</v>
      </c>
      <c r="O726" t="s">
        <v>41</v>
      </c>
      <c r="P726">
        <v>4</v>
      </c>
      <c r="Q726">
        <v>1</v>
      </c>
      <c r="R726" t="s">
        <v>26</v>
      </c>
      <c r="S726">
        <v>2</v>
      </c>
      <c r="V726" t="s">
        <v>355</v>
      </c>
    </row>
    <row r="727" spans="1:22" x14ac:dyDescent="0.45">
      <c r="A727" t="str">
        <f>"10426656"</f>
        <v>10426656</v>
      </c>
      <c r="B727" t="s">
        <v>22</v>
      </c>
      <c r="C727" s="1">
        <v>43686</v>
      </c>
      <c r="D727">
        <v>685000</v>
      </c>
      <c r="E727" t="s">
        <v>60</v>
      </c>
      <c r="F727">
        <v>1939</v>
      </c>
      <c r="G727">
        <v>2011</v>
      </c>
      <c r="H727" t="s">
        <v>185</v>
      </c>
      <c r="I727" t="str">
        <f t="shared" si="11"/>
        <v>25</v>
      </c>
      <c r="J727">
        <v>60025</v>
      </c>
      <c r="K727">
        <v>0</v>
      </c>
      <c r="L727">
        <v>10</v>
      </c>
      <c r="M727">
        <v>4</v>
      </c>
      <c r="N727">
        <v>0</v>
      </c>
      <c r="O727" t="s">
        <v>41</v>
      </c>
      <c r="P727">
        <v>5</v>
      </c>
      <c r="Q727">
        <v>0</v>
      </c>
      <c r="R727" t="s">
        <v>26</v>
      </c>
      <c r="S727">
        <v>1</v>
      </c>
    </row>
    <row r="728" spans="1:22" x14ac:dyDescent="0.45">
      <c r="A728" t="str">
        <f>"10097264"</f>
        <v>10097264</v>
      </c>
      <c r="B728" t="s">
        <v>22</v>
      </c>
      <c r="C728" s="1">
        <v>43495</v>
      </c>
      <c r="D728">
        <v>685000</v>
      </c>
      <c r="E728" t="s">
        <v>60</v>
      </c>
      <c r="F728">
        <v>1995</v>
      </c>
      <c r="G728">
        <v>3319</v>
      </c>
      <c r="H728" t="s">
        <v>356</v>
      </c>
      <c r="I728" t="str">
        <f t="shared" si="11"/>
        <v>25</v>
      </c>
      <c r="J728">
        <v>60026</v>
      </c>
      <c r="K728">
        <v>3781</v>
      </c>
      <c r="L728">
        <v>10</v>
      </c>
      <c r="M728">
        <v>3</v>
      </c>
      <c r="N728">
        <v>1</v>
      </c>
      <c r="O728" t="s">
        <v>25</v>
      </c>
      <c r="P728">
        <v>5</v>
      </c>
      <c r="Q728">
        <v>0</v>
      </c>
      <c r="R728" t="s">
        <v>26</v>
      </c>
      <c r="S728">
        <v>4</v>
      </c>
    </row>
    <row r="729" spans="1:22" x14ac:dyDescent="0.45">
      <c r="A729" t="str">
        <f>"10732637"</f>
        <v>10732637</v>
      </c>
      <c r="B729" t="s">
        <v>22</v>
      </c>
      <c r="C729" s="1">
        <v>44029</v>
      </c>
      <c r="D729">
        <v>687101</v>
      </c>
      <c r="E729" t="s">
        <v>60</v>
      </c>
      <c r="F729">
        <v>1984</v>
      </c>
      <c r="G729">
        <v>2314</v>
      </c>
      <c r="H729" t="s">
        <v>330</v>
      </c>
      <c r="I729" t="str">
        <f t="shared" si="11"/>
        <v>25</v>
      </c>
      <c r="J729">
        <v>60026</v>
      </c>
      <c r="K729">
        <v>5057</v>
      </c>
      <c r="L729">
        <v>12</v>
      </c>
      <c r="M729">
        <v>2</v>
      </c>
      <c r="N729">
        <v>1</v>
      </c>
      <c r="O729" t="s">
        <v>25</v>
      </c>
      <c r="P729">
        <v>4</v>
      </c>
      <c r="Q729">
        <v>0</v>
      </c>
      <c r="R729" t="s">
        <v>26</v>
      </c>
      <c r="S729">
        <v>3</v>
      </c>
      <c r="V729" t="s">
        <v>357</v>
      </c>
    </row>
    <row r="730" spans="1:22" x14ac:dyDescent="0.45">
      <c r="A730" t="str">
        <f>"10748816"</f>
        <v>10748816</v>
      </c>
      <c r="B730" t="s">
        <v>22</v>
      </c>
      <c r="C730" s="1">
        <v>44054</v>
      </c>
      <c r="D730">
        <v>688000</v>
      </c>
      <c r="E730" t="s">
        <v>60</v>
      </c>
      <c r="F730">
        <v>1952</v>
      </c>
      <c r="G730">
        <v>825</v>
      </c>
      <c r="H730" t="s">
        <v>278</v>
      </c>
      <c r="I730" t="str">
        <f t="shared" si="11"/>
        <v>25</v>
      </c>
      <c r="J730">
        <v>60025</v>
      </c>
      <c r="K730">
        <v>3028</v>
      </c>
      <c r="L730">
        <v>9</v>
      </c>
      <c r="M730">
        <v>3</v>
      </c>
      <c r="N730">
        <v>1</v>
      </c>
      <c r="O730" t="s">
        <v>25</v>
      </c>
      <c r="P730">
        <v>3</v>
      </c>
      <c r="Q730">
        <v>0</v>
      </c>
      <c r="R730" t="s">
        <v>35</v>
      </c>
      <c r="S730">
        <v>2</v>
      </c>
      <c r="V730" t="s">
        <v>67</v>
      </c>
    </row>
    <row r="731" spans="1:22" x14ac:dyDescent="0.45">
      <c r="A731" t="str">
        <f>"10708446"</f>
        <v>10708446</v>
      </c>
      <c r="B731" t="s">
        <v>22</v>
      </c>
      <c r="C731" s="1">
        <v>44022</v>
      </c>
      <c r="D731">
        <v>690000</v>
      </c>
      <c r="E731" t="s">
        <v>60</v>
      </c>
      <c r="F731">
        <v>1966</v>
      </c>
      <c r="G731">
        <v>837</v>
      </c>
      <c r="H731" t="s">
        <v>128</v>
      </c>
      <c r="I731" t="str">
        <f t="shared" si="11"/>
        <v>25</v>
      </c>
      <c r="J731">
        <v>60025</v>
      </c>
      <c r="K731">
        <v>0</v>
      </c>
      <c r="L731">
        <v>11</v>
      </c>
      <c r="M731">
        <v>2</v>
      </c>
      <c r="N731">
        <v>1</v>
      </c>
      <c r="O731" t="s">
        <v>25</v>
      </c>
      <c r="P731">
        <v>4</v>
      </c>
      <c r="Q731">
        <v>0</v>
      </c>
      <c r="R731" t="s">
        <v>26</v>
      </c>
      <c r="S731">
        <v>2</v>
      </c>
      <c r="V731" t="s">
        <v>67</v>
      </c>
    </row>
    <row r="732" spans="1:22" x14ac:dyDescent="0.45">
      <c r="A732" t="str">
        <f>"10789228"</f>
        <v>10789228</v>
      </c>
      <c r="B732" t="s">
        <v>22</v>
      </c>
      <c r="C732" s="1">
        <v>44148</v>
      </c>
      <c r="D732">
        <v>690000</v>
      </c>
      <c r="E732" t="s">
        <v>23</v>
      </c>
      <c r="F732">
        <v>1952</v>
      </c>
      <c r="G732">
        <v>3800</v>
      </c>
      <c r="H732" t="s">
        <v>338</v>
      </c>
      <c r="I732" t="str">
        <f t="shared" si="11"/>
        <v>25</v>
      </c>
      <c r="J732">
        <v>60025</v>
      </c>
      <c r="K732">
        <v>2020</v>
      </c>
      <c r="L732">
        <v>8</v>
      </c>
      <c r="M732">
        <v>2</v>
      </c>
      <c r="N732">
        <v>1</v>
      </c>
      <c r="O732" t="s">
        <v>25</v>
      </c>
      <c r="P732">
        <v>3</v>
      </c>
      <c r="Q732">
        <v>0</v>
      </c>
      <c r="R732" t="s">
        <v>26</v>
      </c>
      <c r="S732">
        <v>2</v>
      </c>
      <c r="V732" t="s">
        <v>27</v>
      </c>
    </row>
    <row r="733" spans="1:22" x14ac:dyDescent="0.45">
      <c r="A733" t="str">
        <f>"10298690"</f>
        <v>10298690</v>
      </c>
      <c r="B733" t="s">
        <v>22</v>
      </c>
      <c r="C733" s="1">
        <v>43633</v>
      </c>
      <c r="D733">
        <v>690000</v>
      </c>
      <c r="E733" t="s">
        <v>60</v>
      </c>
      <c r="F733">
        <v>1993</v>
      </c>
      <c r="G733">
        <v>853</v>
      </c>
      <c r="H733" t="s">
        <v>173</v>
      </c>
      <c r="I733" t="str">
        <f t="shared" si="11"/>
        <v>25</v>
      </c>
      <c r="J733">
        <v>60025</v>
      </c>
      <c r="K733">
        <v>3933</v>
      </c>
      <c r="L733">
        <v>11</v>
      </c>
      <c r="M733">
        <v>4</v>
      </c>
      <c r="N733">
        <v>0</v>
      </c>
      <c r="O733" t="s">
        <v>41</v>
      </c>
      <c r="P733">
        <v>5</v>
      </c>
      <c r="Q733">
        <v>0</v>
      </c>
    </row>
    <row r="734" spans="1:22" x14ac:dyDescent="0.45">
      <c r="A734" t="str">
        <f>"10654833"</f>
        <v>10654833</v>
      </c>
      <c r="B734" t="s">
        <v>22</v>
      </c>
      <c r="C734" s="1">
        <v>44004</v>
      </c>
      <c r="D734">
        <v>690000</v>
      </c>
      <c r="E734" t="s">
        <v>60</v>
      </c>
      <c r="F734" t="s">
        <v>29</v>
      </c>
      <c r="G734">
        <v>1115</v>
      </c>
      <c r="H734" t="s">
        <v>80</v>
      </c>
      <c r="I734" t="str">
        <f t="shared" si="11"/>
        <v>25</v>
      </c>
      <c r="J734">
        <v>60025</v>
      </c>
      <c r="K734">
        <v>3463</v>
      </c>
      <c r="L734">
        <v>12</v>
      </c>
      <c r="M734">
        <v>3</v>
      </c>
      <c r="N734">
        <v>1</v>
      </c>
      <c r="O734" t="s">
        <v>25</v>
      </c>
      <c r="P734">
        <v>4</v>
      </c>
      <c r="Q734">
        <v>0</v>
      </c>
      <c r="R734" t="s">
        <v>35</v>
      </c>
      <c r="S734">
        <v>2</v>
      </c>
      <c r="T734">
        <v>4</v>
      </c>
      <c r="V734" t="s">
        <v>333</v>
      </c>
    </row>
    <row r="735" spans="1:22" x14ac:dyDescent="0.45">
      <c r="A735" t="str">
        <f>"10683116"</f>
        <v>10683116</v>
      </c>
      <c r="B735" t="s">
        <v>22</v>
      </c>
      <c r="C735" s="1">
        <v>44007</v>
      </c>
      <c r="D735">
        <v>693760</v>
      </c>
      <c r="E735" t="s">
        <v>60</v>
      </c>
      <c r="F735">
        <v>2020</v>
      </c>
      <c r="G735">
        <v>1089</v>
      </c>
      <c r="H735" t="s">
        <v>346</v>
      </c>
      <c r="I735" t="str">
        <f t="shared" si="11"/>
        <v>25</v>
      </c>
      <c r="J735">
        <v>60025</v>
      </c>
      <c r="K735">
        <v>2530</v>
      </c>
      <c r="L735">
        <v>8</v>
      </c>
      <c r="M735">
        <v>3</v>
      </c>
      <c r="N735">
        <v>0</v>
      </c>
      <c r="O735" t="s">
        <v>25</v>
      </c>
      <c r="P735">
        <v>3</v>
      </c>
      <c r="Q735">
        <v>0</v>
      </c>
      <c r="R735" t="s">
        <v>26</v>
      </c>
      <c r="S735">
        <v>2</v>
      </c>
      <c r="U735">
        <v>0</v>
      </c>
    </row>
    <row r="736" spans="1:22" x14ac:dyDescent="0.45">
      <c r="A736" t="str">
        <f>"10265260"</f>
        <v>10265260</v>
      </c>
      <c r="B736" t="s">
        <v>22</v>
      </c>
      <c r="C736" s="1">
        <v>43586</v>
      </c>
      <c r="D736">
        <v>695000</v>
      </c>
      <c r="E736" t="s">
        <v>60</v>
      </c>
      <c r="F736">
        <v>1985</v>
      </c>
      <c r="G736">
        <v>2245</v>
      </c>
      <c r="H736" t="s">
        <v>244</v>
      </c>
      <c r="I736" t="str">
        <f t="shared" si="11"/>
        <v>25</v>
      </c>
      <c r="J736">
        <v>60025</v>
      </c>
      <c r="K736">
        <v>3306</v>
      </c>
      <c r="L736">
        <v>12</v>
      </c>
      <c r="M736">
        <v>3</v>
      </c>
      <c r="N736">
        <v>1</v>
      </c>
      <c r="O736" t="s">
        <v>41</v>
      </c>
      <c r="P736">
        <v>4</v>
      </c>
      <c r="Q736">
        <v>1</v>
      </c>
      <c r="R736" t="s">
        <v>26</v>
      </c>
      <c r="S736">
        <v>2</v>
      </c>
      <c r="V736" t="s">
        <v>67</v>
      </c>
    </row>
    <row r="737" spans="1:22" x14ac:dyDescent="0.45">
      <c r="A737" t="str">
        <f>"10933131"</f>
        <v>10933131</v>
      </c>
      <c r="B737" t="s">
        <v>22</v>
      </c>
      <c r="C737" s="1">
        <v>44203</v>
      </c>
      <c r="D737">
        <v>695000</v>
      </c>
      <c r="E737" t="s">
        <v>60</v>
      </c>
      <c r="F737">
        <v>1987</v>
      </c>
      <c r="G737">
        <v>3063</v>
      </c>
      <c r="H737" t="s">
        <v>204</v>
      </c>
      <c r="I737" t="str">
        <f t="shared" si="11"/>
        <v>25</v>
      </c>
      <c r="J737">
        <v>60025</v>
      </c>
      <c r="K737">
        <v>3700</v>
      </c>
      <c r="L737">
        <v>9</v>
      </c>
      <c r="M737">
        <v>3</v>
      </c>
      <c r="N737">
        <v>1</v>
      </c>
      <c r="O737" t="s">
        <v>41</v>
      </c>
      <c r="P737">
        <v>4</v>
      </c>
      <c r="Q737">
        <v>1</v>
      </c>
      <c r="R737" t="s">
        <v>26</v>
      </c>
      <c r="S737">
        <v>2</v>
      </c>
      <c r="V737" t="s">
        <v>67</v>
      </c>
    </row>
    <row r="738" spans="1:22" x14ac:dyDescent="0.45">
      <c r="A738" t="str">
        <f>"10504490"</f>
        <v>10504490</v>
      </c>
      <c r="B738" t="s">
        <v>22</v>
      </c>
      <c r="C738" s="1">
        <v>43761</v>
      </c>
      <c r="D738">
        <v>698000</v>
      </c>
      <c r="E738" t="s">
        <v>23</v>
      </c>
      <c r="F738">
        <v>1985</v>
      </c>
      <c r="G738">
        <v>2435</v>
      </c>
      <c r="H738" t="s">
        <v>296</v>
      </c>
      <c r="I738" t="str">
        <f t="shared" si="11"/>
        <v>25</v>
      </c>
      <c r="J738">
        <v>60026</v>
      </c>
      <c r="K738">
        <v>2547</v>
      </c>
      <c r="L738">
        <v>7</v>
      </c>
      <c r="M738">
        <v>2</v>
      </c>
      <c r="N738">
        <v>0</v>
      </c>
      <c r="O738" t="s">
        <v>25</v>
      </c>
      <c r="P738">
        <v>3</v>
      </c>
      <c r="Q738">
        <v>0</v>
      </c>
      <c r="R738" t="s">
        <v>26</v>
      </c>
      <c r="S738">
        <v>2</v>
      </c>
      <c r="V738" t="s">
        <v>27</v>
      </c>
    </row>
    <row r="739" spans="1:22" x14ac:dyDescent="0.45">
      <c r="A739" t="str">
        <f>"10529688"</f>
        <v>10529688</v>
      </c>
      <c r="B739" t="s">
        <v>22</v>
      </c>
      <c r="C739" s="1">
        <v>43805</v>
      </c>
      <c r="D739">
        <v>698000</v>
      </c>
      <c r="E739" t="s">
        <v>60</v>
      </c>
      <c r="F739">
        <v>2005</v>
      </c>
      <c r="G739">
        <v>3414</v>
      </c>
      <c r="H739" t="s">
        <v>111</v>
      </c>
      <c r="I739" t="str">
        <f t="shared" si="11"/>
        <v>25</v>
      </c>
      <c r="J739">
        <v>60025</v>
      </c>
      <c r="K739">
        <v>3300</v>
      </c>
      <c r="L739">
        <v>9</v>
      </c>
      <c r="M739">
        <v>3</v>
      </c>
      <c r="N739">
        <v>0</v>
      </c>
      <c r="O739" t="s">
        <v>25</v>
      </c>
      <c r="P739">
        <v>4</v>
      </c>
      <c r="Q739">
        <v>0</v>
      </c>
      <c r="R739" t="s">
        <v>26</v>
      </c>
      <c r="S739">
        <v>2</v>
      </c>
      <c r="V739" t="s">
        <v>67</v>
      </c>
    </row>
    <row r="740" spans="1:22" x14ac:dyDescent="0.45">
      <c r="A740" t="str">
        <f>"10118270"</f>
        <v>10118270</v>
      </c>
      <c r="B740" t="s">
        <v>22</v>
      </c>
      <c r="C740" s="1">
        <v>43558</v>
      </c>
      <c r="D740">
        <v>699000</v>
      </c>
      <c r="E740" t="s">
        <v>60</v>
      </c>
      <c r="F740">
        <v>1939</v>
      </c>
      <c r="G740">
        <v>2025</v>
      </c>
      <c r="H740" t="s">
        <v>259</v>
      </c>
      <c r="I740" t="str">
        <f t="shared" si="11"/>
        <v>25</v>
      </c>
      <c r="J740">
        <v>60025</v>
      </c>
      <c r="K740">
        <v>3180</v>
      </c>
      <c r="L740">
        <v>10</v>
      </c>
      <c r="M740">
        <v>2</v>
      </c>
      <c r="N740">
        <v>1</v>
      </c>
      <c r="O740" t="s">
        <v>25</v>
      </c>
      <c r="P740">
        <v>4</v>
      </c>
      <c r="Q740">
        <v>0</v>
      </c>
      <c r="R740" t="s">
        <v>35</v>
      </c>
      <c r="S740">
        <v>1.5</v>
      </c>
      <c r="V740" t="s">
        <v>67</v>
      </c>
    </row>
    <row r="741" spans="1:22" x14ac:dyDescent="0.45">
      <c r="A741" t="str">
        <f>"10328755"</f>
        <v>10328755</v>
      </c>
      <c r="B741" t="s">
        <v>22</v>
      </c>
      <c r="C741" s="1">
        <v>43600</v>
      </c>
      <c r="D741">
        <v>700000</v>
      </c>
      <c r="E741" t="s">
        <v>60</v>
      </c>
      <c r="F741">
        <v>1999</v>
      </c>
      <c r="G741">
        <v>1812</v>
      </c>
      <c r="H741" t="s">
        <v>358</v>
      </c>
      <c r="I741" t="str">
        <f t="shared" si="11"/>
        <v>25</v>
      </c>
      <c r="J741">
        <v>60025</v>
      </c>
      <c r="K741">
        <v>3200</v>
      </c>
      <c r="L741">
        <v>7</v>
      </c>
      <c r="M741">
        <v>2</v>
      </c>
      <c r="N741">
        <v>2</v>
      </c>
      <c r="O741" t="s">
        <v>41</v>
      </c>
      <c r="P741">
        <v>3</v>
      </c>
      <c r="Q741">
        <v>0</v>
      </c>
      <c r="R741" t="s">
        <v>26</v>
      </c>
      <c r="S741">
        <v>2</v>
      </c>
    </row>
    <row r="742" spans="1:22" x14ac:dyDescent="0.45">
      <c r="A742" t="str">
        <f>"10670126"</f>
        <v>10670126</v>
      </c>
      <c r="B742" t="s">
        <v>22</v>
      </c>
      <c r="C742" s="1">
        <v>43956</v>
      </c>
      <c r="D742">
        <v>700000</v>
      </c>
      <c r="E742" t="s">
        <v>23</v>
      </c>
      <c r="F742">
        <v>1951</v>
      </c>
      <c r="G742">
        <v>1010</v>
      </c>
      <c r="H742" t="s">
        <v>359</v>
      </c>
      <c r="I742" t="str">
        <f t="shared" si="11"/>
        <v>25</v>
      </c>
      <c r="J742">
        <v>60025</v>
      </c>
      <c r="K742">
        <v>2696</v>
      </c>
      <c r="L742">
        <v>8</v>
      </c>
      <c r="M742">
        <v>3</v>
      </c>
      <c r="N742">
        <v>0</v>
      </c>
      <c r="O742" t="s">
        <v>25</v>
      </c>
      <c r="P742">
        <v>4</v>
      </c>
      <c r="Q742">
        <v>0</v>
      </c>
      <c r="R742" t="s">
        <v>26</v>
      </c>
      <c r="S742">
        <v>2</v>
      </c>
      <c r="V742" t="s">
        <v>27</v>
      </c>
    </row>
    <row r="743" spans="1:22" x14ac:dyDescent="0.45">
      <c r="A743" t="str">
        <f>"10647164"</f>
        <v>10647164</v>
      </c>
      <c r="B743" t="s">
        <v>22</v>
      </c>
      <c r="C743" s="1">
        <v>44165</v>
      </c>
      <c r="D743">
        <v>700000</v>
      </c>
      <c r="E743" t="s">
        <v>60</v>
      </c>
      <c r="F743">
        <v>1968</v>
      </c>
      <c r="G743">
        <v>323</v>
      </c>
      <c r="H743" t="s">
        <v>72</v>
      </c>
      <c r="I743" t="str">
        <f t="shared" si="11"/>
        <v>25</v>
      </c>
      <c r="J743">
        <v>60025</v>
      </c>
      <c r="K743">
        <v>2907</v>
      </c>
      <c r="L743">
        <v>12</v>
      </c>
      <c r="M743">
        <v>2</v>
      </c>
      <c r="N743">
        <v>1</v>
      </c>
      <c r="O743" t="s">
        <v>25</v>
      </c>
      <c r="P743">
        <v>4</v>
      </c>
      <c r="Q743">
        <v>0</v>
      </c>
      <c r="R743" t="s">
        <v>26</v>
      </c>
      <c r="S743">
        <v>2.5</v>
      </c>
    </row>
    <row r="744" spans="1:22" x14ac:dyDescent="0.45">
      <c r="A744" t="str">
        <f>"10479076"</f>
        <v>10479076</v>
      </c>
      <c r="B744" t="s">
        <v>22</v>
      </c>
      <c r="C744" s="1">
        <v>43741</v>
      </c>
      <c r="D744">
        <v>700000</v>
      </c>
      <c r="E744" t="s">
        <v>60</v>
      </c>
      <c r="F744">
        <v>1986</v>
      </c>
      <c r="G744">
        <v>3646</v>
      </c>
      <c r="H744" t="s">
        <v>299</v>
      </c>
      <c r="I744" t="str">
        <f t="shared" si="11"/>
        <v>25</v>
      </c>
      <c r="J744">
        <v>60026</v>
      </c>
      <c r="K744">
        <v>3317</v>
      </c>
      <c r="L744">
        <v>11</v>
      </c>
      <c r="M744">
        <v>2</v>
      </c>
      <c r="N744">
        <v>1</v>
      </c>
      <c r="O744" t="s">
        <v>25</v>
      </c>
      <c r="P744">
        <v>4</v>
      </c>
      <c r="Q744">
        <v>1</v>
      </c>
      <c r="R744" t="s">
        <v>26</v>
      </c>
      <c r="S744">
        <v>2</v>
      </c>
      <c r="V744" t="s">
        <v>67</v>
      </c>
    </row>
    <row r="745" spans="1:22" x14ac:dyDescent="0.45">
      <c r="A745" t="str">
        <f>"10611308"</f>
        <v>10611308</v>
      </c>
      <c r="B745" t="s">
        <v>22</v>
      </c>
      <c r="C745" s="1">
        <v>43951</v>
      </c>
      <c r="D745">
        <v>704000</v>
      </c>
      <c r="E745" t="s">
        <v>23</v>
      </c>
      <c r="F745">
        <v>1953</v>
      </c>
      <c r="G745">
        <v>643</v>
      </c>
      <c r="H745" t="s">
        <v>360</v>
      </c>
      <c r="I745" t="str">
        <f t="shared" si="11"/>
        <v>25</v>
      </c>
      <c r="J745">
        <v>60025</v>
      </c>
      <c r="K745">
        <v>2675</v>
      </c>
      <c r="L745">
        <v>9</v>
      </c>
      <c r="M745">
        <v>2</v>
      </c>
      <c r="N745">
        <v>1</v>
      </c>
      <c r="O745" t="s">
        <v>41</v>
      </c>
      <c r="P745">
        <v>3</v>
      </c>
      <c r="Q745">
        <v>0</v>
      </c>
      <c r="R745" t="s">
        <v>26</v>
      </c>
      <c r="S745">
        <v>2</v>
      </c>
      <c r="V745" t="s">
        <v>27</v>
      </c>
    </row>
    <row r="746" spans="1:22" x14ac:dyDescent="0.45">
      <c r="A746" t="str">
        <f>"10881445"</f>
        <v>10881445</v>
      </c>
      <c r="B746" t="s">
        <v>22</v>
      </c>
      <c r="C746" s="1">
        <v>44098</v>
      </c>
      <c r="D746">
        <v>705000</v>
      </c>
      <c r="E746" t="s">
        <v>60</v>
      </c>
      <c r="F746">
        <v>1963</v>
      </c>
      <c r="G746">
        <v>1301</v>
      </c>
      <c r="H746" t="s">
        <v>230</v>
      </c>
      <c r="I746" t="str">
        <f t="shared" si="11"/>
        <v>25</v>
      </c>
      <c r="J746">
        <v>60025</v>
      </c>
      <c r="K746">
        <v>2341</v>
      </c>
      <c r="L746">
        <v>8</v>
      </c>
      <c r="M746">
        <v>2</v>
      </c>
      <c r="N746">
        <v>1</v>
      </c>
      <c r="O746" t="s">
        <v>25</v>
      </c>
      <c r="P746">
        <v>4</v>
      </c>
      <c r="Q746">
        <v>0</v>
      </c>
      <c r="R746" t="s">
        <v>26</v>
      </c>
      <c r="S746">
        <v>2</v>
      </c>
    </row>
    <row r="747" spans="1:22" x14ac:dyDescent="0.45">
      <c r="A747" t="str">
        <f>"10513253"</f>
        <v>10513253</v>
      </c>
      <c r="B747" t="s">
        <v>22</v>
      </c>
      <c r="C747" s="1">
        <v>43875</v>
      </c>
      <c r="D747">
        <v>705000</v>
      </c>
      <c r="E747" t="s">
        <v>60</v>
      </c>
      <c r="F747">
        <v>1967</v>
      </c>
      <c r="G747">
        <v>1627</v>
      </c>
      <c r="H747" t="s">
        <v>342</v>
      </c>
      <c r="I747" t="str">
        <f t="shared" si="11"/>
        <v>25</v>
      </c>
      <c r="J747">
        <v>60025</v>
      </c>
      <c r="K747">
        <v>3903</v>
      </c>
      <c r="L747">
        <v>12</v>
      </c>
      <c r="M747">
        <v>3</v>
      </c>
      <c r="N747">
        <v>1</v>
      </c>
      <c r="O747" t="s">
        <v>25</v>
      </c>
      <c r="P747">
        <v>6</v>
      </c>
      <c r="Q747">
        <v>0</v>
      </c>
      <c r="R747" t="s">
        <v>26</v>
      </c>
      <c r="S747">
        <v>2</v>
      </c>
      <c r="V747" t="s">
        <v>33</v>
      </c>
    </row>
    <row r="748" spans="1:22" x14ac:dyDescent="0.45">
      <c r="A748" t="str">
        <f>"10697941"</f>
        <v>10697941</v>
      </c>
      <c r="B748" t="s">
        <v>22</v>
      </c>
      <c r="C748" s="1">
        <v>44063</v>
      </c>
      <c r="D748">
        <v>706000</v>
      </c>
      <c r="E748" t="s">
        <v>60</v>
      </c>
      <c r="F748">
        <v>1998</v>
      </c>
      <c r="G748">
        <v>603</v>
      </c>
      <c r="H748" t="s">
        <v>107</v>
      </c>
      <c r="I748" t="str">
        <f t="shared" si="11"/>
        <v>25</v>
      </c>
      <c r="J748">
        <v>60025</v>
      </c>
      <c r="K748">
        <v>3230</v>
      </c>
      <c r="L748">
        <v>11</v>
      </c>
      <c r="M748">
        <v>3</v>
      </c>
      <c r="N748">
        <v>1</v>
      </c>
      <c r="O748" t="s">
        <v>41</v>
      </c>
      <c r="P748">
        <v>4</v>
      </c>
      <c r="Q748">
        <v>0</v>
      </c>
      <c r="R748" t="s">
        <v>26</v>
      </c>
      <c r="S748">
        <v>2</v>
      </c>
      <c r="U748">
        <v>1410</v>
      </c>
    </row>
    <row r="749" spans="1:22" x14ac:dyDescent="0.45">
      <c r="A749" t="str">
        <f>"10507219"</f>
        <v>10507219</v>
      </c>
      <c r="B749" t="s">
        <v>22</v>
      </c>
      <c r="C749" s="1">
        <v>43801</v>
      </c>
      <c r="D749">
        <v>707500</v>
      </c>
      <c r="E749" t="s">
        <v>60</v>
      </c>
      <c r="F749">
        <v>1993</v>
      </c>
      <c r="G749">
        <v>3502</v>
      </c>
      <c r="H749" t="s">
        <v>341</v>
      </c>
      <c r="I749" t="str">
        <f t="shared" si="11"/>
        <v>25</v>
      </c>
      <c r="J749">
        <v>60026</v>
      </c>
      <c r="K749">
        <v>3111</v>
      </c>
      <c r="L749">
        <v>13</v>
      </c>
      <c r="M749">
        <v>3</v>
      </c>
      <c r="N749">
        <v>1</v>
      </c>
      <c r="O749" t="s">
        <v>41</v>
      </c>
      <c r="P749">
        <v>4</v>
      </c>
      <c r="Q749">
        <v>1</v>
      </c>
      <c r="R749" t="s">
        <v>26</v>
      </c>
      <c r="S749">
        <v>2</v>
      </c>
      <c r="V749" t="s">
        <v>67</v>
      </c>
    </row>
    <row r="750" spans="1:22" x14ac:dyDescent="0.45">
      <c r="A750" t="str">
        <f>"10276994"</f>
        <v>10276994</v>
      </c>
      <c r="B750" t="s">
        <v>22</v>
      </c>
      <c r="C750" s="1">
        <v>43567</v>
      </c>
      <c r="D750">
        <v>710000</v>
      </c>
      <c r="E750" t="s">
        <v>60</v>
      </c>
      <c r="F750">
        <v>1988</v>
      </c>
      <c r="G750">
        <v>930</v>
      </c>
      <c r="H750" t="s">
        <v>361</v>
      </c>
      <c r="I750" t="str">
        <f t="shared" si="11"/>
        <v>25</v>
      </c>
      <c r="J750">
        <v>60025</v>
      </c>
      <c r="K750">
        <v>3600</v>
      </c>
      <c r="L750">
        <v>10</v>
      </c>
      <c r="M750">
        <v>2</v>
      </c>
      <c r="N750">
        <v>1</v>
      </c>
      <c r="O750" t="s">
        <v>25</v>
      </c>
      <c r="P750">
        <v>4</v>
      </c>
      <c r="Q750">
        <v>0</v>
      </c>
      <c r="R750" t="s">
        <v>35</v>
      </c>
      <c r="S750">
        <v>2.5</v>
      </c>
      <c r="V750" t="s">
        <v>67</v>
      </c>
    </row>
    <row r="751" spans="1:22" x14ac:dyDescent="0.45">
      <c r="A751" t="str">
        <f>"10490303"</f>
        <v>10490303</v>
      </c>
      <c r="B751" t="s">
        <v>22</v>
      </c>
      <c r="C751" s="1">
        <v>43770</v>
      </c>
      <c r="D751">
        <v>710000</v>
      </c>
      <c r="E751" t="s">
        <v>60</v>
      </c>
      <c r="F751">
        <v>1973</v>
      </c>
      <c r="G751">
        <v>4100</v>
      </c>
      <c r="H751" t="s">
        <v>273</v>
      </c>
      <c r="I751" t="str">
        <f t="shared" si="11"/>
        <v>25</v>
      </c>
      <c r="J751">
        <v>60026</v>
      </c>
      <c r="K751">
        <v>2832</v>
      </c>
      <c r="L751">
        <v>9</v>
      </c>
      <c r="M751">
        <v>2</v>
      </c>
      <c r="N751">
        <v>1</v>
      </c>
      <c r="O751" t="s">
        <v>25</v>
      </c>
      <c r="P751">
        <v>4</v>
      </c>
      <c r="Q751">
        <v>0</v>
      </c>
      <c r="R751" t="s">
        <v>26</v>
      </c>
      <c r="S751">
        <v>2</v>
      </c>
      <c r="V751" t="s">
        <v>67</v>
      </c>
    </row>
    <row r="752" spans="1:22" x14ac:dyDescent="0.45">
      <c r="A752" t="str">
        <f>"10871026"</f>
        <v>10871026</v>
      </c>
      <c r="B752" t="s">
        <v>22</v>
      </c>
      <c r="C752" s="1">
        <v>44144</v>
      </c>
      <c r="D752">
        <v>710000</v>
      </c>
      <c r="E752" t="s">
        <v>60</v>
      </c>
      <c r="F752">
        <v>1983</v>
      </c>
      <c r="G752">
        <v>3316</v>
      </c>
      <c r="H752" t="s">
        <v>362</v>
      </c>
      <c r="I752" t="str">
        <f t="shared" si="11"/>
        <v>25</v>
      </c>
      <c r="J752">
        <v>60026</v>
      </c>
      <c r="K752">
        <v>2950</v>
      </c>
      <c r="L752">
        <v>10</v>
      </c>
      <c r="M752">
        <v>2</v>
      </c>
      <c r="N752">
        <v>1</v>
      </c>
      <c r="O752" t="s">
        <v>41</v>
      </c>
      <c r="P752">
        <v>4</v>
      </c>
      <c r="Q752">
        <v>1</v>
      </c>
      <c r="R752" t="s">
        <v>26</v>
      </c>
      <c r="S752">
        <v>2</v>
      </c>
      <c r="V752" t="s">
        <v>67</v>
      </c>
    </row>
    <row r="753" spans="1:22" x14ac:dyDescent="0.45">
      <c r="A753" t="str">
        <f>"10905734"</f>
        <v>10905734</v>
      </c>
      <c r="B753" t="s">
        <v>22</v>
      </c>
      <c r="C753" s="1">
        <v>44169</v>
      </c>
      <c r="D753">
        <v>710000</v>
      </c>
      <c r="E753" t="s">
        <v>60</v>
      </c>
      <c r="F753" t="s">
        <v>29</v>
      </c>
      <c r="G753">
        <v>1000</v>
      </c>
      <c r="H753" t="s">
        <v>310</v>
      </c>
      <c r="I753" t="str">
        <f t="shared" si="11"/>
        <v>25</v>
      </c>
      <c r="J753">
        <v>60025</v>
      </c>
      <c r="K753">
        <v>3500</v>
      </c>
      <c r="L753">
        <v>13</v>
      </c>
      <c r="M753">
        <v>3</v>
      </c>
      <c r="N753">
        <v>1</v>
      </c>
      <c r="O753" t="s">
        <v>25</v>
      </c>
      <c r="P753">
        <v>6</v>
      </c>
      <c r="Q753">
        <v>0</v>
      </c>
      <c r="R753" t="s">
        <v>26</v>
      </c>
      <c r="S753">
        <v>2</v>
      </c>
    </row>
    <row r="754" spans="1:22" x14ac:dyDescent="0.45">
      <c r="A754" t="str">
        <f>"10660456"</f>
        <v>10660456</v>
      </c>
      <c r="B754" t="s">
        <v>22</v>
      </c>
      <c r="C754" s="1">
        <v>44043</v>
      </c>
      <c r="D754">
        <v>710000</v>
      </c>
      <c r="E754" t="s">
        <v>60</v>
      </c>
      <c r="F754">
        <v>2001</v>
      </c>
      <c r="G754">
        <v>3508</v>
      </c>
      <c r="H754" t="s">
        <v>76</v>
      </c>
      <c r="I754" t="str">
        <f t="shared" si="11"/>
        <v>25</v>
      </c>
      <c r="J754">
        <v>60025</v>
      </c>
      <c r="K754">
        <v>3048</v>
      </c>
      <c r="L754">
        <v>8</v>
      </c>
      <c r="M754">
        <v>3</v>
      </c>
      <c r="N754">
        <v>0</v>
      </c>
      <c r="O754" t="s">
        <v>25</v>
      </c>
      <c r="P754">
        <v>4</v>
      </c>
      <c r="Q754">
        <v>0</v>
      </c>
      <c r="R754" t="s">
        <v>26</v>
      </c>
      <c r="S754">
        <v>3</v>
      </c>
      <c r="V754" t="s">
        <v>176</v>
      </c>
    </row>
    <row r="755" spans="1:22" x14ac:dyDescent="0.45">
      <c r="A755" t="str">
        <f>"10116528"</f>
        <v>10116528</v>
      </c>
      <c r="B755" t="s">
        <v>22</v>
      </c>
      <c r="C755" s="1">
        <v>43759</v>
      </c>
      <c r="D755">
        <v>710000</v>
      </c>
      <c r="E755" t="s">
        <v>60</v>
      </c>
      <c r="F755">
        <v>1960</v>
      </c>
      <c r="G755">
        <v>1801</v>
      </c>
      <c r="H755" t="s">
        <v>308</v>
      </c>
      <c r="I755" t="str">
        <f t="shared" si="11"/>
        <v>25</v>
      </c>
      <c r="J755">
        <v>60025</v>
      </c>
      <c r="K755">
        <v>3000</v>
      </c>
      <c r="L755">
        <v>11</v>
      </c>
      <c r="M755">
        <v>3</v>
      </c>
      <c r="N755">
        <v>1</v>
      </c>
      <c r="O755" t="s">
        <v>25</v>
      </c>
      <c r="P755">
        <v>4</v>
      </c>
      <c r="Q755">
        <v>0</v>
      </c>
      <c r="R755" t="s">
        <v>26</v>
      </c>
      <c r="S755">
        <v>2</v>
      </c>
    </row>
    <row r="756" spans="1:22" x14ac:dyDescent="0.45">
      <c r="A756" t="str">
        <f>"10065845"</f>
        <v>10065845</v>
      </c>
      <c r="B756" t="s">
        <v>22</v>
      </c>
      <c r="C756" s="1">
        <v>43580</v>
      </c>
      <c r="D756">
        <v>711467</v>
      </c>
      <c r="E756" t="s">
        <v>23</v>
      </c>
      <c r="F756">
        <v>2018</v>
      </c>
      <c r="G756">
        <v>1104</v>
      </c>
      <c r="H756" t="s">
        <v>346</v>
      </c>
      <c r="I756" t="str">
        <f t="shared" si="11"/>
        <v>25</v>
      </c>
      <c r="J756">
        <v>60025</v>
      </c>
      <c r="K756">
        <v>2308</v>
      </c>
      <c r="L756">
        <v>6</v>
      </c>
      <c r="M756">
        <v>2</v>
      </c>
      <c r="N756">
        <v>0</v>
      </c>
      <c r="O756" t="s">
        <v>25</v>
      </c>
      <c r="P756">
        <v>2</v>
      </c>
      <c r="Q756">
        <v>0</v>
      </c>
      <c r="R756" t="s">
        <v>26</v>
      </c>
      <c r="S756">
        <v>2</v>
      </c>
    </row>
    <row r="757" spans="1:22" x14ac:dyDescent="0.45">
      <c r="A757" t="str">
        <f>"10715261"</f>
        <v>10715261</v>
      </c>
      <c r="B757" t="s">
        <v>22</v>
      </c>
      <c r="C757" s="1">
        <v>44091</v>
      </c>
      <c r="D757">
        <v>715000</v>
      </c>
      <c r="E757" t="s">
        <v>60</v>
      </c>
      <c r="F757">
        <v>1949</v>
      </c>
      <c r="G757">
        <v>645</v>
      </c>
      <c r="H757" t="s">
        <v>77</v>
      </c>
      <c r="I757" t="str">
        <f t="shared" si="11"/>
        <v>25</v>
      </c>
      <c r="J757">
        <v>60025</v>
      </c>
      <c r="K757">
        <v>2834</v>
      </c>
      <c r="L757">
        <v>9</v>
      </c>
      <c r="M757">
        <v>4</v>
      </c>
      <c r="N757">
        <v>0</v>
      </c>
      <c r="O757" t="s">
        <v>25</v>
      </c>
      <c r="P757">
        <v>4</v>
      </c>
      <c r="Q757">
        <v>0</v>
      </c>
      <c r="R757" t="s">
        <v>26</v>
      </c>
      <c r="S757">
        <v>1</v>
      </c>
    </row>
    <row r="758" spans="1:22" x14ac:dyDescent="0.45">
      <c r="A758" t="str">
        <f>"10736889"</f>
        <v>10736889</v>
      </c>
      <c r="B758" t="s">
        <v>22</v>
      </c>
      <c r="C758" s="1">
        <v>44040</v>
      </c>
      <c r="D758">
        <v>716050</v>
      </c>
      <c r="E758" t="s">
        <v>60</v>
      </c>
      <c r="F758">
        <v>1977</v>
      </c>
      <c r="G758">
        <v>1341</v>
      </c>
      <c r="H758" t="s">
        <v>267</v>
      </c>
      <c r="I758" t="str">
        <f t="shared" si="11"/>
        <v>25</v>
      </c>
      <c r="J758">
        <v>60025</v>
      </c>
      <c r="K758">
        <v>3299</v>
      </c>
      <c r="L758">
        <v>12</v>
      </c>
      <c r="M758">
        <v>2</v>
      </c>
      <c r="N758">
        <v>1</v>
      </c>
      <c r="O758" t="s">
        <v>25</v>
      </c>
      <c r="P758">
        <v>4</v>
      </c>
      <c r="Q758">
        <v>0</v>
      </c>
      <c r="R758" t="s">
        <v>26</v>
      </c>
      <c r="S758">
        <v>2</v>
      </c>
      <c r="V758" t="s">
        <v>67</v>
      </c>
    </row>
    <row r="759" spans="1:22" x14ac:dyDescent="0.45">
      <c r="A759" t="str">
        <f>"10392325"</f>
        <v>10392325</v>
      </c>
      <c r="B759" t="s">
        <v>22</v>
      </c>
      <c r="C759" s="1">
        <v>43671</v>
      </c>
      <c r="D759">
        <v>717000</v>
      </c>
      <c r="E759" t="s">
        <v>60</v>
      </c>
      <c r="F759">
        <v>1941</v>
      </c>
      <c r="G759">
        <v>215</v>
      </c>
      <c r="H759" t="s">
        <v>246</v>
      </c>
      <c r="I759" t="str">
        <f t="shared" si="11"/>
        <v>25</v>
      </c>
      <c r="J759">
        <v>60025</v>
      </c>
      <c r="K759">
        <v>2800</v>
      </c>
      <c r="L759">
        <v>11</v>
      </c>
      <c r="M759">
        <v>2</v>
      </c>
      <c r="N759">
        <v>1</v>
      </c>
      <c r="O759" t="s">
        <v>25</v>
      </c>
      <c r="P759">
        <v>4</v>
      </c>
      <c r="Q759">
        <v>0</v>
      </c>
      <c r="R759" t="s">
        <v>35</v>
      </c>
      <c r="S759">
        <v>4</v>
      </c>
    </row>
    <row r="760" spans="1:22" x14ac:dyDescent="0.45">
      <c r="A760" t="str">
        <f>"10606054"</f>
        <v>10606054</v>
      </c>
      <c r="B760" t="s">
        <v>22</v>
      </c>
      <c r="C760" s="1">
        <v>43889</v>
      </c>
      <c r="D760">
        <v>720000</v>
      </c>
      <c r="E760" t="s">
        <v>60</v>
      </c>
      <c r="F760">
        <v>1999</v>
      </c>
      <c r="G760">
        <v>1881</v>
      </c>
      <c r="H760" t="s">
        <v>363</v>
      </c>
      <c r="I760" t="str">
        <f t="shared" si="11"/>
        <v>25</v>
      </c>
      <c r="J760">
        <v>60025</v>
      </c>
      <c r="K760">
        <v>3201</v>
      </c>
      <c r="L760">
        <v>8</v>
      </c>
      <c r="M760">
        <v>2</v>
      </c>
      <c r="N760">
        <v>1</v>
      </c>
      <c r="O760" t="s">
        <v>25</v>
      </c>
      <c r="P760">
        <v>4</v>
      </c>
      <c r="Q760">
        <v>0</v>
      </c>
      <c r="R760" t="s">
        <v>26</v>
      </c>
      <c r="S760">
        <v>2</v>
      </c>
    </row>
    <row r="761" spans="1:22" x14ac:dyDescent="0.45">
      <c r="A761" t="str">
        <f>"10676218"</f>
        <v>10676218</v>
      </c>
      <c r="B761" t="s">
        <v>22</v>
      </c>
      <c r="C761" s="1">
        <v>44000</v>
      </c>
      <c r="D761">
        <v>720000</v>
      </c>
      <c r="E761" t="s">
        <v>23</v>
      </c>
      <c r="F761">
        <v>1951</v>
      </c>
      <c r="G761">
        <v>711</v>
      </c>
      <c r="H761" t="s">
        <v>360</v>
      </c>
      <c r="I761" t="str">
        <f t="shared" si="11"/>
        <v>25</v>
      </c>
      <c r="J761">
        <v>60025</v>
      </c>
      <c r="K761">
        <v>2742</v>
      </c>
      <c r="L761">
        <v>9</v>
      </c>
      <c r="M761">
        <v>2</v>
      </c>
      <c r="N761">
        <v>1</v>
      </c>
      <c r="O761" t="s">
        <v>25</v>
      </c>
      <c r="P761">
        <v>3</v>
      </c>
      <c r="Q761">
        <v>0</v>
      </c>
      <c r="R761" t="s">
        <v>35</v>
      </c>
      <c r="S761">
        <v>2</v>
      </c>
      <c r="V761" t="s">
        <v>27</v>
      </c>
    </row>
    <row r="762" spans="1:22" x14ac:dyDescent="0.45">
      <c r="A762" t="str">
        <f>"10732104"</f>
        <v>10732104</v>
      </c>
      <c r="B762" t="s">
        <v>22</v>
      </c>
      <c r="C762" s="1">
        <v>44082</v>
      </c>
      <c r="D762">
        <v>720000</v>
      </c>
      <c r="E762" t="s">
        <v>60</v>
      </c>
      <c r="F762">
        <v>1985</v>
      </c>
      <c r="G762">
        <v>2413</v>
      </c>
      <c r="H762" t="s">
        <v>330</v>
      </c>
      <c r="I762" t="str">
        <f t="shared" si="11"/>
        <v>25</v>
      </c>
      <c r="J762">
        <v>60026</v>
      </c>
      <c r="K762">
        <v>3502</v>
      </c>
      <c r="L762">
        <v>14</v>
      </c>
      <c r="M762">
        <v>3</v>
      </c>
      <c r="N762">
        <v>1</v>
      </c>
      <c r="O762" t="s">
        <v>41</v>
      </c>
      <c r="P762">
        <v>3</v>
      </c>
      <c r="Q762">
        <v>1</v>
      </c>
      <c r="R762" t="s">
        <v>26</v>
      </c>
      <c r="S762">
        <v>4</v>
      </c>
      <c r="U762">
        <v>1717</v>
      </c>
    </row>
    <row r="763" spans="1:22" x14ac:dyDescent="0.45">
      <c r="A763" t="str">
        <f>"10166619"</f>
        <v>10166619</v>
      </c>
      <c r="B763" t="s">
        <v>22</v>
      </c>
      <c r="C763" s="1">
        <v>43560</v>
      </c>
      <c r="D763">
        <v>720000</v>
      </c>
      <c r="E763" t="s">
        <v>60</v>
      </c>
      <c r="F763">
        <v>1963</v>
      </c>
      <c r="G763">
        <v>1324</v>
      </c>
      <c r="H763" t="s">
        <v>306</v>
      </c>
      <c r="I763" t="str">
        <f t="shared" si="11"/>
        <v>25</v>
      </c>
      <c r="J763">
        <v>60025</v>
      </c>
      <c r="K763">
        <v>3748</v>
      </c>
      <c r="L763">
        <v>11</v>
      </c>
      <c r="M763">
        <v>2</v>
      </c>
      <c r="N763">
        <v>1</v>
      </c>
      <c r="O763" t="s">
        <v>25</v>
      </c>
      <c r="P763">
        <v>4</v>
      </c>
      <c r="Q763">
        <v>0</v>
      </c>
      <c r="R763" t="s">
        <v>26</v>
      </c>
      <c r="S763">
        <v>2.5</v>
      </c>
      <c r="V763" t="s">
        <v>67</v>
      </c>
    </row>
    <row r="764" spans="1:22" x14ac:dyDescent="0.45">
      <c r="A764" t="str">
        <f>"10826714"</f>
        <v>10826714</v>
      </c>
      <c r="B764" t="s">
        <v>22</v>
      </c>
      <c r="C764" s="1">
        <v>44106</v>
      </c>
      <c r="D764">
        <v>725000</v>
      </c>
      <c r="E764" t="s">
        <v>23</v>
      </c>
      <c r="F764">
        <v>1957</v>
      </c>
      <c r="G764">
        <v>2211</v>
      </c>
      <c r="H764" t="s">
        <v>364</v>
      </c>
      <c r="I764" t="str">
        <f t="shared" si="11"/>
        <v>25</v>
      </c>
      <c r="J764">
        <v>60025</v>
      </c>
      <c r="K764">
        <v>2250</v>
      </c>
      <c r="L764">
        <v>7</v>
      </c>
      <c r="M764">
        <v>4</v>
      </c>
      <c r="N764">
        <v>1</v>
      </c>
      <c r="O764" t="s">
        <v>41</v>
      </c>
      <c r="P764">
        <v>3</v>
      </c>
      <c r="Q764">
        <v>0</v>
      </c>
      <c r="R764" t="s">
        <v>26</v>
      </c>
      <c r="S764">
        <v>2</v>
      </c>
      <c r="T764">
        <v>3</v>
      </c>
      <c r="U764">
        <v>1010</v>
      </c>
      <c r="V764" t="s">
        <v>27</v>
      </c>
    </row>
    <row r="765" spans="1:22" x14ac:dyDescent="0.45">
      <c r="A765" t="str">
        <f>"10322123"</f>
        <v>10322123</v>
      </c>
      <c r="B765" t="s">
        <v>22</v>
      </c>
      <c r="C765" s="1">
        <v>43630</v>
      </c>
      <c r="D765">
        <v>725000</v>
      </c>
      <c r="E765" t="s">
        <v>74</v>
      </c>
      <c r="F765">
        <v>1964</v>
      </c>
      <c r="G765">
        <v>1616</v>
      </c>
      <c r="H765" t="s">
        <v>344</v>
      </c>
      <c r="I765" t="str">
        <f t="shared" si="11"/>
        <v>25</v>
      </c>
      <c r="J765">
        <v>60025</v>
      </c>
      <c r="K765">
        <v>3075</v>
      </c>
      <c r="L765">
        <v>9</v>
      </c>
      <c r="M765">
        <v>3</v>
      </c>
      <c r="N765">
        <v>0</v>
      </c>
      <c r="O765" t="s">
        <v>41</v>
      </c>
      <c r="P765">
        <v>4</v>
      </c>
      <c r="Q765">
        <v>0</v>
      </c>
      <c r="R765" t="s">
        <v>26</v>
      </c>
      <c r="S765">
        <v>2</v>
      </c>
      <c r="V765" t="s">
        <v>148</v>
      </c>
    </row>
    <row r="766" spans="1:22" x14ac:dyDescent="0.45">
      <c r="A766" t="str">
        <f>"10860455"</f>
        <v>10860455</v>
      </c>
      <c r="B766" t="s">
        <v>22</v>
      </c>
      <c r="C766" s="1">
        <v>44147</v>
      </c>
      <c r="D766">
        <v>725000</v>
      </c>
      <c r="E766" t="s">
        <v>60</v>
      </c>
      <c r="F766">
        <v>1966</v>
      </c>
      <c r="G766">
        <v>1047</v>
      </c>
      <c r="H766" t="s">
        <v>365</v>
      </c>
      <c r="I766" t="str">
        <f t="shared" si="11"/>
        <v>25</v>
      </c>
      <c r="J766">
        <v>60025</v>
      </c>
      <c r="K766">
        <v>2693</v>
      </c>
      <c r="L766">
        <v>10</v>
      </c>
      <c r="M766">
        <v>2</v>
      </c>
      <c r="N766">
        <v>1</v>
      </c>
      <c r="O766" t="s">
        <v>25</v>
      </c>
      <c r="P766">
        <v>4</v>
      </c>
      <c r="Q766">
        <v>0</v>
      </c>
      <c r="R766" t="s">
        <v>26</v>
      </c>
      <c r="S766">
        <v>2.5</v>
      </c>
      <c r="U766">
        <v>0</v>
      </c>
      <c r="V766" t="s">
        <v>67</v>
      </c>
    </row>
    <row r="767" spans="1:22" x14ac:dyDescent="0.45">
      <c r="A767" t="str">
        <f>"10668716"</f>
        <v>10668716</v>
      </c>
      <c r="B767" t="s">
        <v>22</v>
      </c>
      <c r="C767" s="1">
        <v>43966</v>
      </c>
      <c r="D767">
        <v>725000</v>
      </c>
      <c r="E767" t="s">
        <v>60</v>
      </c>
      <c r="F767">
        <v>1985</v>
      </c>
      <c r="G767">
        <v>3405</v>
      </c>
      <c r="H767" t="s">
        <v>366</v>
      </c>
      <c r="I767" t="str">
        <f t="shared" si="11"/>
        <v>25</v>
      </c>
      <c r="J767">
        <v>60025</v>
      </c>
      <c r="K767">
        <v>3420</v>
      </c>
      <c r="L767">
        <v>10</v>
      </c>
      <c r="M767">
        <v>2</v>
      </c>
      <c r="N767">
        <v>1</v>
      </c>
      <c r="O767" t="s">
        <v>25</v>
      </c>
      <c r="P767">
        <v>4</v>
      </c>
      <c r="Q767">
        <v>0</v>
      </c>
      <c r="R767" t="s">
        <v>26</v>
      </c>
      <c r="S767">
        <v>2.1</v>
      </c>
      <c r="V767" t="s">
        <v>67</v>
      </c>
    </row>
    <row r="768" spans="1:22" x14ac:dyDescent="0.45">
      <c r="A768" t="str">
        <f>"10835880"</f>
        <v>10835880</v>
      </c>
      <c r="B768" t="s">
        <v>22</v>
      </c>
      <c r="C768" s="1">
        <v>44127</v>
      </c>
      <c r="D768">
        <v>725000</v>
      </c>
      <c r="E768" t="s">
        <v>60</v>
      </c>
      <c r="F768">
        <v>1950</v>
      </c>
      <c r="G768">
        <v>1954</v>
      </c>
      <c r="H768" t="s">
        <v>135</v>
      </c>
      <c r="I768" t="str">
        <f t="shared" si="11"/>
        <v>25</v>
      </c>
      <c r="J768">
        <v>60025</v>
      </c>
      <c r="K768">
        <v>2500</v>
      </c>
      <c r="L768">
        <v>9</v>
      </c>
      <c r="M768">
        <v>4</v>
      </c>
      <c r="N768">
        <v>0</v>
      </c>
      <c r="O768" t="s">
        <v>41</v>
      </c>
      <c r="P768">
        <v>5</v>
      </c>
      <c r="Q768">
        <v>0</v>
      </c>
      <c r="R768" t="s">
        <v>35</v>
      </c>
      <c r="S768">
        <v>2.5</v>
      </c>
      <c r="T768">
        <v>8</v>
      </c>
    </row>
    <row r="769" spans="1:22" x14ac:dyDescent="0.45">
      <c r="A769" t="str">
        <f>"10643969"</f>
        <v>10643969</v>
      </c>
      <c r="B769" t="s">
        <v>22</v>
      </c>
      <c r="C769" s="1">
        <v>43955</v>
      </c>
      <c r="D769">
        <v>725000</v>
      </c>
      <c r="E769" t="s">
        <v>60</v>
      </c>
      <c r="F769">
        <v>1967</v>
      </c>
      <c r="G769">
        <v>1413</v>
      </c>
      <c r="H769" t="s">
        <v>307</v>
      </c>
      <c r="I769" t="str">
        <f t="shared" si="11"/>
        <v>25</v>
      </c>
      <c r="J769">
        <v>60025</v>
      </c>
      <c r="K769">
        <v>2958</v>
      </c>
      <c r="L769">
        <v>10</v>
      </c>
      <c r="M769">
        <v>2</v>
      </c>
      <c r="N769">
        <v>1</v>
      </c>
      <c r="O769" t="s">
        <v>25</v>
      </c>
      <c r="P769">
        <v>4</v>
      </c>
      <c r="Q769">
        <v>0</v>
      </c>
      <c r="R769" t="s">
        <v>26</v>
      </c>
      <c r="S769">
        <v>2</v>
      </c>
      <c r="V769" t="s">
        <v>67</v>
      </c>
    </row>
    <row r="770" spans="1:22" x14ac:dyDescent="0.45">
      <c r="A770" t="str">
        <f>"10334522"</f>
        <v>10334522</v>
      </c>
      <c r="B770" t="s">
        <v>22</v>
      </c>
      <c r="C770" s="1">
        <v>43598</v>
      </c>
      <c r="D770">
        <v>727400</v>
      </c>
      <c r="E770" t="s">
        <v>60</v>
      </c>
      <c r="F770">
        <v>1965</v>
      </c>
      <c r="G770">
        <v>1415</v>
      </c>
      <c r="H770" t="s">
        <v>367</v>
      </c>
      <c r="I770" t="str">
        <f t="shared" ref="I770:I833" si="12">"25"</f>
        <v>25</v>
      </c>
      <c r="J770">
        <v>60025</v>
      </c>
      <c r="K770">
        <v>2814</v>
      </c>
      <c r="L770">
        <v>9</v>
      </c>
      <c r="M770">
        <v>3</v>
      </c>
      <c r="N770">
        <v>1</v>
      </c>
      <c r="O770" t="s">
        <v>41</v>
      </c>
      <c r="P770">
        <v>4</v>
      </c>
      <c r="Q770">
        <v>0</v>
      </c>
      <c r="R770" t="s">
        <v>26</v>
      </c>
      <c r="S770">
        <v>2</v>
      </c>
      <c r="V770" t="s">
        <v>67</v>
      </c>
    </row>
    <row r="771" spans="1:22" x14ac:dyDescent="0.45">
      <c r="A771" t="str">
        <f>"10594088"</f>
        <v>10594088</v>
      </c>
      <c r="B771" t="s">
        <v>22</v>
      </c>
      <c r="C771" s="1">
        <v>43994</v>
      </c>
      <c r="D771">
        <v>727500</v>
      </c>
      <c r="E771" t="s">
        <v>60</v>
      </c>
      <c r="F771">
        <v>2020</v>
      </c>
      <c r="G771">
        <v>1036</v>
      </c>
      <c r="H771" t="s">
        <v>346</v>
      </c>
      <c r="I771" t="str">
        <f t="shared" si="12"/>
        <v>25</v>
      </c>
      <c r="J771">
        <v>60025</v>
      </c>
      <c r="K771">
        <v>2932</v>
      </c>
      <c r="L771">
        <v>9</v>
      </c>
      <c r="M771">
        <v>3</v>
      </c>
      <c r="N771">
        <v>0</v>
      </c>
      <c r="O771" t="s">
        <v>25</v>
      </c>
      <c r="P771">
        <v>4</v>
      </c>
      <c r="Q771">
        <v>0</v>
      </c>
      <c r="R771" t="s">
        <v>26</v>
      </c>
      <c r="S771">
        <v>2</v>
      </c>
    </row>
    <row r="772" spans="1:22" x14ac:dyDescent="0.45">
      <c r="A772" t="str">
        <f>"10604422"</f>
        <v>10604422</v>
      </c>
      <c r="B772" t="s">
        <v>22</v>
      </c>
      <c r="C772" s="1">
        <v>43951</v>
      </c>
      <c r="D772">
        <v>729000</v>
      </c>
      <c r="E772" t="s">
        <v>23</v>
      </c>
      <c r="F772">
        <v>2019</v>
      </c>
      <c r="G772">
        <v>1034</v>
      </c>
      <c r="H772" t="s">
        <v>346</v>
      </c>
      <c r="I772" t="str">
        <f t="shared" si="12"/>
        <v>25</v>
      </c>
      <c r="J772">
        <v>60025</v>
      </c>
      <c r="K772">
        <v>2308</v>
      </c>
      <c r="L772">
        <v>6</v>
      </c>
      <c r="M772">
        <v>2</v>
      </c>
      <c r="N772">
        <v>0</v>
      </c>
      <c r="O772" t="s">
        <v>25</v>
      </c>
      <c r="P772">
        <v>2</v>
      </c>
      <c r="Q772">
        <v>0</v>
      </c>
      <c r="R772" t="s">
        <v>26</v>
      </c>
      <c r="S772">
        <v>2</v>
      </c>
    </row>
    <row r="773" spans="1:22" x14ac:dyDescent="0.45">
      <c r="A773" t="str">
        <f>"10442301"</f>
        <v>10442301</v>
      </c>
      <c r="B773" t="s">
        <v>22</v>
      </c>
      <c r="C773" s="1">
        <v>43693</v>
      </c>
      <c r="D773">
        <v>729000</v>
      </c>
      <c r="E773" t="s">
        <v>60</v>
      </c>
      <c r="F773">
        <v>1964</v>
      </c>
      <c r="G773">
        <v>1420</v>
      </c>
      <c r="H773" t="s">
        <v>334</v>
      </c>
      <c r="I773" t="str">
        <f t="shared" si="12"/>
        <v>25</v>
      </c>
      <c r="J773">
        <v>60025</v>
      </c>
      <c r="K773">
        <v>0</v>
      </c>
      <c r="L773">
        <v>9</v>
      </c>
      <c r="M773">
        <v>2</v>
      </c>
      <c r="N773">
        <v>1</v>
      </c>
      <c r="O773" t="s">
        <v>25</v>
      </c>
      <c r="P773">
        <v>4</v>
      </c>
      <c r="Q773">
        <v>0</v>
      </c>
      <c r="R773" t="s">
        <v>26</v>
      </c>
      <c r="S773">
        <v>2</v>
      </c>
    </row>
    <row r="774" spans="1:22" x14ac:dyDescent="0.45">
      <c r="A774" t="str">
        <f>"10768112"</f>
        <v>10768112</v>
      </c>
      <c r="B774" t="s">
        <v>22</v>
      </c>
      <c r="C774" s="1">
        <v>44166</v>
      </c>
      <c r="D774">
        <v>729900</v>
      </c>
      <c r="E774" t="s">
        <v>60</v>
      </c>
      <c r="F774">
        <v>2005</v>
      </c>
      <c r="G774">
        <v>1777</v>
      </c>
      <c r="H774" t="s">
        <v>368</v>
      </c>
      <c r="I774" t="str">
        <f t="shared" si="12"/>
        <v>25</v>
      </c>
      <c r="J774">
        <v>60025</v>
      </c>
      <c r="K774">
        <v>3773</v>
      </c>
      <c r="L774">
        <v>9</v>
      </c>
      <c r="M774">
        <v>3</v>
      </c>
      <c r="N774">
        <v>1</v>
      </c>
      <c r="O774" t="s">
        <v>41</v>
      </c>
      <c r="P774">
        <v>3</v>
      </c>
      <c r="Q774">
        <v>1</v>
      </c>
      <c r="R774" t="s">
        <v>26</v>
      </c>
      <c r="S774">
        <v>2</v>
      </c>
    </row>
    <row r="775" spans="1:22" x14ac:dyDescent="0.45">
      <c r="A775" t="str">
        <f>"10351707"</f>
        <v>10351707</v>
      </c>
      <c r="B775" t="s">
        <v>22</v>
      </c>
      <c r="C775" s="1">
        <v>43643</v>
      </c>
      <c r="D775">
        <v>730000</v>
      </c>
      <c r="E775" t="s">
        <v>23</v>
      </c>
      <c r="F775">
        <v>1955</v>
      </c>
      <c r="G775">
        <v>2318</v>
      </c>
      <c r="H775" t="s">
        <v>221</v>
      </c>
      <c r="I775" t="str">
        <f t="shared" si="12"/>
        <v>25</v>
      </c>
      <c r="J775">
        <v>60025</v>
      </c>
      <c r="K775">
        <v>2818</v>
      </c>
      <c r="L775">
        <v>9</v>
      </c>
      <c r="M775">
        <v>4</v>
      </c>
      <c r="N775">
        <v>0</v>
      </c>
      <c r="O775" t="s">
        <v>41</v>
      </c>
      <c r="P775">
        <v>4</v>
      </c>
      <c r="Q775">
        <v>1</v>
      </c>
      <c r="R775" t="s">
        <v>26</v>
      </c>
      <c r="S775">
        <v>2.1</v>
      </c>
      <c r="V775" t="s">
        <v>27</v>
      </c>
    </row>
    <row r="776" spans="1:22" x14ac:dyDescent="0.45">
      <c r="A776" t="str">
        <f>"10785944"</f>
        <v>10785944</v>
      </c>
      <c r="B776" t="s">
        <v>22</v>
      </c>
      <c r="C776" s="1">
        <v>44069</v>
      </c>
      <c r="D776">
        <v>730000</v>
      </c>
      <c r="E776" t="s">
        <v>60</v>
      </c>
      <c r="F776">
        <v>1998</v>
      </c>
      <c r="G776">
        <v>911</v>
      </c>
      <c r="H776" t="s">
        <v>44</v>
      </c>
      <c r="I776" t="str">
        <f t="shared" si="12"/>
        <v>25</v>
      </c>
      <c r="J776">
        <v>60025</v>
      </c>
      <c r="K776">
        <v>3354</v>
      </c>
      <c r="L776">
        <v>10</v>
      </c>
      <c r="M776">
        <v>3</v>
      </c>
      <c r="N776">
        <v>1</v>
      </c>
      <c r="O776" t="s">
        <v>41</v>
      </c>
      <c r="P776">
        <v>5</v>
      </c>
      <c r="Q776">
        <v>0</v>
      </c>
      <c r="R776" t="s">
        <v>26</v>
      </c>
      <c r="S776">
        <v>2.5</v>
      </c>
    </row>
    <row r="777" spans="1:22" x14ac:dyDescent="0.45">
      <c r="A777" t="str">
        <f>"10714048"</f>
        <v>10714048</v>
      </c>
      <c r="B777" t="s">
        <v>22</v>
      </c>
      <c r="C777" s="1">
        <v>44139</v>
      </c>
      <c r="D777">
        <v>730000</v>
      </c>
      <c r="E777" t="s">
        <v>60</v>
      </c>
      <c r="F777">
        <v>2020</v>
      </c>
      <c r="G777">
        <v>1040</v>
      </c>
      <c r="H777" t="s">
        <v>346</v>
      </c>
      <c r="I777" t="str">
        <f t="shared" si="12"/>
        <v>25</v>
      </c>
      <c r="J777">
        <v>60025</v>
      </c>
      <c r="K777">
        <v>2932</v>
      </c>
      <c r="L777">
        <v>9</v>
      </c>
      <c r="M777">
        <v>3</v>
      </c>
      <c r="N777">
        <v>0</v>
      </c>
      <c r="O777" t="s">
        <v>25</v>
      </c>
      <c r="P777">
        <v>4</v>
      </c>
      <c r="Q777">
        <v>0</v>
      </c>
      <c r="R777" t="s">
        <v>26</v>
      </c>
      <c r="S777">
        <v>2</v>
      </c>
    </row>
    <row r="778" spans="1:22" x14ac:dyDescent="0.45">
      <c r="A778" t="str">
        <f>"10392904"</f>
        <v>10392904</v>
      </c>
      <c r="B778" t="s">
        <v>22</v>
      </c>
      <c r="C778" s="1">
        <v>43847</v>
      </c>
      <c r="D778">
        <v>732000</v>
      </c>
      <c r="E778" t="s">
        <v>60</v>
      </c>
      <c r="F778">
        <v>2019</v>
      </c>
      <c r="G778">
        <v>1051</v>
      </c>
      <c r="H778" t="s">
        <v>346</v>
      </c>
      <c r="I778" t="str">
        <f t="shared" si="12"/>
        <v>25</v>
      </c>
      <c r="J778">
        <v>60025</v>
      </c>
      <c r="K778">
        <v>2932</v>
      </c>
      <c r="L778">
        <v>9</v>
      </c>
      <c r="M778">
        <v>3</v>
      </c>
      <c r="N778">
        <v>0</v>
      </c>
      <c r="O778" t="s">
        <v>25</v>
      </c>
      <c r="P778">
        <v>4</v>
      </c>
      <c r="Q778">
        <v>0</v>
      </c>
      <c r="R778" t="s">
        <v>26</v>
      </c>
      <c r="S778">
        <v>2</v>
      </c>
    </row>
    <row r="779" spans="1:22" x14ac:dyDescent="0.45">
      <c r="A779" t="str">
        <f>"10607345"</f>
        <v>10607345</v>
      </c>
      <c r="B779" t="s">
        <v>22</v>
      </c>
      <c r="C779" s="1">
        <v>43917</v>
      </c>
      <c r="D779">
        <v>735000</v>
      </c>
      <c r="E779" t="s">
        <v>60</v>
      </c>
      <c r="F779">
        <v>1976</v>
      </c>
      <c r="G779">
        <v>1204</v>
      </c>
      <c r="H779" t="s">
        <v>175</v>
      </c>
      <c r="I779" t="str">
        <f t="shared" si="12"/>
        <v>25</v>
      </c>
      <c r="J779">
        <v>60025</v>
      </c>
      <c r="K779">
        <v>3479</v>
      </c>
      <c r="L779">
        <v>11</v>
      </c>
      <c r="M779">
        <v>2</v>
      </c>
      <c r="N779">
        <v>1</v>
      </c>
      <c r="O779" t="s">
        <v>25</v>
      </c>
      <c r="P779">
        <v>4</v>
      </c>
      <c r="Q779">
        <v>0</v>
      </c>
      <c r="R779" t="s">
        <v>26</v>
      </c>
      <c r="S779">
        <v>2</v>
      </c>
      <c r="U779">
        <v>830</v>
      </c>
      <c r="V779" t="s">
        <v>67</v>
      </c>
    </row>
    <row r="780" spans="1:22" x14ac:dyDescent="0.45">
      <c r="A780" t="str">
        <f>"10376200"</f>
        <v>10376200</v>
      </c>
      <c r="B780" t="s">
        <v>22</v>
      </c>
      <c r="C780" s="1">
        <v>43677</v>
      </c>
      <c r="D780">
        <v>735000</v>
      </c>
      <c r="E780" t="s">
        <v>369</v>
      </c>
      <c r="F780" t="s">
        <v>29</v>
      </c>
      <c r="G780">
        <v>2620</v>
      </c>
      <c r="H780" t="s">
        <v>48</v>
      </c>
      <c r="I780" t="str">
        <f t="shared" si="12"/>
        <v>25</v>
      </c>
      <c r="J780">
        <v>60025</v>
      </c>
      <c r="K780">
        <v>3170</v>
      </c>
      <c r="L780">
        <v>9</v>
      </c>
      <c r="M780">
        <v>3</v>
      </c>
      <c r="N780">
        <v>1</v>
      </c>
      <c r="O780" t="s">
        <v>41</v>
      </c>
      <c r="P780">
        <v>4</v>
      </c>
      <c r="Q780">
        <v>0</v>
      </c>
      <c r="R780" t="s">
        <v>35</v>
      </c>
      <c r="S780">
        <v>2</v>
      </c>
      <c r="V780" t="s">
        <v>226</v>
      </c>
    </row>
    <row r="781" spans="1:22" x14ac:dyDescent="0.45">
      <c r="A781" t="str">
        <f>"10603857"</f>
        <v>10603857</v>
      </c>
      <c r="B781" t="s">
        <v>22</v>
      </c>
      <c r="C781" s="1">
        <v>44050</v>
      </c>
      <c r="D781">
        <v>735000</v>
      </c>
      <c r="E781" t="s">
        <v>60</v>
      </c>
      <c r="F781">
        <v>1949</v>
      </c>
      <c r="G781">
        <v>2121</v>
      </c>
      <c r="H781" t="s">
        <v>185</v>
      </c>
      <c r="I781" t="str">
        <f t="shared" si="12"/>
        <v>25</v>
      </c>
      <c r="J781">
        <v>60025</v>
      </c>
      <c r="K781">
        <v>2582</v>
      </c>
      <c r="L781">
        <v>11</v>
      </c>
      <c r="M781">
        <v>3</v>
      </c>
      <c r="N781">
        <v>1</v>
      </c>
      <c r="O781" t="s">
        <v>41</v>
      </c>
      <c r="P781">
        <v>4</v>
      </c>
      <c r="Q781">
        <v>1</v>
      </c>
      <c r="R781" t="s">
        <v>26</v>
      </c>
      <c r="S781">
        <v>1</v>
      </c>
      <c r="V781" t="s">
        <v>370</v>
      </c>
    </row>
    <row r="782" spans="1:22" x14ac:dyDescent="0.45">
      <c r="A782" t="str">
        <f>"10110593"</f>
        <v>10110593</v>
      </c>
      <c r="B782" t="s">
        <v>22</v>
      </c>
      <c r="C782" s="1">
        <v>43643</v>
      </c>
      <c r="D782">
        <v>736343</v>
      </c>
      <c r="E782" t="s">
        <v>60</v>
      </c>
      <c r="F782">
        <v>2019</v>
      </c>
      <c r="G782">
        <v>1097</v>
      </c>
      <c r="H782" t="s">
        <v>346</v>
      </c>
      <c r="I782" t="str">
        <f t="shared" si="12"/>
        <v>25</v>
      </c>
      <c r="J782">
        <v>60025</v>
      </c>
      <c r="K782">
        <v>2530</v>
      </c>
      <c r="L782">
        <v>8</v>
      </c>
      <c r="M782">
        <v>3</v>
      </c>
      <c r="N782">
        <v>0</v>
      </c>
      <c r="O782" t="s">
        <v>25</v>
      </c>
      <c r="P782">
        <v>3</v>
      </c>
      <c r="Q782">
        <v>0</v>
      </c>
      <c r="R782" t="s">
        <v>26</v>
      </c>
      <c r="S782">
        <v>2</v>
      </c>
      <c r="U782">
        <v>0</v>
      </c>
    </row>
    <row r="783" spans="1:22" x14ac:dyDescent="0.45">
      <c r="A783" t="str">
        <f>"10729282"</f>
        <v>10729282</v>
      </c>
      <c r="B783" t="s">
        <v>22</v>
      </c>
      <c r="C783" s="1">
        <v>44011</v>
      </c>
      <c r="D783">
        <v>739400</v>
      </c>
      <c r="E783" t="s">
        <v>23</v>
      </c>
      <c r="F783">
        <v>2020</v>
      </c>
      <c r="G783">
        <v>1038</v>
      </c>
      <c r="H783" t="s">
        <v>346</v>
      </c>
      <c r="I783" t="str">
        <f t="shared" si="12"/>
        <v>25</v>
      </c>
      <c r="J783">
        <v>60025</v>
      </c>
      <c r="K783">
        <v>2308</v>
      </c>
      <c r="L783">
        <v>6</v>
      </c>
      <c r="M783">
        <v>2</v>
      </c>
      <c r="N783">
        <v>0</v>
      </c>
      <c r="O783" t="s">
        <v>25</v>
      </c>
      <c r="P783">
        <v>3</v>
      </c>
      <c r="Q783">
        <v>0</v>
      </c>
      <c r="R783" t="s">
        <v>26</v>
      </c>
      <c r="S783">
        <v>2</v>
      </c>
      <c r="V783" t="s">
        <v>27</v>
      </c>
    </row>
    <row r="784" spans="1:22" x14ac:dyDescent="0.45">
      <c r="A784" t="str">
        <f>"10658898"</f>
        <v>10658898</v>
      </c>
      <c r="B784" t="s">
        <v>22</v>
      </c>
      <c r="C784" s="1">
        <v>43950</v>
      </c>
      <c r="D784">
        <v>740000</v>
      </c>
      <c r="E784" t="s">
        <v>60</v>
      </c>
      <c r="F784">
        <v>1964</v>
      </c>
      <c r="G784">
        <v>1632</v>
      </c>
      <c r="H784" t="s">
        <v>344</v>
      </c>
      <c r="I784" t="str">
        <f t="shared" si="12"/>
        <v>25</v>
      </c>
      <c r="J784">
        <v>60025</v>
      </c>
      <c r="K784">
        <v>3067</v>
      </c>
      <c r="L784">
        <v>10</v>
      </c>
      <c r="M784">
        <v>2</v>
      </c>
      <c r="N784">
        <v>2</v>
      </c>
      <c r="O784" t="s">
        <v>41</v>
      </c>
      <c r="P784">
        <v>4</v>
      </c>
      <c r="Q784">
        <v>0</v>
      </c>
      <c r="R784" t="s">
        <v>26</v>
      </c>
      <c r="S784">
        <v>2</v>
      </c>
    </row>
    <row r="785" spans="1:22" x14ac:dyDescent="0.45">
      <c r="A785" t="str">
        <f>"10702262"</f>
        <v>10702262</v>
      </c>
      <c r="B785" t="s">
        <v>22</v>
      </c>
      <c r="C785" s="1">
        <v>44077</v>
      </c>
      <c r="D785">
        <v>740000</v>
      </c>
      <c r="E785" t="s">
        <v>60</v>
      </c>
      <c r="F785">
        <v>2000</v>
      </c>
      <c r="G785">
        <v>1917</v>
      </c>
      <c r="H785" t="s">
        <v>363</v>
      </c>
      <c r="I785" t="str">
        <f t="shared" si="12"/>
        <v>25</v>
      </c>
      <c r="J785">
        <v>60025</v>
      </c>
      <c r="K785">
        <v>3272</v>
      </c>
      <c r="L785">
        <v>11</v>
      </c>
      <c r="M785">
        <v>4</v>
      </c>
      <c r="N785">
        <v>0</v>
      </c>
      <c r="O785" t="s">
        <v>25</v>
      </c>
      <c r="P785">
        <v>5</v>
      </c>
      <c r="Q785">
        <v>0</v>
      </c>
      <c r="R785" t="s">
        <v>26</v>
      </c>
      <c r="S785">
        <v>2</v>
      </c>
      <c r="V785" t="s">
        <v>371</v>
      </c>
    </row>
    <row r="786" spans="1:22" x14ac:dyDescent="0.45">
      <c r="A786" t="str">
        <f>"10642818"</f>
        <v>10642818</v>
      </c>
      <c r="B786" t="s">
        <v>22</v>
      </c>
      <c r="C786" s="1">
        <v>43928</v>
      </c>
      <c r="D786">
        <v>742000</v>
      </c>
      <c r="E786" t="s">
        <v>60</v>
      </c>
      <c r="F786">
        <v>1968</v>
      </c>
      <c r="G786">
        <v>1334</v>
      </c>
      <c r="H786" t="s">
        <v>307</v>
      </c>
      <c r="I786" t="str">
        <f t="shared" si="12"/>
        <v>25</v>
      </c>
      <c r="J786">
        <v>60025</v>
      </c>
      <c r="K786">
        <v>0</v>
      </c>
      <c r="L786">
        <v>9</v>
      </c>
      <c r="M786">
        <v>2</v>
      </c>
      <c r="N786">
        <v>1</v>
      </c>
      <c r="O786" t="s">
        <v>25</v>
      </c>
      <c r="P786">
        <v>4</v>
      </c>
      <c r="Q786">
        <v>0</v>
      </c>
      <c r="R786" t="s">
        <v>26</v>
      </c>
      <c r="S786">
        <v>2.1</v>
      </c>
      <c r="V786" t="s">
        <v>67</v>
      </c>
    </row>
    <row r="787" spans="1:22" x14ac:dyDescent="0.45">
      <c r="A787" t="str">
        <f>"10650393"</f>
        <v>10650393</v>
      </c>
      <c r="B787" t="s">
        <v>22</v>
      </c>
      <c r="C787" s="1">
        <v>43966</v>
      </c>
      <c r="D787">
        <v>743000</v>
      </c>
      <c r="E787" t="s">
        <v>60</v>
      </c>
      <c r="F787">
        <v>1984</v>
      </c>
      <c r="G787">
        <v>2417</v>
      </c>
      <c r="H787" t="s">
        <v>330</v>
      </c>
      <c r="I787" t="str">
        <f t="shared" si="12"/>
        <v>25</v>
      </c>
      <c r="J787">
        <v>60026</v>
      </c>
      <c r="K787">
        <v>0</v>
      </c>
      <c r="L787">
        <v>12</v>
      </c>
      <c r="M787">
        <v>2</v>
      </c>
      <c r="N787">
        <v>1</v>
      </c>
      <c r="O787" t="s">
        <v>25</v>
      </c>
      <c r="P787">
        <v>4</v>
      </c>
      <c r="Q787">
        <v>1</v>
      </c>
      <c r="R787" t="s">
        <v>26</v>
      </c>
      <c r="S787">
        <v>2.5</v>
      </c>
      <c r="V787" t="s">
        <v>67</v>
      </c>
    </row>
    <row r="788" spans="1:22" x14ac:dyDescent="0.45">
      <c r="A788" t="str">
        <f>"10758165"</f>
        <v>10758165</v>
      </c>
      <c r="B788" t="s">
        <v>22</v>
      </c>
      <c r="C788" s="1">
        <v>44124</v>
      </c>
      <c r="D788">
        <v>745000</v>
      </c>
      <c r="E788" t="s">
        <v>60</v>
      </c>
      <c r="F788">
        <v>2004</v>
      </c>
      <c r="G788">
        <v>611</v>
      </c>
      <c r="H788" t="s">
        <v>184</v>
      </c>
      <c r="I788" t="str">
        <f t="shared" si="12"/>
        <v>25</v>
      </c>
      <c r="J788">
        <v>60025</v>
      </c>
      <c r="K788">
        <v>3492</v>
      </c>
      <c r="L788">
        <v>10</v>
      </c>
      <c r="M788">
        <v>3</v>
      </c>
      <c r="N788">
        <v>1</v>
      </c>
      <c r="O788" t="s">
        <v>25</v>
      </c>
      <c r="P788">
        <v>4</v>
      </c>
      <c r="Q788">
        <v>0</v>
      </c>
      <c r="R788" t="s">
        <v>26</v>
      </c>
      <c r="S788">
        <v>3</v>
      </c>
      <c r="V788" t="s">
        <v>196</v>
      </c>
    </row>
    <row r="789" spans="1:22" x14ac:dyDescent="0.45">
      <c r="A789" t="str">
        <f>"10382975"</f>
        <v>10382975</v>
      </c>
      <c r="B789" t="s">
        <v>22</v>
      </c>
      <c r="C789" s="1">
        <v>43655</v>
      </c>
      <c r="D789">
        <v>745000</v>
      </c>
      <c r="E789" t="s">
        <v>60</v>
      </c>
      <c r="F789">
        <v>2008</v>
      </c>
      <c r="G789">
        <v>1902</v>
      </c>
      <c r="H789" t="s">
        <v>127</v>
      </c>
      <c r="I789" t="str">
        <f t="shared" si="12"/>
        <v>25</v>
      </c>
      <c r="J789">
        <v>60025</v>
      </c>
      <c r="K789">
        <v>3200</v>
      </c>
      <c r="L789">
        <v>10</v>
      </c>
      <c r="M789">
        <v>4</v>
      </c>
      <c r="N789">
        <v>1</v>
      </c>
      <c r="O789" t="s">
        <v>41</v>
      </c>
      <c r="P789">
        <v>4</v>
      </c>
      <c r="Q789">
        <v>0</v>
      </c>
      <c r="R789" t="s">
        <v>26</v>
      </c>
      <c r="S789">
        <v>2</v>
      </c>
      <c r="T789">
        <v>3</v>
      </c>
      <c r="V789" t="s">
        <v>196</v>
      </c>
    </row>
    <row r="790" spans="1:22" x14ac:dyDescent="0.45">
      <c r="A790" t="str">
        <f>"10632040"</f>
        <v>10632040</v>
      </c>
      <c r="B790" t="s">
        <v>22</v>
      </c>
      <c r="C790" s="1">
        <v>44137</v>
      </c>
      <c r="D790">
        <v>745000</v>
      </c>
      <c r="E790" t="s">
        <v>60</v>
      </c>
      <c r="F790">
        <v>2000</v>
      </c>
      <c r="G790">
        <v>3511</v>
      </c>
      <c r="H790" t="s">
        <v>338</v>
      </c>
      <c r="I790" t="str">
        <f t="shared" si="12"/>
        <v>25</v>
      </c>
      <c r="J790">
        <v>60025</v>
      </c>
      <c r="K790">
        <v>3318</v>
      </c>
      <c r="L790">
        <v>13</v>
      </c>
      <c r="M790">
        <v>4</v>
      </c>
      <c r="N790">
        <v>1</v>
      </c>
      <c r="O790" t="s">
        <v>41</v>
      </c>
      <c r="P790">
        <v>5</v>
      </c>
      <c r="Q790">
        <v>0</v>
      </c>
      <c r="R790" t="s">
        <v>35</v>
      </c>
      <c r="S790">
        <v>2</v>
      </c>
      <c r="V790" t="s">
        <v>196</v>
      </c>
    </row>
    <row r="791" spans="1:22" x14ac:dyDescent="0.45">
      <c r="A791" t="str">
        <f>"10081633"</f>
        <v>10081633</v>
      </c>
      <c r="B791" t="s">
        <v>22</v>
      </c>
      <c r="C791" s="1">
        <v>43630</v>
      </c>
      <c r="D791">
        <v>745000</v>
      </c>
      <c r="E791" t="s">
        <v>60</v>
      </c>
      <c r="F791">
        <v>1974</v>
      </c>
      <c r="G791">
        <v>1605</v>
      </c>
      <c r="H791" t="s">
        <v>248</v>
      </c>
      <c r="I791" t="str">
        <f t="shared" si="12"/>
        <v>25</v>
      </c>
      <c r="J791">
        <v>60025</v>
      </c>
      <c r="K791">
        <v>3956</v>
      </c>
      <c r="L791">
        <v>12</v>
      </c>
      <c r="M791">
        <v>3</v>
      </c>
      <c r="N791">
        <v>2</v>
      </c>
      <c r="O791" t="s">
        <v>41</v>
      </c>
      <c r="P791">
        <v>5</v>
      </c>
      <c r="Q791">
        <v>0</v>
      </c>
      <c r="R791" t="s">
        <v>192</v>
      </c>
      <c r="S791">
        <v>7</v>
      </c>
      <c r="V791" t="s">
        <v>67</v>
      </c>
    </row>
    <row r="792" spans="1:22" x14ac:dyDescent="0.45">
      <c r="A792" t="str">
        <f>"10914605"</f>
        <v>10914605</v>
      </c>
      <c r="B792" t="s">
        <v>22</v>
      </c>
      <c r="C792" s="1">
        <v>44200</v>
      </c>
      <c r="D792">
        <v>749000</v>
      </c>
      <c r="E792" t="s">
        <v>60</v>
      </c>
      <c r="F792">
        <v>1968</v>
      </c>
      <c r="G792">
        <v>1209</v>
      </c>
      <c r="H792" t="s">
        <v>230</v>
      </c>
      <c r="I792" t="str">
        <f t="shared" si="12"/>
        <v>25</v>
      </c>
      <c r="J792">
        <v>60025</v>
      </c>
      <c r="K792">
        <v>4005</v>
      </c>
      <c r="L792">
        <v>10</v>
      </c>
      <c r="M792">
        <v>3</v>
      </c>
      <c r="N792">
        <v>0</v>
      </c>
      <c r="O792" t="s">
        <v>25</v>
      </c>
      <c r="P792">
        <v>5</v>
      </c>
      <c r="Q792">
        <v>0</v>
      </c>
      <c r="R792" t="s">
        <v>26</v>
      </c>
      <c r="S792">
        <v>2</v>
      </c>
      <c r="V792" t="s">
        <v>67</v>
      </c>
    </row>
    <row r="793" spans="1:22" x14ac:dyDescent="0.45">
      <c r="A793" t="str">
        <f>"10544071"</f>
        <v>10544071</v>
      </c>
      <c r="B793" t="s">
        <v>22</v>
      </c>
      <c r="C793" s="1">
        <v>43873</v>
      </c>
      <c r="D793">
        <v>749000</v>
      </c>
      <c r="E793" t="s">
        <v>60</v>
      </c>
      <c r="F793">
        <v>2019</v>
      </c>
      <c r="G793">
        <v>1232</v>
      </c>
      <c r="H793" t="s">
        <v>372</v>
      </c>
      <c r="I793" t="str">
        <f t="shared" si="12"/>
        <v>25</v>
      </c>
      <c r="J793">
        <v>60025</v>
      </c>
      <c r="K793">
        <v>2317</v>
      </c>
      <c r="L793">
        <v>7</v>
      </c>
      <c r="M793">
        <v>2</v>
      </c>
      <c r="N793">
        <v>1</v>
      </c>
      <c r="O793" t="s">
        <v>25</v>
      </c>
      <c r="P793">
        <v>3</v>
      </c>
      <c r="Q793">
        <v>0</v>
      </c>
      <c r="R793" t="s">
        <v>26</v>
      </c>
      <c r="S793">
        <v>2</v>
      </c>
      <c r="V793" t="s">
        <v>196</v>
      </c>
    </row>
    <row r="794" spans="1:22" x14ac:dyDescent="0.45">
      <c r="A794" t="str">
        <f>"10384606"</f>
        <v>10384606</v>
      </c>
      <c r="B794" t="s">
        <v>22</v>
      </c>
      <c r="C794" s="1">
        <v>43643</v>
      </c>
      <c r="D794">
        <v>750000</v>
      </c>
      <c r="E794" t="s">
        <v>60</v>
      </c>
      <c r="F794" t="s">
        <v>29</v>
      </c>
      <c r="G794">
        <v>320</v>
      </c>
      <c r="H794" t="s">
        <v>373</v>
      </c>
      <c r="I794" t="str">
        <f t="shared" si="12"/>
        <v>25</v>
      </c>
      <c r="J794">
        <v>60025</v>
      </c>
      <c r="K794">
        <v>3200</v>
      </c>
      <c r="L794">
        <v>10</v>
      </c>
      <c r="M794">
        <v>4</v>
      </c>
      <c r="N794">
        <v>1</v>
      </c>
      <c r="O794" t="s">
        <v>41</v>
      </c>
      <c r="P794">
        <v>4</v>
      </c>
      <c r="Q794">
        <v>1</v>
      </c>
      <c r="R794" t="s">
        <v>35</v>
      </c>
      <c r="S794">
        <v>2.5</v>
      </c>
      <c r="T794">
        <v>2</v>
      </c>
    </row>
    <row r="795" spans="1:22" x14ac:dyDescent="0.45">
      <c r="A795" t="str">
        <f>"10728823"</f>
        <v>10728823</v>
      </c>
      <c r="B795" t="s">
        <v>22</v>
      </c>
      <c r="C795" s="1">
        <v>44027</v>
      </c>
      <c r="D795">
        <v>750000</v>
      </c>
      <c r="E795" t="s">
        <v>60</v>
      </c>
      <c r="F795" t="s">
        <v>29</v>
      </c>
      <c r="G795">
        <v>731</v>
      </c>
      <c r="H795" t="s">
        <v>374</v>
      </c>
      <c r="I795" t="str">
        <f t="shared" si="12"/>
        <v>25</v>
      </c>
      <c r="J795">
        <v>60025</v>
      </c>
      <c r="K795">
        <v>2200</v>
      </c>
      <c r="L795">
        <v>11</v>
      </c>
      <c r="M795">
        <v>3</v>
      </c>
      <c r="N795">
        <v>1</v>
      </c>
      <c r="O795" t="s">
        <v>41</v>
      </c>
      <c r="P795">
        <v>4</v>
      </c>
      <c r="Q795">
        <v>1</v>
      </c>
      <c r="R795" t="s">
        <v>26</v>
      </c>
      <c r="S795">
        <v>1.5</v>
      </c>
      <c r="V795" t="s">
        <v>176</v>
      </c>
    </row>
    <row r="796" spans="1:22" x14ac:dyDescent="0.45">
      <c r="A796" t="str">
        <f>"10579526"</f>
        <v>10579526</v>
      </c>
      <c r="B796" t="s">
        <v>22</v>
      </c>
      <c r="C796" s="1">
        <v>43928</v>
      </c>
      <c r="D796">
        <v>750000</v>
      </c>
      <c r="E796" t="s">
        <v>60</v>
      </c>
      <c r="F796">
        <v>1984</v>
      </c>
      <c r="G796">
        <v>2319</v>
      </c>
      <c r="H796" t="s">
        <v>375</v>
      </c>
      <c r="I796" t="str">
        <f t="shared" si="12"/>
        <v>25</v>
      </c>
      <c r="J796">
        <v>60026</v>
      </c>
      <c r="K796">
        <v>3521</v>
      </c>
      <c r="L796">
        <v>13</v>
      </c>
      <c r="M796">
        <v>2</v>
      </c>
      <c r="N796">
        <v>1</v>
      </c>
      <c r="O796" t="s">
        <v>25</v>
      </c>
      <c r="P796">
        <v>4</v>
      </c>
      <c r="Q796">
        <v>1</v>
      </c>
      <c r="R796" t="s">
        <v>26</v>
      </c>
      <c r="S796">
        <v>2</v>
      </c>
    </row>
    <row r="797" spans="1:22" x14ac:dyDescent="0.45">
      <c r="A797" t="str">
        <f>"10402789"</f>
        <v>10402789</v>
      </c>
      <c r="B797" t="s">
        <v>22</v>
      </c>
      <c r="C797" s="1">
        <v>43875</v>
      </c>
      <c r="D797">
        <v>750000</v>
      </c>
      <c r="E797" t="s">
        <v>60</v>
      </c>
      <c r="F797">
        <v>2001</v>
      </c>
      <c r="G797">
        <v>2166</v>
      </c>
      <c r="H797" t="s">
        <v>376</v>
      </c>
      <c r="I797" t="str">
        <f t="shared" si="12"/>
        <v>25</v>
      </c>
      <c r="J797">
        <v>60026</v>
      </c>
      <c r="K797">
        <v>2801</v>
      </c>
      <c r="L797">
        <v>10</v>
      </c>
      <c r="M797">
        <v>2</v>
      </c>
      <c r="N797">
        <v>1</v>
      </c>
      <c r="O797" t="s">
        <v>25</v>
      </c>
      <c r="P797">
        <v>4</v>
      </c>
      <c r="Q797">
        <v>0</v>
      </c>
      <c r="R797" t="s">
        <v>26</v>
      </c>
      <c r="S797">
        <v>2</v>
      </c>
    </row>
    <row r="798" spans="1:22" x14ac:dyDescent="0.45">
      <c r="A798" t="str">
        <f>"10532828"</f>
        <v>10532828</v>
      </c>
      <c r="B798" t="s">
        <v>22</v>
      </c>
      <c r="C798" s="1">
        <v>43847</v>
      </c>
      <c r="D798">
        <v>750000</v>
      </c>
      <c r="E798" t="s">
        <v>60</v>
      </c>
      <c r="F798">
        <v>2001</v>
      </c>
      <c r="G798">
        <v>2315</v>
      </c>
      <c r="H798" t="s">
        <v>377</v>
      </c>
      <c r="I798" t="str">
        <f t="shared" si="12"/>
        <v>25</v>
      </c>
      <c r="J798">
        <v>60026</v>
      </c>
      <c r="K798">
        <v>0</v>
      </c>
      <c r="L798">
        <v>12</v>
      </c>
      <c r="M798">
        <v>4</v>
      </c>
      <c r="N798">
        <v>0</v>
      </c>
      <c r="O798" t="s">
        <v>41</v>
      </c>
      <c r="P798">
        <v>5</v>
      </c>
      <c r="Q798">
        <v>0</v>
      </c>
      <c r="R798" t="s">
        <v>26</v>
      </c>
      <c r="S798">
        <v>2</v>
      </c>
      <c r="V798" t="s">
        <v>67</v>
      </c>
    </row>
    <row r="799" spans="1:22" x14ac:dyDescent="0.45">
      <c r="A799" t="str">
        <f>"10148447"</f>
        <v>10148447</v>
      </c>
      <c r="B799" t="s">
        <v>22</v>
      </c>
      <c r="C799" s="1">
        <v>43588</v>
      </c>
      <c r="D799">
        <v>750000</v>
      </c>
      <c r="E799" t="s">
        <v>60</v>
      </c>
      <c r="F799">
        <v>1995</v>
      </c>
      <c r="G799">
        <v>2126</v>
      </c>
      <c r="H799" t="s">
        <v>378</v>
      </c>
      <c r="I799" t="str">
        <f t="shared" si="12"/>
        <v>25</v>
      </c>
      <c r="J799">
        <v>60026</v>
      </c>
      <c r="K799">
        <v>3101</v>
      </c>
      <c r="L799">
        <v>12</v>
      </c>
      <c r="M799">
        <v>3</v>
      </c>
      <c r="N799">
        <v>1</v>
      </c>
      <c r="O799" t="s">
        <v>25</v>
      </c>
      <c r="P799">
        <v>4</v>
      </c>
      <c r="Q799">
        <v>0</v>
      </c>
      <c r="R799" t="s">
        <v>26</v>
      </c>
      <c r="S799">
        <v>2</v>
      </c>
    </row>
    <row r="800" spans="1:22" x14ac:dyDescent="0.45">
      <c r="A800" t="str">
        <f>"10422430"</f>
        <v>10422430</v>
      </c>
      <c r="B800" t="s">
        <v>22</v>
      </c>
      <c r="C800" s="1">
        <v>43693</v>
      </c>
      <c r="D800">
        <v>750000</v>
      </c>
      <c r="E800" t="s">
        <v>60</v>
      </c>
      <c r="F800">
        <v>1952</v>
      </c>
      <c r="G800">
        <v>2145</v>
      </c>
      <c r="H800" t="s">
        <v>211</v>
      </c>
      <c r="I800" t="str">
        <f t="shared" si="12"/>
        <v>25</v>
      </c>
      <c r="J800">
        <v>60025</v>
      </c>
      <c r="K800">
        <v>0</v>
      </c>
      <c r="L800">
        <v>12</v>
      </c>
      <c r="M800">
        <v>4</v>
      </c>
      <c r="N800">
        <v>0</v>
      </c>
      <c r="O800" t="s">
        <v>41</v>
      </c>
      <c r="P800">
        <v>5</v>
      </c>
      <c r="Q800">
        <v>0</v>
      </c>
      <c r="R800" t="s">
        <v>26</v>
      </c>
      <c r="S800">
        <v>2</v>
      </c>
      <c r="V800" t="s">
        <v>196</v>
      </c>
    </row>
    <row r="801" spans="1:22" x14ac:dyDescent="0.45">
      <c r="A801" t="str">
        <f>"10747367"</f>
        <v>10747367</v>
      </c>
      <c r="B801" t="s">
        <v>22</v>
      </c>
      <c r="C801" s="1">
        <v>44104</v>
      </c>
      <c r="D801">
        <v>752500</v>
      </c>
      <c r="E801" t="s">
        <v>60</v>
      </c>
      <c r="F801">
        <v>1984</v>
      </c>
      <c r="G801">
        <v>2501</v>
      </c>
      <c r="H801" t="s">
        <v>314</v>
      </c>
      <c r="I801" t="str">
        <f t="shared" si="12"/>
        <v>25</v>
      </c>
      <c r="J801">
        <v>60026</v>
      </c>
      <c r="K801">
        <v>4164</v>
      </c>
      <c r="L801">
        <v>14</v>
      </c>
      <c r="M801">
        <v>3</v>
      </c>
      <c r="N801">
        <v>2</v>
      </c>
      <c r="O801" t="s">
        <v>41</v>
      </c>
      <c r="P801">
        <v>5</v>
      </c>
      <c r="Q801">
        <v>0</v>
      </c>
      <c r="R801" t="s">
        <v>26</v>
      </c>
      <c r="S801">
        <v>3</v>
      </c>
      <c r="U801">
        <v>1144</v>
      </c>
    </row>
    <row r="802" spans="1:22" x14ac:dyDescent="0.45">
      <c r="A802" t="str">
        <f>"10328896"</f>
        <v>10328896</v>
      </c>
      <c r="B802" t="s">
        <v>22</v>
      </c>
      <c r="C802" s="1">
        <v>43635</v>
      </c>
      <c r="D802">
        <v>755000</v>
      </c>
      <c r="E802" t="s">
        <v>74</v>
      </c>
      <c r="F802">
        <v>1964</v>
      </c>
      <c r="G802">
        <v>1312</v>
      </c>
      <c r="H802" t="s">
        <v>379</v>
      </c>
      <c r="I802" t="str">
        <f t="shared" si="12"/>
        <v>25</v>
      </c>
      <c r="J802">
        <v>60025</v>
      </c>
      <c r="K802">
        <v>0</v>
      </c>
      <c r="L802">
        <v>8</v>
      </c>
      <c r="M802">
        <v>3</v>
      </c>
      <c r="N802">
        <v>1</v>
      </c>
      <c r="O802" t="s">
        <v>41</v>
      </c>
      <c r="P802">
        <v>3</v>
      </c>
      <c r="Q802">
        <v>0</v>
      </c>
      <c r="R802" t="s">
        <v>26</v>
      </c>
      <c r="S802">
        <v>2</v>
      </c>
    </row>
    <row r="803" spans="1:22" x14ac:dyDescent="0.45">
      <c r="A803" t="str">
        <f>"10407699"</f>
        <v>10407699</v>
      </c>
      <c r="B803" t="s">
        <v>22</v>
      </c>
      <c r="C803" s="1">
        <v>43794</v>
      </c>
      <c r="D803">
        <v>755000</v>
      </c>
      <c r="E803" t="s">
        <v>60</v>
      </c>
      <c r="F803">
        <v>1994</v>
      </c>
      <c r="G803">
        <v>1440</v>
      </c>
      <c r="H803" t="s">
        <v>248</v>
      </c>
      <c r="I803" t="str">
        <f t="shared" si="12"/>
        <v>25</v>
      </c>
      <c r="J803">
        <v>60025</v>
      </c>
      <c r="K803">
        <v>3820</v>
      </c>
      <c r="L803">
        <v>10</v>
      </c>
      <c r="M803">
        <v>3</v>
      </c>
      <c r="N803">
        <v>1</v>
      </c>
      <c r="O803" t="s">
        <v>41</v>
      </c>
      <c r="P803">
        <v>4</v>
      </c>
      <c r="Q803">
        <v>0</v>
      </c>
      <c r="R803" t="s">
        <v>26</v>
      </c>
      <c r="S803">
        <v>3</v>
      </c>
    </row>
    <row r="804" spans="1:22" x14ac:dyDescent="0.45">
      <c r="A804" t="str">
        <f>"10529981"</f>
        <v>10529981</v>
      </c>
      <c r="B804" t="s">
        <v>22</v>
      </c>
      <c r="C804" s="1">
        <v>43784</v>
      </c>
      <c r="D804">
        <v>755000</v>
      </c>
      <c r="E804" t="s">
        <v>60</v>
      </c>
      <c r="F804">
        <v>1984</v>
      </c>
      <c r="G804">
        <v>2304</v>
      </c>
      <c r="H804" t="s">
        <v>330</v>
      </c>
      <c r="I804" t="str">
        <f t="shared" si="12"/>
        <v>25</v>
      </c>
      <c r="J804">
        <v>60026</v>
      </c>
      <c r="K804">
        <v>4388</v>
      </c>
      <c r="L804">
        <v>15</v>
      </c>
      <c r="M804">
        <v>3</v>
      </c>
      <c r="N804">
        <v>1</v>
      </c>
      <c r="O804" t="s">
        <v>41</v>
      </c>
      <c r="P804">
        <v>4</v>
      </c>
      <c r="Q804">
        <v>2</v>
      </c>
      <c r="R804" t="s">
        <v>26</v>
      </c>
      <c r="S804">
        <v>3</v>
      </c>
    </row>
    <row r="805" spans="1:22" x14ac:dyDescent="0.45">
      <c r="A805" t="str">
        <f>"10698338"</f>
        <v>10698338</v>
      </c>
      <c r="B805" t="s">
        <v>22</v>
      </c>
      <c r="C805" s="1">
        <v>44071</v>
      </c>
      <c r="D805">
        <v>755834</v>
      </c>
      <c r="E805" t="s">
        <v>60</v>
      </c>
      <c r="F805">
        <v>2020</v>
      </c>
      <c r="G805">
        <v>1085</v>
      </c>
      <c r="H805" t="s">
        <v>346</v>
      </c>
      <c r="I805" t="str">
        <f t="shared" si="12"/>
        <v>25</v>
      </c>
      <c r="J805">
        <v>60025</v>
      </c>
      <c r="K805">
        <v>2932</v>
      </c>
      <c r="L805">
        <v>9</v>
      </c>
      <c r="M805">
        <v>3</v>
      </c>
      <c r="N805">
        <v>0</v>
      </c>
      <c r="O805" t="s">
        <v>25</v>
      </c>
      <c r="P805">
        <v>3</v>
      </c>
      <c r="Q805">
        <v>0</v>
      </c>
      <c r="R805" t="s">
        <v>26</v>
      </c>
      <c r="S805">
        <v>2</v>
      </c>
    </row>
    <row r="806" spans="1:22" x14ac:dyDescent="0.45">
      <c r="A806" t="str">
        <f>"10578192"</f>
        <v>10578192</v>
      </c>
      <c r="B806" t="s">
        <v>22</v>
      </c>
      <c r="C806" s="1">
        <v>43921</v>
      </c>
      <c r="D806">
        <v>760000</v>
      </c>
      <c r="E806" t="s">
        <v>74</v>
      </c>
      <c r="F806">
        <v>1963</v>
      </c>
      <c r="G806">
        <v>1645</v>
      </c>
      <c r="H806" t="s">
        <v>344</v>
      </c>
      <c r="I806" t="str">
        <f t="shared" si="12"/>
        <v>25</v>
      </c>
      <c r="J806">
        <v>60025</v>
      </c>
      <c r="K806">
        <v>2050</v>
      </c>
      <c r="L806">
        <v>11</v>
      </c>
      <c r="M806">
        <v>3</v>
      </c>
      <c r="N806">
        <v>0</v>
      </c>
      <c r="O806" t="s">
        <v>25</v>
      </c>
      <c r="P806">
        <v>4</v>
      </c>
      <c r="Q806">
        <v>0</v>
      </c>
      <c r="R806" t="s">
        <v>26</v>
      </c>
      <c r="S806">
        <v>2.5</v>
      </c>
    </row>
    <row r="807" spans="1:22" x14ac:dyDescent="0.45">
      <c r="A807" t="str">
        <f>"10390102"</f>
        <v>10390102</v>
      </c>
      <c r="B807" t="s">
        <v>22</v>
      </c>
      <c r="C807" s="1">
        <v>43753</v>
      </c>
      <c r="D807">
        <v>760000</v>
      </c>
      <c r="E807" t="s">
        <v>60</v>
      </c>
      <c r="F807">
        <v>2016</v>
      </c>
      <c r="G807">
        <v>2910</v>
      </c>
      <c r="H807" t="s">
        <v>380</v>
      </c>
      <c r="I807" t="str">
        <f t="shared" si="12"/>
        <v>25</v>
      </c>
      <c r="J807">
        <v>60026</v>
      </c>
      <c r="K807">
        <v>2625</v>
      </c>
      <c r="L807">
        <v>8</v>
      </c>
      <c r="M807">
        <v>2</v>
      </c>
      <c r="N807">
        <v>1</v>
      </c>
      <c r="O807" t="s">
        <v>25</v>
      </c>
      <c r="P807">
        <v>3</v>
      </c>
      <c r="Q807">
        <v>0</v>
      </c>
      <c r="R807" t="s">
        <v>26</v>
      </c>
      <c r="S807">
        <v>2</v>
      </c>
      <c r="U807">
        <v>0</v>
      </c>
    </row>
    <row r="808" spans="1:22" x14ac:dyDescent="0.45">
      <c r="A808" t="str">
        <f>"10130190"</f>
        <v>10130190</v>
      </c>
      <c r="B808" t="s">
        <v>22</v>
      </c>
      <c r="C808" s="1">
        <v>43726</v>
      </c>
      <c r="D808">
        <v>761079</v>
      </c>
      <c r="E808" t="s">
        <v>60</v>
      </c>
      <c r="F808">
        <v>2019</v>
      </c>
      <c r="G808">
        <v>1102</v>
      </c>
      <c r="H808" t="s">
        <v>346</v>
      </c>
      <c r="I808" t="str">
        <f t="shared" si="12"/>
        <v>25</v>
      </c>
      <c r="J808">
        <v>60025</v>
      </c>
      <c r="K808">
        <v>2932</v>
      </c>
      <c r="L808">
        <v>9</v>
      </c>
      <c r="M808">
        <v>3</v>
      </c>
      <c r="N808">
        <v>0</v>
      </c>
      <c r="O808" t="s">
        <v>25</v>
      </c>
      <c r="P808">
        <v>4</v>
      </c>
      <c r="Q808">
        <v>0</v>
      </c>
      <c r="R808" t="s">
        <v>26</v>
      </c>
      <c r="S808">
        <v>2</v>
      </c>
      <c r="U808">
        <v>0</v>
      </c>
      <c r="V808" t="s">
        <v>196</v>
      </c>
    </row>
    <row r="809" spans="1:22" x14ac:dyDescent="0.45">
      <c r="A809" t="str">
        <f>"10433424"</f>
        <v>10433424</v>
      </c>
      <c r="B809" t="s">
        <v>22</v>
      </c>
      <c r="C809" s="1">
        <v>43707</v>
      </c>
      <c r="D809">
        <v>762500</v>
      </c>
      <c r="E809" t="s">
        <v>60</v>
      </c>
      <c r="F809">
        <v>2002</v>
      </c>
      <c r="G809">
        <v>2814</v>
      </c>
      <c r="H809" t="s">
        <v>48</v>
      </c>
      <c r="I809" t="str">
        <f t="shared" si="12"/>
        <v>25</v>
      </c>
      <c r="J809">
        <v>60025</v>
      </c>
      <c r="K809">
        <v>3618</v>
      </c>
      <c r="L809">
        <v>12</v>
      </c>
      <c r="M809">
        <v>4</v>
      </c>
      <c r="N809">
        <v>1</v>
      </c>
      <c r="O809" t="s">
        <v>41</v>
      </c>
      <c r="P809">
        <v>4</v>
      </c>
      <c r="Q809">
        <v>1</v>
      </c>
      <c r="R809" t="s">
        <v>35</v>
      </c>
      <c r="S809">
        <v>2</v>
      </c>
      <c r="V809" t="s">
        <v>67</v>
      </c>
    </row>
    <row r="810" spans="1:22" x14ac:dyDescent="0.45">
      <c r="A810" t="str">
        <f>"10766200"</f>
        <v>10766200</v>
      </c>
      <c r="B810" t="s">
        <v>22</v>
      </c>
      <c r="C810" s="1">
        <v>44106</v>
      </c>
      <c r="D810">
        <v>765000</v>
      </c>
      <c r="E810" t="s">
        <v>60</v>
      </c>
      <c r="F810">
        <v>1957</v>
      </c>
      <c r="G810">
        <v>1101</v>
      </c>
      <c r="H810" t="s">
        <v>381</v>
      </c>
      <c r="I810" t="str">
        <f t="shared" si="12"/>
        <v>25</v>
      </c>
      <c r="J810">
        <v>60025</v>
      </c>
      <c r="K810">
        <v>0</v>
      </c>
      <c r="L810">
        <v>8</v>
      </c>
      <c r="M810">
        <v>3</v>
      </c>
      <c r="N810">
        <v>0</v>
      </c>
      <c r="O810" t="s">
        <v>41</v>
      </c>
      <c r="P810">
        <v>4</v>
      </c>
      <c r="Q810">
        <v>0</v>
      </c>
      <c r="R810" t="s">
        <v>26</v>
      </c>
      <c r="S810">
        <v>3</v>
      </c>
    </row>
    <row r="811" spans="1:22" x14ac:dyDescent="0.45">
      <c r="A811" t="str">
        <f>"10780973"</f>
        <v>10780973</v>
      </c>
      <c r="B811" t="s">
        <v>22</v>
      </c>
      <c r="C811" s="1">
        <v>44061</v>
      </c>
      <c r="D811">
        <v>765000</v>
      </c>
      <c r="E811" t="s">
        <v>60</v>
      </c>
      <c r="F811" t="s">
        <v>29</v>
      </c>
      <c r="G811">
        <v>2348</v>
      </c>
      <c r="H811" t="s">
        <v>221</v>
      </c>
      <c r="I811" t="str">
        <f t="shared" si="12"/>
        <v>25</v>
      </c>
      <c r="J811">
        <v>60025</v>
      </c>
      <c r="K811">
        <v>3200</v>
      </c>
      <c r="L811">
        <v>11</v>
      </c>
      <c r="M811">
        <v>3</v>
      </c>
      <c r="N811">
        <v>0</v>
      </c>
      <c r="O811" t="s">
        <v>41</v>
      </c>
      <c r="P811">
        <v>4</v>
      </c>
      <c r="Q811">
        <v>0</v>
      </c>
      <c r="R811" t="s">
        <v>26</v>
      </c>
      <c r="S811">
        <v>2.5</v>
      </c>
    </row>
    <row r="812" spans="1:22" x14ac:dyDescent="0.45">
      <c r="A812" t="str">
        <f>"10294486"</f>
        <v>10294486</v>
      </c>
      <c r="B812" t="s">
        <v>22</v>
      </c>
      <c r="C812" s="1">
        <v>43644</v>
      </c>
      <c r="D812">
        <v>765000</v>
      </c>
      <c r="E812" t="s">
        <v>23</v>
      </c>
      <c r="F812">
        <v>1984</v>
      </c>
      <c r="G812">
        <v>2425</v>
      </c>
      <c r="H812" t="s">
        <v>296</v>
      </c>
      <c r="I812" t="str">
        <f t="shared" si="12"/>
        <v>25</v>
      </c>
      <c r="J812">
        <v>60026</v>
      </c>
      <c r="K812">
        <v>3454</v>
      </c>
      <c r="L812">
        <v>12</v>
      </c>
      <c r="M812">
        <v>3</v>
      </c>
      <c r="N812">
        <v>1</v>
      </c>
      <c r="O812" t="s">
        <v>41</v>
      </c>
      <c r="P812">
        <v>4</v>
      </c>
      <c r="Q812">
        <v>1</v>
      </c>
      <c r="R812" t="s">
        <v>26</v>
      </c>
      <c r="S812">
        <v>3</v>
      </c>
      <c r="V812" t="s">
        <v>27</v>
      </c>
    </row>
    <row r="813" spans="1:22" x14ac:dyDescent="0.45">
      <c r="A813" t="str">
        <f>"10303719"</f>
        <v>10303719</v>
      </c>
      <c r="B813" t="s">
        <v>22</v>
      </c>
      <c r="C813" s="1">
        <v>43648</v>
      </c>
      <c r="D813">
        <v>765000</v>
      </c>
      <c r="E813" t="s">
        <v>60</v>
      </c>
      <c r="F813">
        <v>1999</v>
      </c>
      <c r="G813">
        <v>1904</v>
      </c>
      <c r="H813" t="s">
        <v>353</v>
      </c>
      <c r="I813" t="str">
        <f t="shared" si="12"/>
        <v>25</v>
      </c>
      <c r="J813">
        <v>60025</v>
      </c>
      <c r="K813">
        <v>3022</v>
      </c>
      <c r="L813">
        <v>11</v>
      </c>
      <c r="M813">
        <v>3</v>
      </c>
      <c r="N813">
        <v>1</v>
      </c>
      <c r="O813" t="s">
        <v>41</v>
      </c>
      <c r="P813">
        <v>3</v>
      </c>
      <c r="Q813">
        <v>1</v>
      </c>
      <c r="R813" t="s">
        <v>26</v>
      </c>
      <c r="S813">
        <v>2</v>
      </c>
    </row>
    <row r="814" spans="1:22" x14ac:dyDescent="0.45">
      <c r="A814" t="str">
        <f>"10747338"</f>
        <v>10747338</v>
      </c>
      <c r="B814" t="s">
        <v>22</v>
      </c>
      <c r="C814" s="1">
        <v>44089</v>
      </c>
      <c r="D814">
        <v>770000</v>
      </c>
      <c r="E814" t="s">
        <v>60</v>
      </c>
      <c r="F814">
        <v>1984</v>
      </c>
      <c r="G814">
        <v>2410</v>
      </c>
      <c r="H814" t="s">
        <v>330</v>
      </c>
      <c r="I814" t="str">
        <f t="shared" si="12"/>
        <v>25</v>
      </c>
      <c r="J814">
        <v>60026</v>
      </c>
      <c r="K814">
        <v>3786</v>
      </c>
      <c r="L814">
        <v>14</v>
      </c>
      <c r="M814">
        <v>4</v>
      </c>
      <c r="N814">
        <v>0</v>
      </c>
      <c r="O814" t="s">
        <v>41</v>
      </c>
      <c r="P814">
        <v>4</v>
      </c>
      <c r="Q814">
        <v>1</v>
      </c>
      <c r="R814" t="s">
        <v>26</v>
      </c>
      <c r="S814">
        <v>2</v>
      </c>
    </row>
    <row r="815" spans="1:22" x14ac:dyDescent="0.45">
      <c r="A815" t="str">
        <f>"10715462"</f>
        <v>10715462</v>
      </c>
      <c r="B815" t="s">
        <v>22</v>
      </c>
      <c r="C815" s="1">
        <v>44011</v>
      </c>
      <c r="D815">
        <v>770000</v>
      </c>
      <c r="E815" t="s">
        <v>60</v>
      </c>
      <c r="F815">
        <v>1964</v>
      </c>
      <c r="G815">
        <v>1431</v>
      </c>
      <c r="H815" t="s">
        <v>334</v>
      </c>
      <c r="I815" t="str">
        <f t="shared" si="12"/>
        <v>25</v>
      </c>
      <c r="J815">
        <v>60025</v>
      </c>
      <c r="K815">
        <v>3300</v>
      </c>
      <c r="L815">
        <v>8</v>
      </c>
      <c r="M815">
        <v>2</v>
      </c>
      <c r="N815">
        <v>2</v>
      </c>
      <c r="O815" t="s">
        <v>25</v>
      </c>
      <c r="P815">
        <v>4</v>
      </c>
      <c r="Q815">
        <v>0</v>
      </c>
      <c r="R815" t="s">
        <v>26</v>
      </c>
      <c r="S815">
        <v>2</v>
      </c>
      <c r="T815">
        <v>4</v>
      </c>
      <c r="V815" t="s">
        <v>67</v>
      </c>
    </row>
    <row r="816" spans="1:22" x14ac:dyDescent="0.45">
      <c r="A816" t="str">
        <f>"10621321"</f>
        <v>10621321</v>
      </c>
      <c r="B816" t="s">
        <v>22</v>
      </c>
      <c r="C816" s="1">
        <v>44029</v>
      </c>
      <c r="D816">
        <v>770000</v>
      </c>
      <c r="E816" t="s">
        <v>60</v>
      </c>
      <c r="F816">
        <v>2020</v>
      </c>
      <c r="G816">
        <v>1059</v>
      </c>
      <c r="H816" t="s">
        <v>346</v>
      </c>
      <c r="I816" t="str">
        <f t="shared" si="12"/>
        <v>25</v>
      </c>
      <c r="J816">
        <v>60025</v>
      </c>
      <c r="K816">
        <v>3236</v>
      </c>
      <c r="L816">
        <v>9</v>
      </c>
      <c r="M816">
        <v>4</v>
      </c>
      <c r="N816">
        <v>0</v>
      </c>
      <c r="O816" t="s">
        <v>25</v>
      </c>
      <c r="P816">
        <v>4</v>
      </c>
      <c r="Q816">
        <v>0</v>
      </c>
      <c r="R816" t="s">
        <v>26</v>
      </c>
      <c r="S816">
        <v>2</v>
      </c>
    </row>
    <row r="817" spans="1:22" x14ac:dyDescent="0.45">
      <c r="A817" t="str">
        <f>"10769111"</f>
        <v>10769111</v>
      </c>
      <c r="B817" t="s">
        <v>22</v>
      </c>
      <c r="C817" s="1">
        <v>44105</v>
      </c>
      <c r="D817">
        <v>770000</v>
      </c>
      <c r="E817" t="s">
        <v>60</v>
      </c>
      <c r="F817">
        <v>2001</v>
      </c>
      <c r="G817">
        <v>1546</v>
      </c>
      <c r="H817" t="s">
        <v>382</v>
      </c>
      <c r="I817" t="str">
        <f t="shared" si="12"/>
        <v>25</v>
      </c>
      <c r="J817">
        <v>60026</v>
      </c>
      <c r="K817">
        <v>0</v>
      </c>
      <c r="L817">
        <v>12</v>
      </c>
      <c r="M817">
        <v>3</v>
      </c>
      <c r="N817">
        <v>1</v>
      </c>
      <c r="O817" t="s">
        <v>41</v>
      </c>
      <c r="P817">
        <v>3</v>
      </c>
      <c r="Q817">
        <v>1</v>
      </c>
      <c r="R817" t="s">
        <v>26</v>
      </c>
      <c r="S817">
        <v>2</v>
      </c>
      <c r="V817" t="s">
        <v>67</v>
      </c>
    </row>
    <row r="818" spans="1:22" x14ac:dyDescent="0.45">
      <c r="A818" t="str">
        <f>"10295932"</f>
        <v>10295932</v>
      </c>
      <c r="B818" t="s">
        <v>22</v>
      </c>
      <c r="C818" s="1">
        <v>43600</v>
      </c>
      <c r="D818">
        <v>770000</v>
      </c>
      <c r="E818" t="s">
        <v>60</v>
      </c>
      <c r="F818">
        <v>1984</v>
      </c>
      <c r="G818">
        <v>1601</v>
      </c>
      <c r="H818" t="s">
        <v>342</v>
      </c>
      <c r="I818" t="str">
        <f t="shared" si="12"/>
        <v>25</v>
      </c>
      <c r="J818">
        <v>60025</v>
      </c>
      <c r="K818">
        <v>3560</v>
      </c>
      <c r="L818">
        <v>11</v>
      </c>
      <c r="M818">
        <v>2</v>
      </c>
      <c r="N818">
        <v>1</v>
      </c>
      <c r="O818" t="s">
        <v>25</v>
      </c>
      <c r="P818">
        <v>4</v>
      </c>
      <c r="Q818">
        <v>1</v>
      </c>
      <c r="R818" t="s">
        <v>26</v>
      </c>
      <c r="S818">
        <v>2</v>
      </c>
      <c r="V818" t="s">
        <v>67</v>
      </c>
    </row>
    <row r="819" spans="1:22" x14ac:dyDescent="0.45">
      <c r="A819" t="str">
        <f>"09956502"</f>
        <v>09956502</v>
      </c>
      <c r="B819" t="s">
        <v>22</v>
      </c>
      <c r="C819" s="1">
        <v>43501</v>
      </c>
      <c r="D819">
        <v>770000</v>
      </c>
      <c r="E819" t="s">
        <v>60</v>
      </c>
      <c r="F819">
        <v>2002</v>
      </c>
      <c r="G819">
        <v>2807</v>
      </c>
      <c r="H819" t="s">
        <v>48</v>
      </c>
      <c r="I819" t="str">
        <f t="shared" si="12"/>
        <v>25</v>
      </c>
      <c r="J819">
        <v>60025</v>
      </c>
      <c r="K819">
        <v>3472</v>
      </c>
      <c r="L819">
        <v>12</v>
      </c>
      <c r="M819">
        <v>3</v>
      </c>
      <c r="N819">
        <v>1</v>
      </c>
      <c r="O819" t="s">
        <v>25</v>
      </c>
      <c r="P819">
        <v>4</v>
      </c>
      <c r="Q819">
        <v>1</v>
      </c>
      <c r="R819" t="s">
        <v>35</v>
      </c>
      <c r="S819">
        <v>2</v>
      </c>
      <c r="V819" t="s">
        <v>67</v>
      </c>
    </row>
    <row r="820" spans="1:22" x14ac:dyDescent="0.45">
      <c r="A820" t="str">
        <f>"10115238"</f>
        <v>10115238</v>
      </c>
      <c r="B820" t="s">
        <v>22</v>
      </c>
      <c r="C820" s="1">
        <v>43656</v>
      </c>
      <c r="D820">
        <v>775000</v>
      </c>
      <c r="E820" t="s">
        <v>60</v>
      </c>
      <c r="F820">
        <v>1947</v>
      </c>
      <c r="G820">
        <v>827</v>
      </c>
      <c r="H820" t="s">
        <v>252</v>
      </c>
      <c r="I820" t="str">
        <f t="shared" si="12"/>
        <v>25</v>
      </c>
      <c r="J820">
        <v>60025</v>
      </c>
      <c r="K820">
        <v>0</v>
      </c>
      <c r="L820">
        <v>10</v>
      </c>
      <c r="M820">
        <v>3</v>
      </c>
      <c r="N820">
        <v>1</v>
      </c>
      <c r="O820" t="s">
        <v>41</v>
      </c>
      <c r="P820">
        <v>4</v>
      </c>
      <c r="Q820">
        <v>0</v>
      </c>
      <c r="R820" t="s">
        <v>26</v>
      </c>
      <c r="S820">
        <v>2</v>
      </c>
      <c r="V820" t="s">
        <v>130</v>
      </c>
    </row>
    <row r="821" spans="1:22" x14ac:dyDescent="0.45">
      <c r="A821" t="str">
        <f>"10683036"</f>
        <v>10683036</v>
      </c>
      <c r="B821" t="s">
        <v>22</v>
      </c>
      <c r="C821" s="1">
        <v>43994</v>
      </c>
      <c r="D821">
        <v>775000</v>
      </c>
      <c r="E821" t="s">
        <v>60</v>
      </c>
      <c r="F821">
        <v>1950</v>
      </c>
      <c r="G821">
        <v>626</v>
      </c>
      <c r="H821" t="s">
        <v>335</v>
      </c>
      <c r="I821" t="str">
        <f t="shared" si="12"/>
        <v>25</v>
      </c>
      <c r="J821">
        <v>60025</v>
      </c>
      <c r="K821">
        <v>3440</v>
      </c>
      <c r="L821">
        <v>8</v>
      </c>
      <c r="M821">
        <v>2</v>
      </c>
      <c r="N821">
        <v>1</v>
      </c>
      <c r="O821" t="s">
        <v>25</v>
      </c>
      <c r="P821">
        <v>3</v>
      </c>
      <c r="Q821">
        <v>0</v>
      </c>
      <c r="R821" t="s">
        <v>26</v>
      </c>
      <c r="S821">
        <v>2</v>
      </c>
    </row>
    <row r="822" spans="1:22" x14ac:dyDescent="0.45">
      <c r="A822" t="str">
        <f>"10749831"</f>
        <v>10749831</v>
      </c>
      <c r="B822" t="s">
        <v>22</v>
      </c>
      <c r="C822" s="1">
        <v>44106</v>
      </c>
      <c r="D822">
        <v>775000</v>
      </c>
      <c r="E822" t="s">
        <v>23</v>
      </c>
      <c r="F822">
        <v>1955</v>
      </c>
      <c r="G822">
        <v>800</v>
      </c>
      <c r="H822" t="s">
        <v>316</v>
      </c>
      <c r="I822" t="str">
        <f t="shared" si="12"/>
        <v>25</v>
      </c>
      <c r="J822">
        <v>60025</v>
      </c>
      <c r="K822">
        <v>3100</v>
      </c>
      <c r="L822">
        <v>10</v>
      </c>
      <c r="M822">
        <v>2</v>
      </c>
      <c r="N822">
        <v>1</v>
      </c>
      <c r="O822" t="s">
        <v>41</v>
      </c>
      <c r="P822">
        <v>4</v>
      </c>
      <c r="Q822">
        <v>0</v>
      </c>
      <c r="R822" t="s">
        <v>192</v>
      </c>
      <c r="S822">
        <v>3</v>
      </c>
    </row>
    <row r="823" spans="1:22" x14ac:dyDescent="0.45">
      <c r="A823" t="str">
        <f>"10429548"</f>
        <v>10429548</v>
      </c>
      <c r="B823" t="s">
        <v>22</v>
      </c>
      <c r="C823" s="1">
        <v>43913</v>
      </c>
      <c r="D823">
        <v>775000</v>
      </c>
      <c r="E823" t="s">
        <v>60</v>
      </c>
      <c r="F823">
        <v>2002</v>
      </c>
      <c r="G823">
        <v>840</v>
      </c>
      <c r="H823" t="s">
        <v>44</v>
      </c>
      <c r="I823" t="str">
        <f t="shared" si="12"/>
        <v>25</v>
      </c>
      <c r="J823">
        <v>60025</v>
      </c>
      <c r="K823">
        <v>6060</v>
      </c>
      <c r="L823">
        <v>11</v>
      </c>
      <c r="M823">
        <v>5</v>
      </c>
      <c r="N823">
        <v>1</v>
      </c>
      <c r="O823" t="s">
        <v>25</v>
      </c>
      <c r="P823">
        <v>5</v>
      </c>
      <c r="Q823">
        <v>0</v>
      </c>
      <c r="R823" t="s">
        <v>26</v>
      </c>
      <c r="S823">
        <v>3</v>
      </c>
      <c r="V823" t="s">
        <v>67</v>
      </c>
    </row>
    <row r="824" spans="1:22" x14ac:dyDescent="0.45">
      <c r="A824" t="str">
        <f>"10412762"</f>
        <v>10412762</v>
      </c>
      <c r="B824" t="s">
        <v>22</v>
      </c>
      <c r="C824" s="1">
        <v>43829</v>
      </c>
      <c r="D824">
        <v>778607</v>
      </c>
      <c r="E824" t="s">
        <v>23</v>
      </c>
      <c r="F824">
        <v>2019</v>
      </c>
      <c r="G824">
        <v>1100</v>
      </c>
      <c r="H824" t="s">
        <v>346</v>
      </c>
      <c r="I824" t="str">
        <f t="shared" si="12"/>
        <v>25</v>
      </c>
      <c r="J824">
        <v>60025</v>
      </c>
      <c r="K824">
        <v>3236</v>
      </c>
      <c r="L824">
        <v>8</v>
      </c>
      <c r="M824">
        <v>3</v>
      </c>
      <c r="N824">
        <v>0</v>
      </c>
      <c r="O824" t="s">
        <v>25</v>
      </c>
      <c r="P824">
        <v>3</v>
      </c>
      <c r="Q824">
        <v>0</v>
      </c>
      <c r="R824" t="s">
        <v>26</v>
      </c>
      <c r="S824">
        <v>2</v>
      </c>
      <c r="V824" t="s">
        <v>196</v>
      </c>
    </row>
    <row r="825" spans="1:22" x14ac:dyDescent="0.45">
      <c r="A825" t="str">
        <f>"10767987"</f>
        <v>10767987</v>
      </c>
      <c r="B825" t="s">
        <v>22</v>
      </c>
      <c r="C825" s="1">
        <v>44069</v>
      </c>
      <c r="D825">
        <v>779500</v>
      </c>
      <c r="E825" t="s">
        <v>31</v>
      </c>
      <c r="F825">
        <v>1941</v>
      </c>
      <c r="G825">
        <v>2103</v>
      </c>
      <c r="H825" t="s">
        <v>262</v>
      </c>
      <c r="I825" t="str">
        <f t="shared" si="12"/>
        <v>25</v>
      </c>
      <c r="J825">
        <v>60025</v>
      </c>
      <c r="K825">
        <v>0</v>
      </c>
      <c r="L825">
        <v>8</v>
      </c>
      <c r="M825">
        <v>2</v>
      </c>
      <c r="N825">
        <v>1</v>
      </c>
      <c r="O825" t="s">
        <v>25</v>
      </c>
      <c r="P825">
        <v>4</v>
      </c>
      <c r="Q825">
        <v>0</v>
      </c>
      <c r="R825" t="s">
        <v>26</v>
      </c>
      <c r="S825">
        <v>2</v>
      </c>
    </row>
    <row r="826" spans="1:22" x14ac:dyDescent="0.45">
      <c r="A826" t="str">
        <f>"10728804"</f>
        <v>10728804</v>
      </c>
      <c r="B826" t="s">
        <v>22</v>
      </c>
      <c r="C826" s="1">
        <v>44022</v>
      </c>
      <c r="D826">
        <v>780000</v>
      </c>
      <c r="E826" t="s">
        <v>60</v>
      </c>
      <c r="F826">
        <v>1993</v>
      </c>
      <c r="G826">
        <v>3730</v>
      </c>
      <c r="H826" t="s">
        <v>325</v>
      </c>
      <c r="I826" t="str">
        <f t="shared" si="12"/>
        <v>25</v>
      </c>
      <c r="J826">
        <v>60025</v>
      </c>
      <c r="K826">
        <v>4089</v>
      </c>
      <c r="L826">
        <v>12</v>
      </c>
      <c r="M826">
        <v>3</v>
      </c>
      <c r="N826">
        <v>2</v>
      </c>
      <c r="O826" t="s">
        <v>41</v>
      </c>
      <c r="P826">
        <v>4</v>
      </c>
      <c r="Q826">
        <v>0</v>
      </c>
      <c r="R826" t="s">
        <v>26</v>
      </c>
      <c r="S826">
        <v>2</v>
      </c>
      <c r="V826" t="s">
        <v>67</v>
      </c>
    </row>
    <row r="827" spans="1:22" x14ac:dyDescent="0.45">
      <c r="A827" t="str">
        <f>"10905093"</f>
        <v>10905093</v>
      </c>
      <c r="B827" t="s">
        <v>22</v>
      </c>
      <c r="C827" s="1">
        <v>44193</v>
      </c>
      <c r="D827">
        <v>780000</v>
      </c>
      <c r="E827" t="s">
        <v>60</v>
      </c>
      <c r="F827">
        <v>1955</v>
      </c>
      <c r="G827">
        <v>2330</v>
      </c>
      <c r="H827" t="s">
        <v>383</v>
      </c>
      <c r="I827" t="str">
        <f t="shared" si="12"/>
        <v>25</v>
      </c>
      <c r="J827">
        <v>60025</v>
      </c>
      <c r="K827">
        <v>0</v>
      </c>
      <c r="L827">
        <v>11</v>
      </c>
      <c r="M827">
        <v>3</v>
      </c>
      <c r="N827">
        <v>1</v>
      </c>
      <c r="O827" t="s">
        <v>41</v>
      </c>
      <c r="P827">
        <v>4</v>
      </c>
      <c r="Q827">
        <v>0</v>
      </c>
      <c r="R827" t="s">
        <v>26</v>
      </c>
      <c r="S827">
        <v>2.5</v>
      </c>
      <c r="V827" t="s">
        <v>67</v>
      </c>
    </row>
    <row r="828" spans="1:22" x14ac:dyDescent="0.45">
      <c r="A828" t="str">
        <f>"10711761"</f>
        <v>10711761</v>
      </c>
      <c r="B828" t="s">
        <v>22</v>
      </c>
      <c r="C828" s="1">
        <v>44203</v>
      </c>
      <c r="D828">
        <v>780000</v>
      </c>
      <c r="E828" t="s">
        <v>23</v>
      </c>
      <c r="F828">
        <v>1956</v>
      </c>
      <c r="G828">
        <v>2316</v>
      </c>
      <c r="H828" t="s">
        <v>384</v>
      </c>
      <c r="I828" t="str">
        <f t="shared" si="12"/>
        <v>25</v>
      </c>
      <c r="J828">
        <v>60025</v>
      </c>
      <c r="K828">
        <v>3208</v>
      </c>
      <c r="L828">
        <v>12</v>
      </c>
      <c r="M828">
        <v>3</v>
      </c>
      <c r="N828">
        <v>0</v>
      </c>
      <c r="O828" t="s">
        <v>41</v>
      </c>
      <c r="P828">
        <v>3</v>
      </c>
      <c r="Q828">
        <v>1</v>
      </c>
      <c r="R828" t="s">
        <v>26</v>
      </c>
      <c r="S828">
        <v>2.5</v>
      </c>
      <c r="V828" t="s">
        <v>27</v>
      </c>
    </row>
    <row r="829" spans="1:22" x14ac:dyDescent="0.45">
      <c r="A829" t="str">
        <f>"10910950"</f>
        <v>10910950</v>
      </c>
      <c r="B829" t="s">
        <v>22</v>
      </c>
      <c r="C829" s="1">
        <v>44194</v>
      </c>
      <c r="D829">
        <v>780000</v>
      </c>
      <c r="E829" t="s">
        <v>64</v>
      </c>
      <c r="F829">
        <v>1987</v>
      </c>
      <c r="G829">
        <v>1414</v>
      </c>
      <c r="H829" t="s">
        <v>128</v>
      </c>
      <c r="I829" t="str">
        <f t="shared" si="12"/>
        <v>25</v>
      </c>
      <c r="J829">
        <v>60025</v>
      </c>
      <c r="K829">
        <v>3289</v>
      </c>
      <c r="L829">
        <v>9</v>
      </c>
      <c r="M829">
        <v>2</v>
      </c>
      <c r="N829">
        <v>1</v>
      </c>
      <c r="O829" t="s">
        <v>25</v>
      </c>
      <c r="P829">
        <v>4</v>
      </c>
      <c r="Q829">
        <v>0</v>
      </c>
      <c r="R829" t="s">
        <v>26</v>
      </c>
      <c r="S829">
        <v>2</v>
      </c>
    </row>
    <row r="830" spans="1:22" x14ac:dyDescent="0.45">
      <c r="A830" t="str">
        <f>"10744156"</f>
        <v>10744156</v>
      </c>
      <c r="B830" t="s">
        <v>22</v>
      </c>
      <c r="C830" s="1">
        <v>44033</v>
      </c>
      <c r="D830">
        <v>780000</v>
      </c>
      <c r="E830" t="s">
        <v>60</v>
      </c>
      <c r="F830">
        <v>1980</v>
      </c>
      <c r="G830">
        <v>1037</v>
      </c>
      <c r="H830" t="s">
        <v>385</v>
      </c>
      <c r="I830" t="str">
        <f t="shared" si="12"/>
        <v>25</v>
      </c>
      <c r="J830">
        <v>60025</v>
      </c>
      <c r="K830">
        <v>3600</v>
      </c>
      <c r="L830">
        <v>10</v>
      </c>
      <c r="M830">
        <v>3</v>
      </c>
      <c r="N830">
        <v>1</v>
      </c>
      <c r="O830" t="s">
        <v>25</v>
      </c>
      <c r="P830">
        <v>4</v>
      </c>
      <c r="Q830">
        <v>0</v>
      </c>
      <c r="R830" t="s">
        <v>26</v>
      </c>
      <c r="S830">
        <v>2</v>
      </c>
    </row>
    <row r="831" spans="1:22" x14ac:dyDescent="0.45">
      <c r="A831" t="str">
        <f>"10888896"</f>
        <v>10888896</v>
      </c>
      <c r="B831" t="s">
        <v>22</v>
      </c>
      <c r="C831" s="1">
        <v>44168</v>
      </c>
      <c r="D831">
        <v>785000</v>
      </c>
      <c r="E831" t="s">
        <v>60</v>
      </c>
      <c r="F831">
        <v>1947</v>
      </c>
      <c r="G831">
        <v>1930</v>
      </c>
      <c r="H831" t="s">
        <v>34</v>
      </c>
      <c r="I831" t="str">
        <f t="shared" si="12"/>
        <v>25</v>
      </c>
      <c r="J831">
        <v>60025</v>
      </c>
      <c r="K831">
        <v>2693</v>
      </c>
      <c r="L831">
        <v>10</v>
      </c>
      <c r="M831">
        <v>3</v>
      </c>
      <c r="N831">
        <v>1</v>
      </c>
      <c r="O831" t="s">
        <v>41</v>
      </c>
      <c r="P831">
        <v>4</v>
      </c>
      <c r="Q831">
        <v>0</v>
      </c>
      <c r="R831" t="s">
        <v>35</v>
      </c>
      <c r="S831">
        <v>2</v>
      </c>
      <c r="U831">
        <v>539</v>
      </c>
    </row>
    <row r="832" spans="1:22" x14ac:dyDescent="0.45">
      <c r="A832" t="str">
        <f>"10443722"</f>
        <v>10443722</v>
      </c>
      <c r="B832" t="s">
        <v>22</v>
      </c>
      <c r="C832" s="1">
        <v>43721</v>
      </c>
      <c r="D832">
        <v>785000</v>
      </c>
      <c r="E832" t="s">
        <v>60</v>
      </c>
      <c r="F832">
        <v>2005</v>
      </c>
      <c r="G832">
        <v>2136</v>
      </c>
      <c r="H832" t="s">
        <v>197</v>
      </c>
      <c r="I832" t="str">
        <f t="shared" si="12"/>
        <v>25</v>
      </c>
      <c r="J832">
        <v>60025</v>
      </c>
      <c r="K832">
        <v>0</v>
      </c>
      <c r="L832">
        <v>10</v>
      </c>
      <c r="M832">
        <v>4</v>
      </c>
      <c r="N832">
        <v>0</v>
      </c>
      <c r="O832" t="s">
        <v>41</v>
      </c>
      <c r="P832">
        <v>4</v>
      </c>
      <c r="Q832">
        <v>1</v>
      </c>
      <c r="R832" t="s">
        <v>35</v>
      </c>
      <c r="S832">
        <v>2.5</v>
      </c>
      <c r="V832" t="s">
        <v>67</v>
      </c>
    </row>
    <row r="833" spans="1:22" x14ac:dyDescent="0.45">
      <c r="A833" t="str">
        <f>"10266201"</f>
        <v>10266201</v>
      </c>
      <c r="B833" t="s">
        <v>22</v>
      </c>
      <c r="C833" s="1">
        <v>43609</v>
      </c>
      <c r="D833">
        <v>785000</v>
      </c>
      <c r="E833" t="s">
        <v>60</v>
      </c>
      <c r="F833">
        <v>1989</v>
      </c>
      <c r="G833">
        <v>3606</v>
      </c>
      <c r="H833" t="s">
        <v>386</v>
      </c>
      <c r="I833" t="str">
        <f t="shared" si="12"/>
        <v>25</v>
      </c>
      <c r="J833">
        <v>60026</v>
      </c>
      <c r="K833">
        <v>3467</v>
      </c>
      <c r="L833">
        <v>9</v>
      </c>
      <c r="M833">
        <v>2</v>
      </c>
      <c r="N833">
        <v>1</v>
      </c>
      <c r="O833" t="s">
        <v>25</v>
      </c>
      <c r="P833">
        <v>4</v>
      </c>
      <c r="Q833">
        <v>0</v>
      </c>
      <c r="R833" t="s">
        <v>26</v>
      </c>
      <c r="S833">
        <v>2</v>
      </c>
      <c r="V833" t="s">
        <v>67</v>
      </c>
    </row>
    <row r="834" spans="1:22" x14ac:dyDescent="0.45">
      <c r="A834" t="str">
        <f>"10648533"</f>
        <v>10648533</v>
      </c>
      <c r="B834" t="s">
        <v>22</v>
      </c>
      <c r="C834" s="1">
        <v>44012</v>
      </c>
      <c r="D834">
        <v>785000</v>
      </c>
      <c r="E834" t="s">
        <v>60</v>
      </c>
      <c r="F834">
        <v>1956</v>
      </c>
      <c r="G834">
        <v>1225</v>
      </c>
      <c r="H834" t="s">
        <v>255</v>
      </c>
      <c r="I834" t="str">
        <f t="shared" ref="I834:I897" si="13">"25"</f>
        <v>25</v>
      </c>
      <c r="J834">
        <v>60025</v>
      </c>
      <c r="K834">
        <v>3436</v>
      </c>
      <c r="L834">
        <v>11</v>
      </c>
      <c r="M834">
        <v>4</v>
      </c>
      <c r="N834">
        <v>0</v>
      </c>
      <c r="O834" t="s">
        <v>25</v>
      </c>
      <c r="P834">
        <v>5</v>
      </c>
      <c r="Q834">
        <v>0</v>
      </c>
      <c r="R834" t="s">
        <v>26</v>
      </c>
      <c r="S834">
        <v>2</v>
      </c>
    </row>
    <row r="835" spans="1:22" x14ac:dyDescent="0.45">
      <c r="A835" t="str">
        <f>"10733808"</f>
        <v>10733808</v>
      </c>
      <c r="B835" t="s">
        <v>22</v>
      </c>
      <c r="C835" s="1">
        <v>44102</v>
      </c>
      <c r="D835">
        <v>786500</v>
      </c>
      <c r="E835" t="s">
        <v>60</v>
      </c>
      <c r="F835">
        <v>2007</v>
      </c>
      <c r="G835">
        <v>713</v>
      </c>
      <c r="H835" t="s">
        <v>62</v>
      </c>
      <c r="I835" t="str">
        <f t="shared" si="13"/>
        <v>25</v>
      </c>
      <c r="J835">
        <v>60025</v>
      </c>
      <c r="K835">
        <v>3600</v>
      </c>
      <c r="L835">
        <v>12</v>
      </c>
      <c r="M835">
        <v>5</v>
      </c>
      <c r="N835">
        <v>0</v>
      </c>
      <c r="O835" t="s">
        <v>41</v>
      </c>
      <c r="P835">
        <v>5</v>
      </c>
      <c r="Q835">
        <v>1</v>
      </c>
      <c r="R835" t="s">
        <v>26</v>
      </c>
      <c r="S835">
        <v>3</v>
      </c>
      <c r="U835">
        <v>1200</v>
      </c>
      <c r="V835" t="s">
        <v>67</v>
      </c>
    </row>
    <row r="836" spans="1:22" x14ac:dyDescent="0.45">
      <c r="A836" t="str">
        <f>"10358567"</f>
        <v>10358567</v>
      </c>
      <c r="B836" t="s">
        <v>22</v>
      </c>
      <c r="C836" s="1">
        <v>43640</v>
      </c>
      <c r="D836">
        <v>787000</v>
      </c>
      <c r="E836" t="s">
        <v>60</v>
      </c>
      <c r="F836">
        <v>1994</v>
      </c>
      <c r="G836">
        <v>2127</v>
      </c>
      <c r="H836" t="s">
        <v>387</v>
      </c>
      <c r="I836" t="str">
        <f t="shared" si="13"/>
        <v>25</v>
      </c>
      <c r="J836">
        <v>60026</v>
      </c>
      <c r="K836">
        <v>3752</v>
      </c>
      <c r="L836">
        <v>12</v>
      </c>
      <c r="M836">
        <v>3</v>
      </c>
      <c r="N836">
        <v>1</v>
      </c>
      <c r="O836" t="s">
        <v>41</v>
      </c>
      <c r="P836">
        <v>5</v>
      </c>
      <c r="Q836">
        <v>1</v>
      </c>
      <c r="R836" t="s">
        <v>26</v>
      </c>
      <c r="S836">
        <v>2</v>
      </c>
    </row>
    <row r="837" spans="1:22" x14ac:dyDescent="0.45">
      <c r="A837" t="str">
        <f>"10415230"</f>
        <v>10415230</v>
      </c>
      <c r="B837" t="s">
        <v>22</v>
      </c>
      <c r="C837" s="1">
        <v>43649</v>
      </c>
      <c r="D837">
        <v>790000</v>
      </c>
      <c r="E837" t="s">
        <v>60</v>
      </c>
      <c r="F837">
        <v>1984</v>
      </c>
      <c r="G837">
        <v>1440</v>
      </c>
      <c r="H837" t="s">
        <v>236</v>
      </c>
      <c r="I837" t="str">
        <f t="shared" si="13"/>
        <v>25</v>
      </c>
      <c r="J837">
        <v>60025</v>
      </c>
      <c r="K837">
        <v>2804</v>
      </c>
      <c r="L837">
        <v>9</v>
      </c>
      <c r="M837">
        <v>4</v>
      </c>
      <c r="N837">
        <v>1</v>
      </c>
      <c r="O837" t="s">
        <v>41</v>
      </c>
      <c r="P837">
        <v>4</v>
      </c>
      <c r="Q837">
        <v>0</v>
      </c>
      <c r="R837" t="s">
        <v>26</v>
      </c>
      <c r="S837">
        <v>2.5</v>
      </c>
    </row>
    <row r="838" spans="1:22" x14ac:dyDescent="0.45">
      <c r="A838" t="str">
        <f>"10304012"</f>
        <v>10304012</v>
      </c>
      <c r="B838" t="s">
        <v>22</v>
      </c>
      <c r="C838" s="1">
        <v>43600</v>
      </c>
      <c r="D838">
        <v>790000</v>
      </c>
      <c r="E838" t="s">
        <v>60</v>
      </c>
      <c r="F838">
        <v>1989</v>
      </c>
      <c r="G838">
        <v>4049</v>
      </c>
      <c r="H838" t="s">
        <v>388</v>
      </c>
      <c r="I838" t="str">
        <f t="shared" si="13"/>
        <v>25</v>
      </c>
      <c r="J838">
        <v>60026</v>
      </c>
      <c r="K838">
        <v>0</v>
      </c>
      <c r="L838">
        <v>11</v>
      </c>
      <c r="M838">
        <v>4</v>
      </c>
      <c r="N838">
        <v>0</v>
      </c>
      <c r="O838" t="s">
        <v>25</v>
      </c>
      <c r="P838">
        <v>5</v>
      </c>
      <c r="Q838">
        <v>0</v>
      </c>
      <c r="R838" t="s">
        <v>26</v>
      </c>
      <c r="S838">
        <v>2</v>
      </c>
    </row>
    <row r="839" spans="1:22" x14ac:dyDescent="0.45">
      <c r="A839" t="str">
        <f>"10033706"</f>
        <v>10033706</v>
      </c>
      <c r="B839" t="s">
        <v>22</v>
      </c>
      <c r="C839" s="1">
        <v>43523</v>
      </c>
      <c r="D839">
        <v>790881</v>
      </c>
      <c r="E839" t="s">
        <v>23</v>
      </c>
      <c r="F839">
        <v>2019</v>
      </c>
      <c r="G839">
        <v>1099</v>
      </c>
      <c r="H839" t="s">
        <v>346</v>
      </c>
      <c r="I839" t="str">
        <f t="shared" si="13"/>
        <v>25</v>
      </c>
      <c r="J839">
        <v>60025</v>
      </c>
      <c r="K839">
        <v>3236</v>
      </c>
      <c r="L839">
        <v>9</v>
      </c>
      <c r="M839">
        <v>4</v>
      </c>
      <c r="N839">
        <v>0</v>
      </c>
      <c r="O839" t="s">
        <v>25</v>
      </c>
      <c r="P839">
        <v>4</v>
      </c>
      <c r="Q839">
        <v>0</v>
      </c>
      <c r="R839" t="s">
        <v>26</v>
      </c>
      <c r="S839">
        <v>2</v>
      </c>
      <c r="V839" t="s">
        <v>196</v>
      </c>
    </row>
    <row r="840" spans="1:22" x14ac:dyDescent="0.45">
      <c r="A840" t="str">
        <f>"10308863"</f>
        <v>10308863</v>
      </c>
      <c r="B840" t="s">
        <v>22</v>
      </c>
      <c r="C840" s="1">
        <v>43623</v>
      </c>
      <c r="D840">
        <v>791000</v>
      </c>
      <c r="E840" t="s">
        <v>60</v>
      </c>
      <c r="F840">
        <v>2008</v>
      </c>
      <c r="G840">
        <v>3723</v>
      </c>
      <c r="H840" t="s">
        <v>279</v>
      </c>
      <c r="I840" t="str">
        <f t="shared" si="13"/>
        <v>25</v>
      </c>
      <c r="J840">
        <v>60025</v>
      </c>
      <c r="K840">
        <v>2947</v>
      </c>
      <c r="L840">
        <v>12</v>
      </c>
      <c r="M840">
        <v>4</v>
      </c>
      <c r="N840">
        <v>1</v>
      </c>
      <c r="O840" t="s">
        <v>41</v>
      </c>
      <c r="P840">
        <v>4</v>
      </c>
      <c r="Q840">
        <v>1</v>
      </c>
      <c r="R840" t="s">
        <v>26</v>
      </c>
      <c r="S840">
        <v>2</v>
      </c>
    </row>
    <row r="841" spans="1:22" x14ac:dyDescent="0.45">
      <c r="A841" t="str">
        <f>"10265324"</f>
        <v>10265324</v>
      </c>
      <c r="B841" t="s">
        <v>22</v>
      </c>
      <c r="C841" s="1">
        <v>43579</v>
      </c>
      <c r="D841">
        <v>792000</v>
      </c>
      <c r="E841" t="s">
        <v>60</v>
      </c>
      <c r="F841">
        <v>1967</v>
      </c>
      <c r="G841">
        <v>815</v>
      </c>
      <c r="H841" t="s">
        <v>68</v>
      </c>
      <c r="I841" t="str">
        <f t="shared" si="13"/>
        <v>25</v>
      </c>
      <c r="J841">
        <v>60025</v>
      </c>
      <c r="K841">
        <v>3351</v>
      </c>
      <c r="L841">
        <v>10</v>
      </c>
      <c r="M841">
        <v>3</v>
      </c>
      <c r="N841">
        <v>2</v>
      </c>
      <c r="O841" t="s">
        <v>41</v>
      </c>
      <c r="P841">
        <v>4</v>
      </c>
      <c r="Q841">
        <v>0</v>
      </c>
      <c r="R841" t="s">
        <v>26</v>
      </c>
      <c r="S841">
        <v>2</v>
      </c>
      <c r="U841">
        <v>0</v>
      </c>
      <c r="V841" t="s">
        <v>67</v>
      </c>
    </row>
    <row r="842" spans="1:22" x14ac:dyDescent="0.45">
      <c r="A842" t="str">
        <f>"10400591"</f>
        <v>10400591</v>
      </c>
      <c r="B842" t="s">
        <v>22</v>
      </c>
      <c r="C842" s="1">
        <v>43661</v>
      </c>
      <c r="D842">
        <v>795000</v>
      </c>
      <c r="E842" t="s">
        <v>60</v>
      </c>
      <c r="F842">
        <v>1953</v>
      </c>
      <c r="G842">
        <v>715</v>
      </c>
      <c r="H842" t="s">
        <v>108</v>
      </c>
      <c r="I842" t="str">
        <f t="shared" si="13"/>
        <v>25</v>
      </c>
      <c r="J842">
        <v>60025</v>
      </c>
      <c r="K842">
        <v>0</v>
      </c>
      <c r="L842">
        <v>9</v>
      </c>
      <c r="M842">
        <v>3</v>
      </c>
      <c r="N842">
        <v>1</v>
      </c>
      <c r="O842" t="s">
        <v>41</v>
      </c>
      <c r="P842">
        <v>4</v>
      </c>
      <c r="Q842">
        <v>0</v>
      </c>
      <c r="R842" t="s">
        <v>35</v>
      </c>
      <c r="S842">
        <v>2.5</v>
      </c>
    </row>
    <row r="843" spans="1:22" x14ac:dyDescent="0.45">
      <c r="A843" t="str">
        <f>"10323067"</f>
        <v>10323067</v>
      </c>
      <c r="B843" t="s">
        <v>22</v>
      </c>
      <c r="C843" s="1">
        <v>43689</v>
      </c>
      <c r="D843">
        <v>795000</v>
      </c>
      <c r="E843" t="s">
        <v>60</v>
      </c>
      <c r="F843">
        <v>2006</v>
      </c>
      <c r="G843">
        <v>4715</v>
      </c>
      <c r="H843" t="s">
        <v>389</v>
      </c>
      <c r="I843" t="str">
        <f t="shared" si="13"/>
        <v>25</v>
      </c>
      <c r="J843">
        <v>60025</v>
      </c>
      <c r="K843">
        <v>3780</v>
      </c>
      <c r="L843">
        <v>10</v>
      </c>
      <c r="M843">
        <v>5</v>
      </c>
      <c r="N843">
        <v>0</v>
      </c>
      <c r="O843" t="s">
        <v>41</v>
      </c>
      <c r="P843">
        <v>5</v>
      </c>
      <c r="Q843">
        <v>0</v>
      </c>
      <c r="R843" t="s">
        <v>26</v>
      </c>
      <c r="S843">
        <v>2</v>
      </c>
      <c r="V843" t="s">
        <v>67</v>
      </c>
    </row>
    <row r="844" spans="1:22" x14ac:dyDescent="0.45">
      <c r="A844" t="str">
        <f>"10746724"</f>
        <v>10746724</v>
      </c>
      <c r="B844" t="s">
        <v>22</v>
      </c>
      <c r="C844" s="1">
        <v>44111</v>
      </c>
      <c r="D844">
        <v>795000</v>
      </c>
      <c r="E844" t="s">
        <v>60</v>
      </c>
      <c r="F844">
        <v>2006</v>
      </c>
      <c r="G844">
        <v>2758</v>
      </c>
      <c r="H844" t="s">
        <v>323</v>
      </c>
      <c r="I844" t="str">
        <f t="shared" si="13"/>
        <v>25</v>
      </c>
      <c r="J844">
        <v>60025</v>
      </c>
      <c r="K844">
        <v>3109</v>
      </c>
      <c r="L844">
        <v>9</v>
      </c>
      <c r="M844">
        <v>4</v>
      </c>
      <c r="N844">
        <v>1</v>
      </c>
      <c r="O844" t="s">
        <v>41</v>
      </c>
      <c r="P844">
        <v>4</v>
      </c>
      <c r="Q844">
        <v>1</v>
      </c>
      <c r="R844" t="s">
        <v>26</v>
      </c>
      <c r="S844">
        <v>2</v>
      </c>
      <c r="V844" t="s">
        <v>67</v>
      </c>
    </row>
    <row r="845" spans="1:22" x14ac:dyDescent="0.45">
      <c r="A845" t="str">
        <f>"10808999"</f>
        <v>10808999</v>
      </c>
      <c r="B845" t="s">
        <v>22</v>
      </c>
      <c r="C845" s="1">
        <v>44050</v>
      </c>
      <c r="D845">
        <v>795628</v>
      </c>
      <c r="E845" t="s">
        <v>60</v>
      </c>
      <c r="F845">
        <v>2020</v>
      </c>
      <c r="G845">
        <v>1070</v>
      </c>
      <c r="H845" t="s">
        <v>346</v>
      </c>
      <c r="I845" t="str">
        <f t="shared" si="13"/>
        <v>25</v>
      </c>
      <c r="J845">
        <v>60025</v>
      </c>
      <c r="K845">
        <v>3236</v>
      </c>
      <c r="L845">
        <v>8</v>
      </c>
      <c r="M845">
        <v>3</v>
      </c>
      <c r="N845">
        <v>0</v>
      </c>
      <c r="O845" t="s">
        <v>25</v>
      </c>
      <c r="P845">
        <v>3</v>
      </c>
      <c r="Q845">
        <v>0</v>
      </c>
      <c r="R845" t="s">
        <v>26</v>
      </c>
      <c r="S845">
        <v>2</v>
      </c>
    </row>
    <row r="846" spans="1:22" x14ac:dyDescent="0.45">
      <c r="A846" t="str">
        <f>"10827272"</f>
        <v>10827272</v>
      </c>
      <c r="B846" t="s">
        <v>22</v>
      </c>
      <c r="C846" s="1">
        <v>44126</v>
      </c>
      <c r="D846">
        <v>799000</v>
      </c>
      <c r="E846" t="s">
        <v>60</v>
      </c>
      <c r="F846">
        <v>2012</v>
      </c>
      <c r="G846">
        <v>709</v>
      </c>
      <c r="H846" t="s">
        <v>119</v>
      </c>
      <c r="I846" t="str">
        <f t="shared" si="13"/>
        <v>25</v>
      </c>
      <c r="J846">
        <v>60025</v>
      </c>
      <c r="K846">
        <v>0</v>
      </c>
      <c r="L846">
        <v>9</v>
      </c>
      <c r="M846">
        <v>3</v>
      </c>
      <c r="N846">
        <v>1</v>
      </c>
      <c r="O846" t="s">
        <v>25</v>
      </c>
      <c r="P846">
        <v>4</v>
      </c>
      <c r="Q846">
        <v>0</v>
      </c>
      <c r="R846" t="s">
        <v>35</v>
      </c>
      <c r="S846">
        <v>2.5</v>
      </c>
    </row>
    <row r="847" spans="1:22" x14ac:dyDescent="0.45">
      <c r="A847" t="str">
        <f>"10415246"</f>
        <v>10415246</v>
      </c>
      <c r="B847" t="s">
        <v>22</v>
      </c>
      <c r="C847" s="1">
        <v>43647</v>
      </c>
      <c r="D847">
        <v>799900</v>
      </c>
      <c r="E847" t="s">
        <v>60</v>
      </c>
      <c r="F847">
        <v>1950</v>
      </c>
      <c r="G847">
        <v>340</v>
      </c>
      <c r="H847" t="s">
        <v>160</v>
      </c>
      <c r="I847" t="str">
        <f t="shared" si="13"/>
        <v>25</v>
      </c>
      <c r="J847">
        <v>60025</v>
      </c>
      <c r="K847">
        <v>2177</v>
      </c>
      <c r="L847">
        <v>10</v>
      </c>
      <c r="M847">
        <v>3</v>
      </c>
      <c r="N847">
        <v>1</v>
      </c>
      <c r="O847" t="s">
        <v>41</v>
      </c>
      <c r="P847">
        <v>3</v>
      </c>
      <c r="Q847">
        <v>1</v>
      </c>
      <c r="R847" t="s">
        <v>35</v>
      </c>
      <c r="S847">
        <v>2.5</v>
      </c>
    </row>
    <row r="848" spans="1:22" x14ac:dyDescent="0.45">
      <c r="A848" t="str">
        <f>"10307124"</f>
        <v>10307124</v>
      </c>
      <c r="B848" t="s">
        <v>22</v>
      </c>
      <c r="C848" s="1">
        <v>43600</v>
      </c>
      <c r="D848">
        <v>800000</v>
      </c>
      <c r="E848" t="s">
        <v>60</v>
      </c>
      <c r="F848">
        <v>1968</v>
      </c>
      <c r="G848">
        <v>750</v>
      </c>
      <c r="H848" t="s">
        <v>262</v>
      </c>
      <c r="I848" t="str">
        <f t="shared" si="13"/>
        <v>25</v>
      </c>
      <c r="J848">
        <v>60025</v>
      </c>
      <c r="K848">
        <v>2825</v>
      </c>
      <c r="L848">
        <v>11</v>
      </c>
      <c r="M848">
        <v>3</v>
      </c>
      <c r="N848">
        <v>1</v>
      </c>
      <c r="O848" t="s">
        <v>41</v>
      </c>
      <c r="P848">
        <v>4</v>
      </c>
      <c r="Q848">
        <v>1</v>
      </c>
      <c r="R848" t="s">
        <v>26</v>
      </c>
      <c r="S848">
        <v>2</v>
      </c>
    </row>
    <row r="849" spans="1:22" x14ac:dyDescent="0.45">
      <c r="A849" t="str">
        <f>"10351549"</f>
        <v>10351549</v>
      </c>
      <c r="B849" t="s">
        <v>22</v>
      </c>
      <c r="C849" s="1">
        <v>43658</v>
      </c>
      <c r="D849">
        <v>800000</v>
      </c>
      <c r="E849" t="s">
        <v>60</v>
      </c>
      <c r="F849">
        <v>1948</v>
      </c>
      <c r="G849">
        <v>14</v>
      </c>
      <c r="H849" t="s">
        <v>190</v>
      </c>
      <c r="I849" t="str">
        <f t="shared" si="13"/>
        <v>25</v>
      </c>
      <c r="J849">
        <v>60029</v>
      </c>
      <c r="K849">
        <v>2940</v>
      </c>
      <c r="L849">
        <v>10</v>
      </c>
      <c r="M849">
        <v>2</v>
      </c>
      <c r="N849">
        <v>2</v>
      </c>
      <c r="O849" t="s">
        <v>41</v>
      </c>
      <c r="P849">
        <v>4</v>
      </c>
      <c r="Q849">
        <v>0</v>
      </c>
      <c r="R849" t="s">
        <v>26</v>
      </c>
      <c r="S849">
        <v>2</v>
      </c>
    </row>
    <row r="850" spans="1:22" x14ac:dyDescent="0.45">
      <c r="A850" t="str">
        <f>"10557504"</f>
        <v>10557504</v>
      </c>
      <c r="B850" t="s">
        <v>22</v>
      </c>
      <c r="C850" s="1">
        <v>43914</v>
      </c>
      <c r="D850">
        <v>800000</v>
      </c>
      <c r="E850" t="s">
        <v>60</v>
      </c>
      <c r="F850">
        <v>2001</v>
      </c>
      <c r="G850">
        <v>3606</v>
      </c>
      <c r="H850" t="s">
        <v>76</v>
      </c>
      <c r="I850" t="str">
        <f t="shared" si="13"/>
        <v>25</v>
      </c>
      <c r="J850">
        <v>60025</v>
      </c>
      <c r="K850">
        <v>4576</v>
      </c>
      <c r="L850">
        <v>10</v>
      </c>
      <c r="M850">
        <v>3</v>
      </c>
      <c r="N850">
        <v>1</v>
      </c>
      <c r="O850" t="s">
        <v>25</v>
      </c>
      <c r="P850">
        <v>5</v>
      </c>
      <c r="Q850">
        <v>0</v>
      </c>
      <c r="R850" t="s">
        <v>26</v>
      </c>
      <c r="S850">
        <v>3</v>
      </c>
      <c r="V850" t="s">
        <v>176</v>
      </c>
    </row>
    <row r="851" spans="1:22" x14ac:dyDescent="0.45">
      <c r="A851" t="str">
        <f>"10751000"</f>
        <v>10751000</v>
      </c>
      <c r="B851" t="s">
        <v>22</v>
      </c>
      <c r="C851" s="1">
        <v>44078</v>
      </c>
      <c r="D851">
        <v>800144</v>
      </c>
      <c r="E851" t="s">
        <v>60</v>
      </c>
      <c r="F851">
        <v>2020</v>
      </c>
      <c r="G851">
        <v>1090</v>
      </c>
      <c r="H851" t="s">
        <v>346</v>
      </c>
      <c r="I851" t="str">
        <f t="shared" si="13"/>
        <v>25</v>
      </c>
      <c r="J851">
        <v>60025</v>
      </c>
      <c r="K851">
        <v>3236</v>
      </c>
      <c r="L851">
        <v>9</v>
      </c>
      <c r="M851">
        <v>4</v>
      </c>
      <c r="N851">
        <v>0</v>
      </c>
      <c r="O851" t="s">
        <v>25</v>
      </c>
      <c r="P851">
        <v>4</v>
      </c>
      <c r="Q851">
        <v>0</v>
      </c>
      <c r="R851" t="s">
        <v>26</v>
      </c>
      <c r="S851">
        <v>2</v>
      </c>
    </row>
    <row r="852" spans="1:22" x14ac:dyDescent="0.45">
      <c r="A852" t="str">
        <f>"10812064"</f>
        <v>10812064</v>
      </c>
      <c r="B852" t="s">
        <v>22</v>
      </c>
      <c r="C852" s="1">
        <v>44125</v>
      </c>
      <c r="D852">
        <v>801000</v>
      </c>
      <c r="E852" t="s">
        <v>60</v>
      </c>
      <c r="F852">
        <v>1989</v>
      </c>
      <c r="G852">
        <v>4312</v>
      </c>
      <c r="H852" t="s">
        <v>390</v>
      </c>
      <c r="I852" t="str">
        <f t="shared" si="13"/>
        <v>25</v>
      </c>
      <c r="J852">
        <v>60026</v>
      </c>
      <c r="K852">
        <v>3798</v>
      </c>
      <c r="L852">
        <v>14</v>
      </c>
      <c r="M852">
        <v>4</v>
      </c>
      <c r="N852">
        <v>2</v>
      </c>
      <c r="O852" t="s">
        <v>41</v>
      </c>
      <c r="P852">
        <v>5</v>
      </c>
      <c r="Q852">
        <v>1</v>
      </c>
      <c r="R852" t="s">
        <v>26</v>
      </c>
      <c r="S852">
        <v>3</v>
      </c>
      <c r="U852">
        <v>2150</v>
      </c>
      <c r="V852" t="s">
        <v>176</v>
      </c>
    </row>
    <row r="853" spans="1:22" x14ac:dyDescent="0.45">
      <c r="A853" t="str">
        <f>"10461905"</f>
        <v>10461905</v>
      </c>
      <c r="B853" t="s">
        <v>22</v>
      </c>
      <c r="C853" s="1">
        <v>43784</v>
      </c>
      <c r="D853">
        <v>801000</v>
      </c>
      <c r="E853" t="s">
        <v>60</v>
      </c>
      <c r="F853">
        <v>1955</v>
      </c>
      <c r="G853">
        <v>1437</v>
      </c>
      <c r="H853" t="s">
        <v>83</v>
      </c>
      <c r="I853" t="str">
        <f t="shared" si="13"/>
        <v>25</v>
      </c>
      <c r="J853">
        <v>60025</v>
      </c>
      <c r="K853">
        <v>3728</v>
      </c>
      <c r="L853">
        <v>11</v>
      </c>
      <c r="M853">
        <v>3</v>
      </c>
      <c r="N853">
        <v>1</v>
      </c>
      <c r="O853" t="s">
        <v>41</v>
      </c>
      <c r="P853">
        <v>4</v>
      </c>
      <c r="Q853">
        <v>0</v>
      </c>
      <c r="R853" t="s">
        <v>26</v>
      </c>
      <c r="S853">
        <v>2</v>
      </c>
    </row>
    <row r="854" spans="1:22" x14ac:dyDescent="0.45">
      <c r="A854" t="str">
        <f>"10542019"</f>
        <v>10542019</v>
      </c>
      <c r="B854" t="s">
        <v>22</v>
      </c>
      <c r="C854" s="1">
        <v>43936</v>
      </c>
      <c r="D854">
        <v>802000</v>
      </c>
      <c r="E854" t="s">
        <v>60</v>
      </c>
      <c r="F854">
        <v>2001</v>
      </c>
      <c r="G854">
        <v>814</v>
      </c>
      <c r="H854" t="s">
        <v>343</v>
      </c>
      <c r="I854" t="str">
        <f t="shared" si="13"/>
        <v>25</v>
      </c>
      <c r="J854">
        <v>60025</v>
      </c>
      <c r="K854">
        <v>3702</v>
      </c>
      <c r="L854">
        <v>11</v>
      </c>
      <c r="M854">
        <v>4</v>
      </c>
      <c r="N854">
        <v>1</v>
      </c>
      <c r="O854" t="s">
        <v>41</v>
      </c>
      <c r="P854">
        <v>4</v>
      </c>
      <c r="Q854">
        <v>0</v>
      </c>
      <c r="R854" t="s">
        <v>26</v>
      </c>
      <c r="S854">
        <v>2</v>
      </c>
      <c r="U854">
        <v>1251</v>
      </c>
      <c r="V854" t="s">
        <v>67</v>
      </c>
    </row>
    <row r="855" spans="1:22" x14ac:dyDescent="0.45">
      <c r="A855" t="str">
        <f>"10804631"</f>
        <v>10804631</v>
      </c>
      <c r="B855" t="s">
        <v>22</v>
      </c>
      <c r="C855" s="1">
        <v>44109</v>
      </c>
      <c r="D855">
        <v>805000</v>
      </c>
      <c r="E855" t="s">
        <v>60</v>
      </c>
      <c r="F855">
        <v>1949</v>
      </c>
      <c r="G855">
        <v>816</v>
      </c>
      <c r="H855" t="s">
        <v>151</v>
      </c>
      <c r="I855" t="str">
        <f t="shared" si="13"/>
        <v>25</v>
      </c>
      <c r="J855">
        <v>60025</v>
      </c>
      <c r="K855">
        <v>3273</v>
      </c>
      <c r="L855">
        <v>12</v>
      </c>
      <c r="M855">
        <v>3</v>
      </c>
      <c r="N855">
        <v>1</v>
      </c>
      <c r="O855" t="s">
        <v>25</v>
      </c>
      <c r="P855">
        <v>3</v>
      </c>
      <c r="Q855">
        <v>0</v>
      </c>
      <c r="R855" t="s">
        <v>26</v>
      </c>
      <c r="S855">
        <v>1</v>
      </c>
      <c r="U855">
        <v>0</v>
      </c>
      <c r="V855" t="s">
        <v>33</v>
      </c>
    </row>
    <row r="856" spans="1:22" x14ac:dyDescent="0.45">
      <c r="A856" t="str">
        <f>"10674942"</f>
        <v>10674942</v>
      </c>
      <c r="B856" t="s">
        <v>22</v>
      </c>
      <c r="C856" s="1">
        <v>44039</v>
      </c>
      <c r="D856">
        <v>805000</v>
      </c>
      <c r="E856" t="s">
        <v>60</v>
      </c>
      <c r="F856">
        <v>2005</v>
      </c>
      <c r="G856">
        <v>1804</v>
      </c>
      <c r="H856" t="s">
        <v>368</v>
      </c>
      <c r="I856" t="str">
        <f t="shared" si="13"/>
        <v>25</v>
      </c>
      <c r="J856">
        <v>60025</v>
      </c>
      <c r="K856">
        <v>3109</v>
      </c>
      <c r="L856">
        <v>12</v>
      </c>
      <c r="M856">
        <v>3</v>
      </c>
      <c r="N856">
        <v>1</v>
      </c>
      <c r="O856" t="s">
        <v>41</v>
      </c>
      <c r="P856">
        <v>3</v>
      </c>
      <c r="Q856">
        <v>1</v>
      </c>
      <c r="R856" t="s">
        <v>26</v>
      </c>
      <c r="S856">
        <v>2</v>
      </c>
      <c r="V856" t="s">
        <v>67</v>
      </c>
    </row>
    <row r="857" spans="1:22" x14ac:dyDescent="0.45">
      <c r="A857" t="str">
        <f>"10366084"</f>
        <v>10366084</v>
      </c>
      <c r="B857" t="s">
        <v>22</v>
      </c>
      <c r="C857" s="1">
        <v>43633</v>
      </c>
      <c r="D857">
        <v>805000</v>
      </c>
      <c r="E857" t="s">
        <v>60</v>
      </c>
      <c r="F857">
        <v>1984</v>
      </c>
      <c r="G857">
        <v>2335</v>
      </c>
      <c r="H857" t="s">
        <v>330</v>
      </c>
      <c r="I857" t="str">
        <f t="shared" si="13"/>
        <v>25</v>
      </c>
      <c r="J857">
        <v>60026</v>
      </c>
      <c r="K857">
        <v>3526</v>
      </c>
      <c r="L857">
        <v>12</v>
      </c>
      <c r="M857">
        <v>2</v>
      </c>
      <c r="N857">
        <v>1</v>
      </c>
      <c r="O857" t="s">
        <v>25</v>
      </c>
      <c r="P857">
        <v>5</v>
      </c>
      <c r="Q857">
        <v>0</v>
      </c>
      <c r="R857" t="s">
        <v>26</v>
      </c>
      <c r="S857">
        <v>2</v>
      </c>
      <c r="U857">
        <v>1600</v>
      </c>
      <c r="V857" t="s">
        <v>355</v>
      </c>
    </row>
    <row r="858" spans="1:22" x14ac:dyDescent="0.45">
      <c r="A858" t="str">
        <f>"10269868"</f>
        <v>10269868</v>
      </c>
      <c r="B858" t="s">
        <v>22</v>
      </c>
      <c r="C858" s="1">
        <v>43705</v>
      </c>
      <c r="D858">
        <v>805000</v>
      </c>
      <c r="E858" t="s">
        <v>60</v>
      </c>
      <c r="F858">
        <v>2005</v>
      </c>
      <c r="G858">
        <v>1200</v>
      </c>
      <c r="H858" t="s">
        <v>391</v>
      </c>
      <c r="I858" t="str">
        <f t="shared" si="13"/>
        <v>25</v>
      </c>
      <c r="J858">
        <v>60025</v>
      </c>
      <c r="K858">
        <v>4046</v>
      </c>
      <c r="L858">
        <v>11</v>
      </c>
      <c r="M858">
        <v>5</v>
      </c>
      <c r="N858">
        <v>1</v>
      </c>
      <c r="O858" t="s">
        <v>41</v>
      </c>
      <c r="P858">
        <v>5</v>
      </c>
      <c r="Q858">
        <v>0</v>
      </c>
      <c r="R858" t="s">
        <v>26</v>
      </c>
      <c r="S858">
        <v>3</v>
      </c>
    </row>
    <row r="859" spans="1:22" x14ac:dyDescent="0.45">
      <c r="A859" t="str">
        <f>"10770772"</f>
        <v>10770772</v>
      </c>
      <c r="B859" t="s">
        <v>22</v>
      </c>
      <c r="C859" s="1">
        <v>44083</v>
      </c>
      <c r="D859">
        <v>810000</v>
      </c>
      <c r="E859" t="s">
        <v>60</v>
      </c>
      <c r="F859">
        <v>1963</v>
      </c>
      <c r="G859">
        <v>25</v>
      </c>
      <c r="H859" t="s">
        <v>48</v>
      </c>
      <c r="I859" t="str">
        <f t="shared" si="13"/>
        <v>25</v>
      </c>
      <c r="J859">
        <v>60029</v>
      </c>
      <c r="K859">
        <v>2792</v>
      </c>
      <c r="L859">
        <v>11</v>
      </c>
      <c r="M859">
        <v>3</v>
      </c>
      <c r="N859">
        <v>1</v>
      </c>
      <c r="O859" t="s">
        <v>41</v>
      </c>
      <c r="P859">
        <v>4</v>
      </c>
      <c r="Q859">
        <v>1</v>
      </c>
      <c r="R859" t="s">
        <v>26</v>
      </c>
      <c r="S859">
        <v>2</v>
      </c>
      <c r="V859" t="s">
        <v>67</v>
      </c>
    </row>
    <row r="860" spans="1:22" x14ac:dyDescent="0.45">
      <c r="A860" t="str">
        <f>"10480611"</f>
        <v>10480611</v>
      </c>
      <c r="B860" t="s">
        <v>22</v>
      </c>
      <c r="C860" s="1">
        <v>43776</v>
      </c>
      <c r="D860">
        <v>810000</v>
      </c>
      <c r="E860" t="s">
        <v>60</v>
      </c>
      <c r="F860">
        <v>2012</v>
      </c>
      <c r="G860">
        <v>4625</v>
      </c>
      <c r="H860" t="s">
        <v>392</v>
      </c>
      <c r="I860" t="str">
        <f t="shared" si="13"/>
        <v>25</v>
      </c>
      <c r="J860">
        <v>60025</v>
      </c>
      <c r="K860">
        <v>3400</v>
      </c>
      <c r="L860">
        <v>12</v>
      </c>
      <c r="M860">
        <v>3</v>
      </c>
      <c r="N860">
        <v>1</v>
      </c>
      <c r="O860" t="s">
        <v>41</v>
      </c>
      <c r="P860">
        <v>4</v>
      </c>
      <c r="Q860">
        <v>1</v>
      </c>
      <c r="R860" t="s">
        <v>26</v>
      </c>
      <c r="S860">
        <v>2</v>
      </c>
    </row>
    <row r="861" spans="1:22" x14ac:dyDescent="0.45">
      <c r="A861" t="str">
        <f>"10819298"</f>
        <v>10819298</v>
      </c>
      <c r="B861" t="s">
        <v>22</v>
      </c>
      <c r="C861" s="1">
        <v>44095</v>
      </c>
      <c r="D861">
        <v>810000</v>
      </c>
      <c r="E861" t="s">
        <v>60</v>
      </c>
      <c r="F861">
        <v>2008</v>
      </c>
      <c r="G861">
        <v>1808</v>
      </c>
      <c r="H861" t="s">
        <v>393</v>
      </c>
      <c r="I861" t="str">
        <f t="shared" si="13"/>
        <v>25</v>
      </c>
      <c r="J861">
        <v>60025</v>
      </c>
      <c r="K861">
        <v>4166</v>
      </c>
      <c r="L861">
        <v>9</v>
      </c>
      <c r="M861">
        <v>4</v>
      </c>
      <c r="N861">
        <v>1</v>
      </c>
      <c r="O861" t="s">
        <v>41</v>
      </c>
      <c r="P861">
        <v>4</v>
      </c>
      <c r="Q861">
        <v>1</v>
      </c>
      <c r="R861" t="s">
        <v>26</v>
      </c>
      <c r="S861">
        <v>2</v>
      </c>
    </row>
    <row r="862" spans="1:22" x14ac:dyDescent="0.45">
      <c r="A862" t="str">
        <f>"10451009"</f>
        <v>10451009</v>
      </c>
      <c r="B862" t="s">
        <v>22</v>
      </c>
      <c r="C862" s="1">
        <v>43706</v>
      </c>
      <c r="D862">
        <v>813000</v>
      </c>
      <c r="E862" t="s">
        <v>60</v>
      </c>
      <c r="F862">
        <v>1985</v>
      </c>
      <c r="G862">
        <v>3429</v>
      </c>
      <c r="H862" t="s">
        <v>352</v>
      </c>
      <c r="I862" t="str">
        <f t="shared" si="13"/>
        <v>25</v>
      </c>
      <c r="J862">
        <v>60026</v>
      </c>
      <c r="K862">
        <v>0</v>
      </c>
      <c r="L862">
        <v>12</v>
      </c>
      <c r="M862">
        <v>3</v>
      </c>
      <c r="N862">
        <v>1</v>
      </c>
      <c r="O862" t="s">
        <v>25</v>
      </c>
      <c r="P862">
        <v>5</v>
      </c>
      <c r="Q862">
        <v>0</v>
      </c>
      <c r="R862" t="s">
        <v>26</v>
      </c>
      <c r="S862">
        <v>2</v>
      </c>
      <c r="V862" t="s">
        <v>67</v>
      </c>
    </row>
    <row r="863" spans="1:22" x14ac:dyDescent="0.45">
      <c r="A863" t="str">
        <f>"10602993"</f>
        <v>10602993</v>
      </c>
      <c r="B863" t="s">
        <v>22</v>
      </c>
      <c r="C863" s="1">
        <v>43937</v>
      </c>
      <c r="D863">
        <v>815000</v>
      </c>
      <c r="E863" t="s">
        <v>60</v>
      </c>
      <c r="F863">
        <v>2004</v>
      </c>
      <c r="G863">
        <v>809</v>
      </c>
      <c r="H863" t="s">
        <v>128</v>
      </c>
      <c r="I863" t="str">
        <f t="shared" si="13"/>
        <v>25</v>
      </c>
      <c r="J863">
        <v>60025</v>
      </c>
      <c r="K863">
        <v>0</v>
      </c>
      <c r="L863">
        <v>12</v>
      </c>
      <c r="M863">
        <v>4</v>
      </c>
      <c r="N863">
        <v>1</v>
      </c>
      <c r="O863" t="s">
        <v>41</v>
      </c>
      <c r="P863">
        <v>4</v>
      </c>
      <c r="Q863">
        <v>0</v>
      </c>
      <c r="R863" t="s">
        <v>26</v>
      </c>
      <c r="S863">
        <v>3</v>
      </c>
    </row>
    <row r="864" spans="1:22" x14ac:dyDescent="0.45">
      <c r="A864" t="str">
        <f>"10521910"</f>
        <v>10521910</v>
      </c>
      <c r="B864" t="s">
        <v>22</v>
      </c>
      <c r="C864" s="1">
        <v>43950</v>
      </c>
      <c r="D864">
        <v>815077</v>
      </c>
      <c r="E864" t="s">
        <v>23</v>
      </c>
      <c r="F864">
        <v>2020</v>
      </c>
      <c r="G864">
        <v>1042</v>
      </c>
      <c r="H864" t="s">
        <v>346</v>
      </c>
      <c r="I864" t="str">
        <f t="shared" si="13"/>
        <v>25</v>
      </c>
      <c r="J864">
        <v>60025</v>
      </c>
      <c r="K864">
        <v>2308</v>
      </c>
      <c r="L864">
        <v>6</v>
      </c>
      <c r="M864">
        <v>2</v>
      </c>
      <c r="N864">
        <v>0</v>
      </c>
      <c r="O864" t="s">
        <v>25</v>
      </c>
      <c r="P864">
        <v>2</v>
      </c>
      <c r="Q864">
        <v>0</v>
      </c>
      <c r="R864" t="s">
        <v>26</v>
      </c>
      <c r="S864">
        <v>2</v>
      </c>
      <c r="V864" t="s">
        <v>196</v>
      </c>
    </row>
    <row r="865" spans="1:22" x14ac:dyDescent="0.45">
      <c r="A865" t="str">
        <f>"10267555"</f>
        <v>10267555</v>
      </c>
      <c r="B865" t="s">
        <v>22</v>
      </c>
      <c r="C865" s="1">
        <v>43619</v>
      </c>
      <c r="D865">
        <v>817000</v>
      </c>
      <c r="E865" t="s">
        <v>60</v>
      </c>
      <c r="F865">
        <v>1984</v>
      </c>
      <c r="G865">
        <v>2341</v>
      </c>
      <c r="H865" t="s">
        <v>375</v>
      </c>
      <c r="I865" t="str">
        <f t="shared" si="13"/>
        <v>25</v>
      </c>
      <c r="J865">
        <v>60026</v>
      </c>
      <c r="K865">
        <v>3493</v>
      </c>
      <c r="L865">
        <v>9</v>
      </c>
      <c r="M865">
        <v>2</v>
      </c>
      <c r="N865">
        <v>2</v>
      </c>
      <c r="O865" t="s">
        <v>41</v>
      </c>
      <c r="P865">
        <v>5</v>
      </c>
      <c r="Q865">
        <v>0</v>
      </c>
      <c r="R865" t="s">
        <v>26</v>
      </c>
      <c r="S865">
        <v>2</v>
      </c>
    </row>
    <row r="866" spans="1:22" x14ac:dyDescent="0.45">
      <c r="A866" t="str">
        <f>"10767134"</f>
        <v>10767134</v>
      </c>
      <c r="B866" t="s">
        <v>22</v>
      </c>
      <c r="C866" s="1">
        <v>44054</v>
      </c>
      <c r="D866">
        <v>820000</v>
      </c>
      <c r="E866" t="s">
        <v>60</v>
      </c>
      <c r="F866">
        <v>1964</v>
      </c>
      <c r="G866">
        <v>1449</v>
      </c>
      <c r="H866" t="s">
        <v>344</v>
      </c>
      <c r="I866" t="str">
        <f t="shared" si="13"/>
        <v>25</v>
      </c>
      <c r="J866">
        <v>60025</v>
      </c>
      <c r="K866">
        <v>0</v>
      </c>
      <c r="L866">
        <v>9</v>
      </c>
      <c r="M866">
        <v>2</v>
      </c>
      <c r="N866">
        <v>1</v>
      </c>
      <c r="O866" t="s">
        <v>25</v>
      </c>
      <c r="P866">
        <v>4</v>
      </c>
      <c r="Q866">
        <v>0</v>
      </c>
      <c r="R866" t="s">
        <v>26</v>
      </c>
      <c r="S866">
        <v>2</v>
      </c>
    </row>
    <row r="867" spans="1:22" x14ac:dyDescent="0.45">
      <c r="A867" t="str">
        <f>"10828449"</f>
        <v>10828449</v>
      </c>
      <c r="B867" t="s">
        <v>22</v>
      </c>
      <c r="C867" s="1">
        <v>44109</v>
      </c>
      <c r="D867">
        <v>820000</v>
      </c>
      <c r="E867" t="s">
        <v>23</v>
      </c>
      <c r="F867">
        <v>1985</v>
      </c>
      <c r="G867">
        <v>2345</v>
      </c>
      <c r="H867" t="s">
        <v>375</v>
      </c>
      <c r="I867" t="str">
        <f t="shared" si="13"/>
        <v>25</v>
      </c>
      <c r="J867">
        <v>60026</v>
      </c>
      <c r="K867">
        <v>2913</v>
      </c>
      <c r="L867">
        <v>10</v>
      </c>
      <c r="M867">
        <v>3</v>
      </c>
      <c r="N867">
        <v>1</v>
      </c>
      <c r="O867" t="s">
        <v>41</v>
      </c>
      <c r="P867">
        <v>3</v>
      </c>
      <c r="Q867">
        <v>0</v>
      </c>
      <c r="R867" t="s">
        <v>26</v>
      </c>
      <c r="S867">
        <v>2</v>
      </c>
    </row>
    <row r="868" spans="1:22" x14ac:dyDescent="0.45">
      <c r="A868" t="str">
        <f>"10673865"</f>
        <v>10673865</v>
      </c>
      <c r="B868" t="s">
        <v>22</v>
      </c>
      <c r="C868" s="1">
        <v>44029</v>
      </c>
      <c r="D868">
        <v>820000</v>
      </c>
      <c r="E868" t="s">
        <v>60</v>
      </c>
      <c r="F868">
        <v>1953</v>
      </c>
      <c r="G868">
        <v>640</v>
      </c>
      <c r="H868" t="s">
        <v>151</v>
      </c>
      <c r="I868" t="str">
        <f t="shared" si="13"/>
        <v>25</v>
      </c>
      <c r="J868">
        <v>60025</v>
      </c>
      <c r="K868">
        <v>0</v>
      </c>
      <c r="L868">
        <v>12</v>
      </c>
      <c r="M868">
        <v>3</v>
      </c>
      <c r="N868">
        <v>0</v>
      </c>
      <c r="O868" t="s">
        <v>25</v>
      </c>
      <c r="P868">
        <v>4</v>
      </c>
      <c r="Q868">
        <v>0</v>
      </c>
      <c r="R868" t="s">
        <v>26</v>
      </c>
      <c r="S868">
        <v>2</v>
      </c>
      <c r="V868" t="s">
        <v>33</v>
      </c>
    </row>
    <row r="869" spans="1:22" x14ac:dyDescent="0.45">
      <c r="A869" t="str">
        <f>"10778250"</f>
        <v>10778250</v>
      </c>
      <c r="B869" t="s">
        <v>22</v>
      </c>
      <c r="C869" s="1">
        <v>44090</v>
      </c>
      <c r="D869">
        <v>822500</v>
      </c>
      <c r="E869" t="s">
        <v>60</v>
      </c>
      <c r="F869">
        <v>1969</v>
      </c>
      <c r="G869">
        <v>1519</v>
      </c>
      <c r="H869" t="s">
        <v>394</v>
      </c>
      <c r="I869" t="str">
        <f t="shared" si="13"/>
        <v>25</v>
      </c>
      <c r="J869">
        <v>60025</v>
      </c>
      <c r="K869">
        <v>0</v>
      </c>
      <c r="L869">
        <v>10</v>
      </c>
      <c r="M869">
        <v>3</v>
      </c>
      <c r="N869">
        <v>1</v>
      </c>
      <c r="O869" t="s">
        <v>41</v>
      </c>
      <c r="P869">
        <v>4</v>
      </c>
      <c r="Q869">
        <v>1</v>
      </c>
      <c r="R869" t="s">
        <v>26</v>
      </c>
      <c r="S869">
        <v>2</v>
      </c>
      <c r="V869" t="s">
        <v>67</v>
      </c>
    </row>
    <row r="870" spans="1:22" x14ac:dyDescent="0.45">
      <c r="A870" t="str">
        <f>"10167445"</f>
        <v>10167445</v>
      </c>
      <c r="B870" t="s">
        <v>22</v>
      </c>
      <c r="C870" s="1">
        <v>43635</v>
      </c>
      <c r="D870">
        <v>825000</v>
      </c>
      <c r="E870" t="s">
        <v>60</v>
      </c>
      <c r="F870">
        <v>2016</v>
      </c>
      <c r="G870">
        <v>2842</v>
      </c>
      <c r="H870" t="s">
        <v>380</v>
      </c>
      <c r="I870" t="str">
        <f t="shared" si="13"/>
        <v>25</v>
      </c>
      <c r="J870">
        <v>60026</v>
      </c>
      <c r="K870">
        <v>2800</v>
      </c>
      <c r="L870">
        <v>10</v>
      </c>
      <c r="M870">
        <v>3</v>
      </c>
      <c r="N870">
        <v>1</v>
      </c>
      <c r="O870" t="s">
        <v>25</v>
      </c>
      <c r="P870">
        <v>3</v>
      </c>
      <c r="Q870">
        <v>0</v>
      </c>
      <c r="R870" t="s">
        <v>26</v>
      </c>
      <c r="S870">
        <v>2</v>
      </c>
      <c r="V870" t="s">
        <v>67</v>
      </c>
    </row>
    <row r="871" spans="1:22" x14ac:dyDescent="0.45">
      <c r="A871" t="str">
        <f>"10136100"</f>
        <v>10136100</v>
      </c>
      <c r="B871" t="s">
        <v>22</v>
      </c>
      <c r="C871" s="1">
        <v>43608</v>
      </c>
      <c r="D871">
        <v>829000</v>
      </c>
      <c r="E871" t="s">
        <v>60</v>
      </c>
      <c r="F871">
        <v>2004</v>
      </c>
      <c r="G871">
        <v>1603</v>
      </c>
      <c r="H871" t="s">
        <v>90</v>
      </c>
      <c r="I871" t="str">
        <f t="shared" si="13"/>
        <v>25</v>
      </c>
      <c r="J871">
        <v>60025</v>
      </c>
      <c r="K871">
        <v>3600</v>
      </c>
      <c r="L871">
        <v>10</v>
      </c>
      <c r="M871">
        <v>4</v>
      </c>
      <c r="N871">
        <v>2</v>
      </c>
      <c r="O871" t="s">
        <v>41</v>
      </c>
      <c r="P871">
        <v>4</v>
      </c>
      <c r="Q871">
        <v>0</v>
      </c>
      <c r="R871" t="s">
        <v>26</v>
      </c>
      <c r="S871">
        <v>3</v>
      </c>
    </row>
    <row r="872" spans="1:22" x14ac:dyDescent="0.45">
      <c r="A872" t="str">
        <f>"10131691"</f>
        <v>10131691</v>
      </c>
      <c r="B872" t="s">
        <v>22</v>
      </c>
      <c r="C872" s="1">
        <v>43585</v>
      </c>
      <c r="D872">
        <v>830000</v>
      </c>
      <c r="E872" t="s">
        <v>60</v>
      </c>
      <c r="F872">
        <v>1952</v>
      </c>
      <c r="G872">
        <v>700</v>
      </c>
      <c r="H872" t="s">
        <v>77</v>
      </c>
      <c r="I872" t="str">
        <f t="shared" si="13"/>
        <v>25</v>
      </c>
      <c r="J872">
        <v>60025</v>
      </c>
      <c r="K872">
        <v>0</v>
      </c>
      <c r="L872">
        <v>12</v>
      </c>
      <c r="M872">
        <v>3</v>
      </c>
      <c r="N872">
        <v>1</v>
      </c>
      <c r="O872" t="s">
        <v>41</v>
      </c>
      <c r="P872">
        <v>4</v>
      </c>
      <c r="Q872">
        <v>1</v>
      </c>
      <c r="R872" t="s">
        <v>35</v>
      </c>
      <c r="S872">
        <v>2</v>
      </c>
      <c r="V872" t="s">
        <v>67</v>
      </c>
    </row>
    <row r="873" spans="1:22" x14ac:dyDescent="0.45">
      <c r="A873" t="str">
        <f>"10678237"</f>
        <v>10678237</v>
      </c>
      <c r="B873" t="s">
        <v>22</v>
      </c>
      <c r="C873" s="1">
        <v>44042</v>
      </c>
      <c r="D873">
        <v>830000</v>
      </c>
      <c r="E873" t="s">
        <v>60</v>
      </c>
      <c r="F873">
        <v>2005</v>
      </c>
      <c r="G873">
        <v>1415</v>
      </c>
      <c r="H873" t="s">
        <v>179</v>
      </c>
      <c r="I873" t="str">
        <f t="shared" si="13"/>
        <v>25</v>
      </c>
      <c r="J873">
        <v>60025</v>
      </c>
      <c r="K873">
        <v>3383</v>
      </c>
      <c r="L873">
        <v>13</v>
      </c>
      <c r="M873">
        <v>4</v>
      </c>
      <c r="N873">
        <v>1</v>
      </c>
      <c r="O873" t="s">
        <v>41</v>
      </c>
      <c r="P873">
        <v>4</v>
      </c>
      <c r="Q873">
        <v>1</v>
      </c>
      <c r="R873" t="s">
        <v>26</v>
      </c>
      <c r="S873">
        <v>2</v>
      </c>
      <c r="V873" t="s">
        <v>67</v>
      </c>
    </row>
    <row r="874" spans="1:22" x14ac:dyDescent="0.45">
      <c r="A874" t="str">
        <f>"10506223"</f>
        <v>10506223</v>
      </c>
      <c r="B874" t="s">
        <v>22</v>
      </c>
      <c r="C874" s="1">
        <v>43781</v>
      </c>
      <c r="D874">
        <v>832000</v>
      </c>
      <c r="E874" t="s">
        <v>60</v>
      </c>
      <c r="F874">
        <v>1984</v>
      </c>
      <c r="G874">
        <v>2351</v>
      </c>
      <c r="H874" t="s">
        <v>375</v>
      </c>
      <c r="I874" t="str">
        <f t="shared" si="13"/>
        <v>25</v>
      </c>
      <c r="J874">
        <v>60026</v>
      </c>
      <c r="K874">
        <v>3896</v>
      </c>
      <c r="L874">
        <v>13</v>
      </c>
      <c r="M874">
        <v>4</v>
      </c>
      <c r="N874">
        <v>1</v>
      </c>
      <c r="O874" t="s">
        <v>41</v>
      </c>
      <c r="P874">
        <v>5</v>
      </c>
      <c r="Q874">
        <v>0</v>
      </c>
      <c r="R874" t="s">
        <v>26</v>
      </c>
      <c r="S874">
        <v>2</v>
      </c>
      <c r="V874" t="s">
        <v>67</v>
      </c>
    </row>
    <row r="875" spans="1:22" x14ac:dyDescent="0.45">
      <c r="A875" t="str">
        <f>"10610606"</f>
        <v>10610606</v>
      </c>
      <c r="B875" t="s">
        <v>22</v>
      </c>
      <c r="C875" s="1">
        <v>43929</v>
      </c>
      <c r="D875">
        <v>835000</v>
      </c>
      <c r="E875" t="s">
        <v>60</v>
      </c>
      <c r="F875">
        <v>1949</v>
      </c>
      <c r="G875">
        <v>805</v>
      </c>
      <c r="H875" t="s">
        <v>395</v>
      </c>
      <c r="I875" t="str">
        <f t="shared" si="13"/>
        <v>25</v>
      </c>
      <c r="J875">
        <v>60025</v>
      </c>
      <c r="K875">
        <v>2616</v>
      </c>
      <c r="L875">
        <v>8</v>
      </c>
      <c r="M875">
        <v>3</v>
      </c>
      <c r="N875">
        <v>0</v>
      </c>
      <c r="O875" t="s">
        <v>25</v>
      </c>
      <c r="P875">
        <v>4</v>
      </c>
      <c r="Q875">
        <v>0</v>
      </c>
      <c r="R875" t="s">
        <v>26</v>
      </c>
      <c r="S875">
        <v>3</v>
      </c>
      <c r="V875" t="s">
        <v>27</v>
      </c>
    </row>
    <row r="876" spans="1:22" x14ac:dyDescent="0.45">
      <c r="A876" t="str">
        <f>"10802511"</f>
        <v>10802511</v>
      </c>
      <c r="B876" t="s">
        <v>22</v>
      </c>
      <c r="C876" s="1">
        <v>44151</v>
      </c>
      <c r="D876">
        <v>839000</v>
      </c>
      <c r="E876" t="s">
        <v>60</v>
      </c>
      <c r="F876">
        <v>2016</v>
      </c>
      <c r="G876">
        <v>2982</v>
      </c>
      <c r="H876" t="s">
        <v>380</v>
      </c>
      <c r="I876" t="str">
        <f t="shared" si="13"/>
        <v>25</v>
      </c>
      <c r="J876">
        <v>60026</v>
      </c>
      <c r="K876">
        <v>2625</v>
      </c>
      <c r="L876">
        <v>9</v>
      </c>
      <c r="M876">
        <v>2</v>
      </c>
      <c r="N876">
        <v>1</v>
      </c>
      <c r="O876" t="s">
        <v>25</v>
      </c>
      <c r="P876">
        <v>3</v>
      </c>
      <c r="Q876">
        <v>0</v>
      </c>
      <c r="R876" t="s">
        <v>26</v>
      </c>
      <c r="S876">
        <v>2</v>
      </c>
      <c r="U876">
        <v>1725</v>
      </c>
    </row>
    <row r="877" spans="1:22" x14ac:dyDescent="0.45">
      <c r="A877" t="str">
        <f>"10780199"</f>
        <v>10780199</v>
      </c>
      <c r="B877" t="s">
        <v>22</v>
      </c>
      <c r="C877" s="1">
        <v>44103</v>
      </c>
      <c r="D877">
        <v>840000</v>
      </c>
      <c r="E877" t="s">
        <v>60</v>
      </c>
      <c r="F877">
        <v>1959</v>
      </c>
      <c r="G877">
        <v>735</v>
      </c>
      <c r="H877" t="s">
        <v>68</v>
      </c>
      <c r="I877" t="str">
        <f t="shared" si="13"/>
        <v>25</v>
      </c>
      <c r="J877">
        <v>60025</v>
      </c>
      <c r="K877">
        <v>2500</v>
      </c>
      <c r="L877">
        <v>10</v>
      </c>
      <c r="M877">
        <v>2</v>
      </c>
      <c r="N877">
        <v>1</v>
      </c>
      <c r="O877" t="s">
        <v>25</v>
      </c>
      <c r="P877">
        <v>4</v>
      </c>
      <c r="Q877">
        <v>0</v>
      </c>
      <c r="R877" t="s">
        <v>26</v>
      </c>
      <c r="S877">
        <v>2</v>
      </c>
    </row>
    <row r="878" spans="1:22" x14ac:dyDescent="0.45">
      <c r="A878" t="str">
        <f>"10368985"</f>
        <v>10368985</v>
      </c>
      <c r="B878" t="s">
        <v>22</v>
      </c>
      <c r="C878" s="1">
        <v>43693</v>
      </c>
      <c r="D878">
        <v>840000</v>
      </c>
      <c r="E878" t="s">
        <v>60</v>
      </c>
      <c r="F878">
        <v>2019</v>
      </c>
      <c r="G878">
        <v>4635</v>
      </c>
      <c r="H878" t="s">
        <v>46</v>
      </c>
      <c r="I878" t="str">
        <f t="shared" si="13"/>
        <v>25</v>
      </c>
      <c r="J878">
        <v>60025</v>
      </c>
      <c r="K878">
        <v>3625</v>
      </c>
      <c r="L878">
        <v>12</v>
      </c>
      <c r="M878">
        <v>5</v>
      </c>
      <c r="N878">
        <v>0</v>
      </c>
      <c r="O878" t="s">
        <v>41</v>
      </c>
      <c r="P878">
        <v>5</v>
      </c>
      <c r="Q878">
        <v>1</v>
      </c>
      <c r="R878" t="s">
        <v>26</v>
      </c>
      <c r="S878">
        <v>2</v>
      </c>
      <c r="U878">
        <v>1825</v>
      </c>
      <c r="V878" t="s">
        <v>176</v>
      </c>
    </row>
    <row r="879" spans="1:22" x14ac:dyDescent="0.45">
      <c r="A879" t="str">
        <f>"10855311"</f>
        <v>10855311</v>
      </c>
      <c r="B879" t="s">
        <v>22</v>
      </c>
      <c r="C879" s="1">
        <v>44138</v>
      </c>
      <c r="D879">
        <v>840000</v>
      </c>
      <c r="E879" t="s">
        <v>60</v>
      </c>
      <c r="F879">
        <v>1988</v>
      </c>
      <c r="G879">
        <v>3339</v>
      </c>
      <c r="H879" t="s">
        <v>279</v>
      </c>
      <c r="I879" t="str">
        <f t="shared" si="13"/>
        <v>25</v>
      </c>
      <c r="J879">
        <v>60025</v>
      </c>
      <c r="K879">
        <v>4259</v>
      </c>
      <c r="L879">
        <v>12</v>
      </c>
      <c r="M879">
        <v>5</v>
      </c>
      <c r="N879">
        <v>1</v>
      </c>
      <c r="O879" t="s">
        <v>41</v>
      </c>
      <c r="P879">
        <v>5</v>
      </c>
      <c r="Q879">
        <v>0</v>
      </c>
      <c r="R879" t="s">
        <v>26</v>
      </c>
      <c r="S879">
        <v>3</v>
      </c>
      <c r="V879" t="s">
        <v>67</v>
      </c>
    </row>
    <row r="880" spans="1:22" x14ac:dyDescent="0.45">
      <c r="A880" t="str">
        <f>"10412782"</f>
        <v>10412782</v>
      </c>
      <c r="B880" t="s">
        <v>22</v>
      </c>
      <c r="C880" s="1">
        <v>43767</v>
      </c>
      <c r="D880">
        <v>841700</v>
      </c>
      <c r="E880" t="s">
        <v>23</v>
      </c>
      <c r="F880">
        <v>2019</v>
      </c>
      <c r="G880">
        <v>1032</v>
      </c>
      <c r="H880" t="s">
        <v>346</v>
      </c>
      <c r="I880" t="str">
        <f t="shared" si="13"/>
        <v>25</v>
      </c>
      <c r="J880">
        <v>60025</v>
      </c>
      <c r="K880">
        <v>3236</v>
      </c>
      <c r="L880">
        <v>9</v>
      </c>
      <c r="M880">
        <v>4</v>
      </c>
      <c r="N880">
        <v>0</v>
      </c>
      <c r="O880" t="s">
        <v>25</v>
      </c>
      <c r="P880">
        <v>4</v>
      </c>
      <c r="Q880">
        <v>0</v>
      </c>
      <c r="R880" t="s">
        <v>26</v>
      </c>
      <c r="S880">
        <v>2</v>
      </c>
      <c r="V880" t="s">
        <v>196</v>
      </c>
    </row>
    <row r="881" spans="1:22" x14ac:dyDescent="0.45">
      <c r="A881" t="str">
        <f>"10142211"</f>
        <v>10142211</v>
      </c>
      <c r="B881" t="s">
        <v>22</v>
      </c>
      <c r="C881" s="1">
        <v>43483</v>
      </c>
      <c r="D881">
        <v>845000</v>
      </c>
      <c r="E881" t="s">
        <v>60</v>
      </c>
      <c r="F881">
        <v>1995</v>
      </c>
      <c r="G881">
        <v>2111</v>
      </c>
      <c r="H881" t="s">
        <v>396</v>
      </c>
      <c r="I881" t="str">
        <f t="shared" si="13"/>
        <v>25</v>
      </c>
      <c r="J881">
        <v>60026</v>
      </c>
      <c r="K881">
        <v>3737</v>
      </c>
      <c r="L881">
        <v>12</v>
      </c>
      <c r="M881">
        <v>3</v>
      </c>
      <c r="N881">
        <v>1</v>
      </c>
      <c r="O881" t="s">
        <v>25</v>
      </c>
      <c r="P881">
        <v>4</v>
      </c>
      <c r="Q881">
        <v>0</v>
      </c>
      <c r="R881" t="s">
        <v>26</v>
      </c>
      <c r="S881">
        <v>3</v>
      </c>
      <c r="U881">
        <v>2038</v>
      </c>
    </row>
    <row r="882" spans="1:22" x14ac:dyDescent="0.45">
      <c r="A882" t="str">
        <f>"10429575"</f>
        <v>10429575</v>
      </c>
      <c r="B882" t="s">
        <v>22</v>
      </c>
      <c r="C882" s="1">
        <v>43700</v>
      </c>
      <c r="D882">
        <v>847000</v>
      </c>
      <c r="E882" t="s">
        <v>60</v>
      </c>
      <c r="F882">
        <v>2001</v>
      </c>
      <c r="G882">
        <v>1140</v>
      </c>
      <c r="H882" t="s">
        <v>122</v>
      </c>
      <c r="I882" t="str">
        <f t="shared" si="13"/>
        <v>25</v>
      </c>
      <c r="J882">
        <v>60025</v>
      </c>
      <c r="K882">
        <v>3367</v>
      </c>
      <c r="L882">
        <v>12</v>
      </c>
      <c r="M882">
        <v>4</v>
      </c>
      <c r="N882">
        <v>1</v>
      </c>
      <c r="O882" t="s">
        <v>41</v>
      </c>
      <c r="P882">
        <v>4</v>
      </c>
      <c r="Q882">
        <v>1</v>
      </c>
      <c r="R882" t="s">
        <v>26</v>
      </c>
      <c r="S882">
        <v>2.5</v>
      </c>
      <c r="T882">
        <v>4</v>
      </c>
      <c r="V882" t="s">
        <v>67</v>
      </c>
    </row>
    <row r="883" spans="1:22" x14ac:dyDescent="0.45">
      <c r="A883" t="str">
        <f>"10363557"</f>
        <v>10363557</v>
      </c>
      <c r="B883" t="s">
        <v>22</v>
      </c>
      <c r="C883" s="1">
        <v>43699</v>
      </c>
      <c r="D883">
        <v>849000</v>
      </c>
      <c r="E883" t="s">
        <v>23</v>
      </c>
      <c r="F883">
        <v>1954</v>
      </c>
      <c r="G883">
        <v>708</v>
      </c>
      <c r="H883" t="s">
        <v>335</v>
      </c>
      <c r="I883" t="str">
        <f t="shared" si="13"/>
        <v>25</v>
      </c>
      <c r="J883">
        <v>60025</v>
      </c>
      <c r="K883">
        <v>0</v>
      </c>
      <c r="L883">
        <v>8</v>
      </c>
      <c r="M883">
        <v>2</v>
      </c>
      <c r="N883">
        <v>1</v>
      </c>
      <c r="O883" t="s">
        <v>25</v>
      </c>
      <c r="P883">
        <v>3</v>
      </c>
      <c r="Q883">
        <v>0</v>
      </c>
      <c r="R883" t="s">
        <v>26</v>
      </c>
      <c r="S883">
        <v>2.1</v>
      </c>
      <c r="V883" t="s">
        <v>27</v>
      </c>
    </row>
    <row r="884" spans="1:22" x14ac:dyDescent="0.45">
      <c r="A884" t="str">
        <f>"10612744"</f>
        <v>10612744</v>
      </c>
      <c r="B884" t="s">
        <v>22</v>
      </c>
      <c r="C884" s="1">
        <v>43900</v>
      </c>
      <c r="D884">
        <v>849000</v>
      </c>
      <c r="E884" t="s">
        <v>60</v>
      </c>
      <c r="F884">
        <v>2001</v>
      </c>
      <c r="G884">
        <v>2201</v>
      </c>
      <c r="H884" t="s">
        <v>397</v>
      </c>
      <c r="I884" t="str">
        <f t="shared" si="13"/>
        <v>25</v>
      </c>
      <c r="J884">
        <v>60026</v>
      </c>
      <c r="K884">
        <v>3013</v>
      </c>
      <c r="L884">
        <v>12</v>
      </c>
      <c r="M884">
        <v>3</v>
      </c>
      <c r="N884">
        <v>1</v>
      </c>
      <c r="O884" t="s">
        <v>41</v>
      </c>
      <c r="P884">
        <v>4</v>
      </c>
      <c r="Q884">
        <v>1</v>
      </c>
      <c r="R884" t="s">
        <v>26</v>
      </c>
      <c r="S884">
        <v>2</v>
      </c>
      <c r="V884" t="s">
        <v>67</v>
      </c>
    </row>
    <row r="885" spans="1:22" x14ac:dyDescent="0.45">
      <c r="A885" t="str">
        <f>"10354183"</f>
        <v>10354183</v>
      </c>
      <c r="B885" t="s">
        <v>22</v>
      </c>
      <c r="C885" s="1">
        <v>43644</v>
      </c>
      <c r="D885">
        <v>850000</v>
      </c>
      <c r="E885" t="s">
        <v>60</v>
      </c>
      <c r="F885">
        <v>1984</v>
      </c>
      <c r="G885">
        <v>2406</v>
      </c>
      <c r="H885" t="s">
        <v>330</v>
      </c>
      <c r="I885" t="str">
        <f t="shared" si="13"/>
        <v>25</v>
      </c>
      <c r="J885">
        <v>60026</v>
      </c>
      <c r="K885">
        <v>3319</v>
      </c>
      <c r="L885">
        <v>11</v>
      </c>
      <c r="M885">
        <v>3</v>
      </c>
      <c r="N885">
        <v>1</v>
      </c>
      <c r="O885" t="s">
        <v>41</v>
      </c>
      <c r="P885">
        <v>4</v>
      </c>
      <c r="Q885">
        <v>1</v>
      </c>
      <c r="R885" t="s">
        <v>26</v>
      </c>
      <c r="S885">
        <v>2</v>
      </c>
    </row>
    <row r="886" spans="1:22" x14ac:dyDescent="0.45">
      <c r="A886" t="str">
        <f>"10807725"</f>
        <v>10807725</v>
      </c>
      <c r="B886" t="s">
        <v>22</v>
      </c>
      <c r="C886" s="1">
        <v>44105</v>
      </c>
      <c r="D886">
        <v>850000</v>
      </c>
      <c r="E886" t="s">
        <v>60</v>
      </c>
      <c r="F886">
        <v>2005</v>
      </c>
      <c r="G886">
        <v>1821</v>
      </c>
      <c r="H886" t="s">
        <v>368</v>
      </c>
      <c r="I886" t="str">
        <f t="shared" si="13"/>
        <v>25</v>
      </c>
      <c r="J886">
        <v>60025</v>
      </c>
      <c r="K886">
        <v>3109</v>
      </c>
      <c r="L886">
        <v>12</v>
      </c>
      <c r="M886">
        <v>3</v>
      </c>
      <c r="N886">
        <v>1</v>
      </c>
      <c r="O886" t="s">
        <v>41</v>
      </c>
      <c r="P886">
        <v>4</v>
      </c>
      <c r="Q886">
        <v>0</v>
      </c>
      <c r="R886" t="s">
        <v>26</v>
      </c>
      <c r="S886">
        <v>2</v>
      </c>
      <c r="V886" t="s">
        <v>67</v>
      </c>
    </row>
    <row r="887" spans="1:22" x14ac:dyDescent="0.45">
      <c r="A887" t="str">
        <f>"10333120"</f>
        <v>10333120</v>
      </c>
      <c r="B887" t="s">
        <v>22</v>
      </c>
      <c r="C887" s="1">
        <v>43595</v>
      </c>
      <c r="D887">
        <v>850000</v>
      </c>
      <c r="E887" t="s">
        <v>60</v>
      </c>
      <c r="F887">
        <v>2019</v>
      </c>
      <c r="G887">
        <v>235</v>
      </c>
      <c r="H887" t="s">
        <v>79</v>
      </c>
      <c r="I887" t="str">
        <f t="shared" si="13"/>
        <v>25</v>
      </c>
      <c r="J887">
        <v>60025</v>
      </c>
      <c r="K887">
        <v>0</v>
      </c>
      <c r="L887">
        <v>8</v>
      </c>
      <c r="M887">
        <v>3</v>
      </c>
      <c r="N887">
        <v>1</v>
      </c>
      <c r="O887" t="s">
        <v>41</v>
      </c>
      <c r="P887">
        <v>4</v>
      </c>
      <c r="Q887">
        <v>0</v>
      </c>
      <c r="R887" t="s">
        <v>26</v>
      </c>
      <c r="S887">
        <v>2</v>
      </c>
    </row>
    <row r="888" spans="1:22" x14ac:dyDescent="0.45">
      <c r="A888" t="str">
        <f>"10609146"</f>
        <v>10609146</v>
      </c>
      <c r="B888" t="s">
        <v>22</v>
      </c>
      <c r="C888" s="1">
        <v>43938</v>
      </c>
      <c r="D888">
        <v>850000</v>
      </c>
      <c r="E888" t="s">
        <v>60</v>
      </c>
      <c r="F888">
        <v>2019</v>
      </c>
      <c r="G888">
        <v>4135</v>
      </c>
      <c r="H888" t="s">
        <v>398</v>
      </c>
      <c r="I888" t="str">
        <f t="shared" si="13"/>
        <v>25</v>
      </c>
      <c r="J888">
        <v>60026</v>
      </c>
      <c r="K888">
        <v>4659</v>
      </c>
      <c r="L888">
        <v>10</v>
      </c>
      <c r="M888">
        <v>4</v>
      </c>
      <c r="N888">
        <v>1</v>
      </c>
      <c r="O888" t="s">
        <v>25</v>
      </c>
      <c r="P888">
        <v>5</v>
      </c>
      <c r="Q888">
        <v>0</v>
      </c>
      <c r="R888" t="s">
        <v>26</v>
      </c>
      <c r="S888">
        <v>3</v>
      </c>
    </row>
    <row r="889" spans="1:22" x14ac:dyDescent="0.45">
      <c r="A889" t="str">
        <f>"10862721"</f>
        <v>10862721</v>
      </c>
      <c r="B889" t="s">
        <v>22</v>
      </c>
      <c r="C889" s="1">
        <v>44172</v>
      </c>
      <c r="D889">
        <v>852000</v>
      </c>
      <c r="E889" t="s">
        <v>60</v>
      </c>
      <c r="F889">
        <v>2000</v>
      </c>
      <c r="G889">
        <v>1315</v>
      </c>
      <c r="H889" t="s">
        <v>322</v>
      </c>
      <c r="I889" t="str">
        <f t="shared" si="13"/>
        <v>25</v>
      </c>
      <c r="J889">
        <v>60025</v>
      </c>
      <c r="K889">
        <v>3891</v>
      </c>
      <c r="L889">
        <v>11</v>
      </c>
      <c r="M889">
        <v>5</v>
      </c>
      <c r="N889">
        <v>1</v>
      </c>
      <c r="O889" t="s">
        <v>41</v>
      </c>
      <c r="P889">
        <v>5</v>
      </c>
      <c r="Q889">
        <v>0</v>
      </c>
      <c r="R889" t="s">
        <v>26</v>
      </c>
      <c r="S889">
        <v>2</v>
      </c>
    </row>
    <row r="890" spans="1:22" x14ac:dyDescent="0.45">
      <c r="A890" t="str">
        <f>"10703295"</f>
        <v>10703295</v>
      </c>
      <c r="B890" t="s">
        <v>22</v>
      </c>
      <c r="C890" s="1">
        <v>44005</v>
      </c>
      <c r="D890">
        <v>852500</v>
      </c>
      <c r="E890" t="s">
        <v>60</v>
      </c>
      <c r="F890">
        <v>2001</v>
      </c>
      <c r="G890">
        <v>2183</v>
      </c>
      <c r="H890" t="s">
        <v>399</v>
      </c>
      <c r="I890" t="str">
        <f t="shared" si="13"/>
        <v>25</v>
      </c>
      <c r="J890">
        <v>60026</v>
      </c>
      <c r="K890">
        <v>3013</v>
      </c>
      <c r="L890">
        <v>14</v>
      </c>
      <c r="M890">
        <v>3</v>
      </c>
      <c r="N890">
        <v>1</v>
      </c>
      <c r="O890" t="s">
        <v>41</v>
      </c>
      <c r="P890">
        <v>5</v>
      </c>
      <c r="Q890">
        <v>1</v>
      </c>
      <c r="R890" t="s">
        <v>26</v>
      </c>
      <c r="S890">
        <v>2</v>
      </c>
      <c r="V890" t="s">
        <v>67</v>
      </c>
    </row>
    <row r="891" spans="1:22" x14ac:dyDescent="0.45">
      <c r="A891" t="str">
        <f>"10331815"</f>
        <v>10331815</v>
      </c>
      <c r="B891" t="s">
        <v>22</v>
      </c>
      <c r="C891" s="1">
        <v>43938</v>
      </c>
      <c r="D891">
        <v>852500</v>
      </c>
      <c r="E891" t="s">
        <v>60</v>
      </c>
      <c r="F891">
        <v>2017</v>
      </c>
      <c r="G891">
        <v>1066</v>
      </c>
      <c r="H891" t="s">
        <v>346</v>
      </c>
      <c r="I891" t="str">
        <f t="shared" si="13"/>
        <v>25</v>
      </c>
      <c r="J891">
        <v>60025</v>
      </c>
      <c r="K891">
        <v>3279</v>
      </c>
      <c r="L891">
        <v>13</v>
      </c>
      <c r="M891">
        <v>5</v>
      </c>
      <c r="N891">
        <v>0</v>
      </c>
      <c r="O891" t="s">
        <v>41</v>
      </c>
      <c r="P891">
        <v>4</v>
      </c>
      <c r="Q891">
        <v>1</v>
      </c>
      <c r="R891" t="s">
        <v>26</v>
      </c>
      <c r="S891">
        <v>2</v>
      </c>
      <c r="V891" t="s">
        <v>196</v>
      </c>
    </row>
    <row r="892" spans="1:22" x14ac:dyDescent="0.45">
      <c r="A892" t="str">
        <f>"10363190"</f>
        <v>10363190</v>
      </c>
      <c r="B892" t="s">
        <v>22</v>
      </c>
      <c r="C892" s="1">
        <v>43644</v>
      </c>
      <c r="D892">
        <v>855000</v>
      </c>
      <c r="E892" t="s">
        <v>60</v>
      </c>
      <c r="F892">
        <v>1957</v>
      </c>
      <c r="G892">
        <v>916</v>
      </c>
      <c r="H892" t="s">
        <v>278</v>
      </c>
      <c r="I892" t="str">
        <f t="shared" si="13"/>
        <v>25</v>
      </c>
      <c r="J892">
        <v>60025</v>
      </c>
      <c r="K892">
        <v>2570</v>
      </c>
      <c r="L892">
        <v>8</v>
      </c>
      <c r="M892">
        <v>4</v>
      </c>
      <c r="N892">
        <v>0</v>
      </c>
      <c r="P892">
        <v>4</v>
      </c>
      <c r="Q892">
        <v>0</v>
      </c>
      <c r="R892" t="s">
        <v>26</v>
      </c>
      <c r="S892">
        <v>2</v>
      </c>
    </row>
    <row r="893" spans="1:22" x14ac:dyDescent="0.45">
      <c r="A893" t="str">
        <f>"10813352"</f>
        <v>10813352</v>
      </c>
      <c r="B893" t="s">
        <v>22</v>
      </c>
      <c r="C893" s="1">
        <v>44132</v>
      </c>
      <c r="D893">
        <v>855000</v>
      </c>
      <c r="E893" t="s">
        <v>60</v>
      </c>
      <c r="F893">
        <v>2007</v>
      </c>
      <c r="G893">
        <v>1347</v>
      </c>
      <c r="H893" t="s">
        <v>193</v>
      </c>
      <c r="I893" t="str">
        <f t="shared" si="13"/>
        <v>25</v>
      </c>
      <c r="J893">
        <v>60026</v>
      </c>
      <c r="K893">
        <v>3288</v>
      </c>
      <c r="L893">
        <v>11</v>
      </c>
      <c r="M893">
        <v>4</v>
      </c>
      <c r="N893">
        <v>1</v>
      </c>
      <c r="O893" t="s">
        <v>25</v>
      </c>
      <c r="P893">
        <v>4</v>
      </c>
      <c r="Q893">
        <v>0</v>
      </c>
      <c r="R893" t="s">
        <v>26</v>
      </c>
      <c r="S893">
        <v>3</v>
      </c>
      <c r="U893">
        <v>1650</v>
      </c>
      <c r="V893" t="s">
        <v>67</v>
      </c>
    </row>
    <row r="894" spans="1:22" x14ac:dyDescent="0.45">
      <c r="A894" t="str">
        <f>"10550704"</f>
        <v>10550704</v>
      </c>
      <c r="B894" t="s">
        <v>22</v>
      </c>
      <c r="C894" s="1">
        <v>43931</v>
      </c>
      <c r="D894">
        <v>857500</v>
      </c>
      <c r="E894" t="s">
        <v>60</v>
      </c>
      <c r="F894">
        <v>2008</v>
      </c>
      <c r="G894">
        <v>3117</v>
      </c>
      <c r="H894" t="s">
        <v>279</v>
      </c>
      <c r="I894" t="str">
        <f t="shared" si="13"/>
        <v>25</v>
      </c>
      <c r="J894">
        <v>60025</v>
      </c>
      <c r="K894">
        <v>4050</v>
      </c>
      <c r="L894">
        <v>13</v>
      </c>
      <c r="M894">
        <v>4</v>
      </c>
      <c r="N894">
        <v>1</v>
      </c>
      <c r="O894" t="s">
        <v>41</v>
      </c>
      <c r="P894">
        <v>4</v>
      </c>
      <c r="Q894">
        <v>1</v>
      </c>
      <c r="R894" t="s">
        <v>26</v>
      </c>
      <c r="S894">
        <v>2</v>
      </c>
      <c r="U894">
        <v>1400</v>
      </c>
      <c r="V894" t="s">
        <v>333</v>
      </c>
    </row>
    <row r="895" spans="1:22" x14ac:dyDescent="0.45">
      <c r="A895" t="str">
        <f>"10342621"</f>
        <v>10342621</v>
      </c>
      <c r="B895" t="s">
        <v>22</v>
      </c>
      <c r="C895" s="1">
        <v>43644</v>
      </c>
      <c r="D895">
        <v>860000</v>
      </c>
      <c r="E895" t="s">
        <v>60</v>
      </c>
      <c r="F895">
        <v>2005</v>
      </c>
      <c r="G895">
        <v>2725</v>
      </c>
      <c r="H895" t="s">
        <v>400</v>
      </c>
      <c r="I895" t="str">
        <f t="shared" si="13"/>
        <v>25</v>
      </c>
      <c r="J895">
        <v>60025</v>
      </c>
      <c r="K895">
        <v>3773</v>
      </c>
      <c r="L895">
        <v>12</v>
      </c>
      <c r="M895">
        <v>4</v>
      </c>
      <c r="N895">
        <v>1</v>
      </c>
      <c r="O895" t="s">
        <v>41</v>
      </c>
      <c r="P895">
        <v>3</v>
      </c>
      <c r="Q895">
        <v>1</v>
      </c>
      <c r="R895" t="s">
        <v>26</v>
      </c>
      <c r="S895">
        <v>2</v>
      </c>
    </row>
    <row r="896" spans="1:22" x14ac:dyDescent="0.45">
      <c r="A896" t="str">
        <f>"10172754"</f>
        <v>10172754</v>
      </c>
      <c r="B896" t="s">
        <v>22</v>
      </c>
      <c r="C896" s="1">
        <v>43656</v>
      </c>
      <c r="D896">
        <v>860000</v>
      </c>
      <c r="E896" t="s">
        <v>60</v>
      </c>
      <c r="F896">
        <v>1953</v>
      </c>
      <c r="G896">
        <v>717</v>
      </c>
      <c r="H896" t="s">
        <v>68</v>
      </c>
      <c r="I896" t="str">
        <f t="shared" si="13"/>
        <v>25</v>
      </c>
      <c r="J896">
        <v>60025</v>
      </c>
      <c r="K896">
        <v>3457</v>
      </c>
      <c r="L896">
        <v>14</v>
      </c>
      <c r="M896">
        <v>3</v>
      </c>
      <c r="N896">
        <v>1</v>
      </c>
      <c r="O896" t="s">
        <v>25</v>
      </c>
      <c r="P896">
        <v>5</v>
      </c>
      <c r="Q896">
        <v>0</v>
      </c>
      <c r="R896" t="s">
        <v>26</v>
      </c>
      <c r="S896">
        <v>3</v>
      </c>
      <c r="U896">
        <v>0</v>
      </c>
      <c r="V896" t="s">
        <v>67</v>
      </c>
    </row>
    <row r="897" spans="1:22" x14ac:dyDescent="0.45">
      <c r="A897" t="str">
        <f>"10817270"</f>
        <v>10817270</v>
      </c>
      <c r="B897" t="s">
        <v>22</v>
      </c>
      <c r="C897" s="1">
        <v>44109</v>
      </c>
      <c r="D897">
        <v>860000</v>
      </c>
      <c r="E897" t="s">
        <v>60</v>
      </c>
      <c r="F897">
        <v>2016</v>
      </c>
      <c r="G897">
        <v>2966</v>
      </c>
      <c r="H897" t="s">
        <v>380</v>
      </c>
      <c r="I897" t="str">
        <f t="shared" si="13"/>
        <v>25</v>
      </c>
      <c r="J897">
        <v>60026</v>
      </c>
      <c r="K897">
        <v>2625</v>
      </c>
      <c r="L897">
        <v>8</v>
      </c>
      <c r="M897">
        <v>2</v>
      </c>
      <c r="N897">
        <v>1</v>
      </c>
      <c r="O897" t="s">
        <v>25</v>
      </c>
      <c r="P897">
        <v>3</v>
      </c>
      <c r="Q897">
        <v>0</v>
      </c>
      <c r="R897" t="s">
        <v>26</v>
      </c>
      <c r="S897">
        <v>2</v>
      </c>
    </row>
    <row r="898" spans="1:22" x14ac:dyDescent="0.45">
      <c r="A898" t="str">
        <f>"10705703"</f>
        <v>10705703</v>
      </c>
      <c r="B898" t="s">
        <v>22</v>
      </c>
      <c r="C898" s="1">
        <v>44120</v>
      </c>
      <c r="D898">
        <v>860000</v>
      </c>
      <c r="E898" t="s">
        <v>148</v>
      </c>
      <c r="F898">
        <v>1958</v>
      </c>
      <c r="G898">
        <v>1225</v>
      </c>
      <c r="H898" t="s">
        <v>44</v>
      </c>
      <c r="I898" t="str">
        <f t="shared" ref="I898:I961" si="14">"25"</f>
        <v>25</v>
      </c>
      <c r="J898">
        <v>60025</v>
      </c>
      <c r="K898">
        <v>3500</v>
      </c>
      <c r="L898">
        <v>8</v>
      </c>
      <c r="M898">
        <v>4</v>
      </c>
      <c r="N898">
        <v>1</v>
      </c>
      <c r="O898" t="s">
        <v>41</v>
      </c>
      <c r="P898">
        <v>4</v>
      </c>
      <c r="Q898">
        <v>0</v>
      </c>
      <c r="R898" t="s">
        <v>26</v>
      </c>
      <c r="S898">
        <v>2</v>
      </c>
    </row>
    <row r="899" spans="1:22" x14ac:dyDescent="0.45">
      <c r="A899" t="str">
        <f>"10622047"</f>
        <v>10622047</v>
      </c>
      <c r="B899" t="s">
        <v>22</v>
      </c>
      <c r="C899" s="1">
        <v>43938</v>
      </c>
      <c r="D899">
        <v>861000</v>
      </c>
      <c r="E899" t="s">
        <v>60</v>
      </c>
      <c r="F899">
        <v>2001</v>
      </c>
      <c r="G899">
        <v>2217</v>
      </c>
      <c r="H899" t="s">
        <v>399</v>
      </c>
      <c r="I899" t="str">
        <f t="shared" si="14"/>
        <v>25</v>
      </c>
      <c r="J899">
        <v>60026</v>
      </c>
      <c r="K899">
        <v>3491</v>
      </c>
      <c r="L899">
        <v>10</v>
      </c>
      <c r="M899">
        <v>4</v>
      </c>
      <c r="N899">
        <v>1</v>
      </c>
      <c r="O899" t="s">
        <v>41</v>
      </c>
      <c r="P899">
        <v>5</v>
      </c>
      <c r="Q899">
        <v>0</v>
      </c>
      <c r="R899" t="s">
        <v>26</v>
      </c>
      <c r="S899">
        <v>2</v>
      </c>
      <c r="U899">
        <v>1332</v>
      </c>
      <c r="V899" t="s">
        <v>47</v>
      </c>
    </row>
    <row r="900" spans="1:22" x14ac:dyDescent="0.45">
      <c r="A900" t="str">
        <f>"10764781"</f>
        <v>10764781</v>
      </c>
      <c r="B900" t="s">
        <v>22</v>
      </c>
      <c r="C900" s="1">
        <v>44134</v>
      </c>
      <c r="D900">
        <v>863380</v>
      </c>
      <c r="E900" t="s">
        <v>60</v>
      </c>
      <c r="F900">
        <v>2005</v>
      </c>
      <c r="G900">
        <v>612</v>
      </c>
      <c r="H900" t="s">
        <v>401</v>
      </c>
      <c r="I900" t="str">
        <f t="shared" si="14"/>
        <v>25</v>
      </c>
      <c r="J900">
        <v>60025</v>
      </c>
      <c r="K900">
        <v>3800</v>
      </c>
      <c r="L900">
        <v>10</v>
      </c>
      <c r="M900">
        <v>3</v>
      </c>
      <c r="N900">
        <v>1</v>
      </c>
      <c r="O900" t="s">
        <v>41</v>
      </c>
      <c r="P900">
        <v>4</v>
      </c>
      <c r="Q900">
        <v>1</v>
      </c>
      <c r="R900" t="s">
        <v>26</v>
      </c>
      <c r="S900">
        <v>2</v>
      </c>
      <c r="V900" t="s">
        <v>67</v>
      </c>
    </row>
    <row r="901" spans="1:22" x14ac:dyDescent="0.45">
      <c r="A901" t="str">
        <f>"10475144"</f>
        <v>10475144</v>
      </c>
      <c r="B901" t="s">
        <v>22</v>
      </c>
      <c r="C901" s="1">
        <v>43825</v>
      </c>
      <c r="D901">
        <v>865000</v>
      </c>
      <c r="E901" t="s">
        <v>60</v>
      </c>
      <c r="F901">
        <v>2001</v>
      </c>
      <c r="G901">
        <v>1532</v>
      </c>
      <c r="H901" t="s">
        <v>402</v>
      </c>
      <c r="I901" t="str">
        <f t="shared" si="14"/>
        <v>25</v>
      </c>
      <c r="J901">
        <v>60026</v>
      </c>
      <c r="K901">
        <v>2931</v>
      </c>
      <c r="L901">
        <v>12</v>
      </c>
      <c r="M901">
        <v>3</v>
      </c>
      <c r="N901">
        <v>1</v>
      </c>
      <c r="O901" t="s">
        <v>41</v>
      </c>
      <c r="P901">
        <v>4</v>
      </c>
      <c r="Q901">
        <v>1</v>
      </c>
      <c r="R901" t="s">
        <v>26</v>
      </c>
      <c r="S901">
        <v>2</v>
      </c>
      <c r="V901" t="s">
        <v>67</v>
      </c>
    </row>
    <row r="902" spans="1:22" x14ac:dyDescent="0.45">
      <c r="A902" t="str">
        <f>"10260526"</f>
        <v>10260526</v>
      </c>
      <c r="B902" t="s">
        <v>22</v>
      </c>
      <c r="C902" s="1">
        <v>43556</v>
      </c>
      <c r="D902">
        <v>865000</v>
      </c>
      <c r="E902" t="s">
        <v>60</v>
      </c>
      <c r="F902">
        <v>2001</v>
      </c>
      <c r="G902">
        <v>2100</v>
      </c>
      <c r="H902" t="s">
        <v>376</v>
      </c>
      <c r="I902" t="str">
        <f t="shared" si="14"/>
        <v>25</v>
      </c>
      <c r="J902">
        <v>60026</v>
      </c>
      <c r="K902">
        <v>3354</v>
      </c>
      <c r="L902">
        <v>12</v>
      </c>
      <c r="M902">
        <v>3</v>
      </c>
      <c r="N902">
        <v>1</v>
      </c>
      <c r="O902" t="s">
        <v>41</v>
      </c>
      <c r="P902">
        <v>4</v>
      </c>
      <c r="Q902">
        <v>1</v>
      </c>
      <c r="R902" t="s">
        <v>26</v>
      </c>
      <c r="S902">
        <v>2</v>
      </c>
      <c r="V902" t="s">
        <v>67</v>
      </c>
    </row>
    <row r="903" spans="1:22" x14ac:dyDescent="0.45">
      <c r="A903" t="str">
        <f>"10726739"</f>
        <v>10726739</v>
      </c>
      <c r="B903" t="s">
        <v>22</v>
      </c>
      <c r="C903" s="1">
        <v>44028</v>
      </c>
      <c r="D903">
        <v>868000</v>
      </c>
      <c r="E903" t="s">
        <v>60</v>
      </c>
      <c r="F903">
        <v>2004</v>
      </c>
      <c r="G903">
        <v>1625</v>
      </c>
      <c r="H903" t="s">
        <v>267</v>
      </c>
      <c r="I903" t="str">
        <f t="shared" si="14"/>
        <v>25</v>
      </c>
      <c r="J903">
        <v>60025</v>
      </c>
      <c r="K903">
        <v>4437</v>
      </c>
      <c r="L903">
        <v>12</v>
      </c>
      <c r="M903">
        <v>4</v>
      </c>
      <c r="N903">
        <v>1</v>
      </c>
      <c r="O903" t="s">
        <v>41</v>
      </c>
      <c r="P903">
        <v>5</v>
      </c>
      <c r="Q903">
        <v>0</v>
      </c>
      <c r="R903" t="s">
        <v>26</v>
      </c>
      <c r="S903">
        <v>3</v>
      </c>
      <c r="U903">
        <v>1200</v>
      </c>
    </row>
    <row r="904" spans="1:22" x14ac:dyDescent="0.45">
      <c r="A904" t="str">
        <f>"10578200"</f>
        <v>10578200</v>
      </c>
      <c r="B904" t="s">
        <v>22</v>
      </c>
      <c r="C904" s="1">
        <v>43860</v>
      </c>
      <c r="D904">
        <v>870000</v>
      </c>
      <c r="E904" t="s">
        <v>60</v>
      </c>
      <c r="F904">
        <v>1960</v>
      </c>
      <c r="G904">
        <v>1022</v>
      </c>
      <c r="H904" t="s">
        <v>261</v>
      </c>
      <c r="I904" t="str">
        <f t="shared" si="14"/>
        <v>25</v>
      </c>
      <c r="J904">
        <v>60025</v>
      </c>
      <c r="K904">
        <v>3292</v>
      </c>
      <c r="L904">
        <v>11</v>
      </c>
      <c r="M904">
        <v>3</v>
      </c>
      <c r="N904">
        <v>1</v>
      </c>
      <c r="O904" t="s">
        <v>41</v>
      </c>
      <c r="P904">
        <v>4</v>
      </c>
      <c r="Q904">
        <v>0</v>
      </c>
      <c r="R904" t="s">
        <v>26</v>
      </c>
      <c r="S904">
        <v>2</v>
      </c>
    </row>
    <row r="905" spans="1:22" x14ac:dyDescent="0.45">
      <c r="A905" t="str">
        <f>"10167389"</f>
        <v>10167389</v>
      </c>
      <c r="B905" t="s">
        <v>22</v>
      </c>
      <c r="C905" s="1">
        <v>43556</v>
      </c>
      <c r="D905">
        <v>870000</v>
      </c>
      <c r="E905" t="s">
        <v>74</v>
      </c>
      <c r="F905">
        <v>1956</v>
      </c>
      <c r="G905">
        <v>921</v>
      </c>
      <c r="H905" t="s">
        <v>403</v>
      </c>
      <c r="I905" t="str">
        <f t="shared" si="14"/>
        <v>25</v>
      </c>
      <c r="J905">
        <v>60025</v>
      </c>
      <c r="K905">
        <v>0</v>
      </c>
      <c r="L905">
        <v>11</v>
      </c>
      <c r="M905">
        <v>3</v>
      </c>
      <c r="N905">
        <v>1</v>
      </c>
      <c r="O905" t="s">
        <v>25</v>
      </c>
      <c r="P905">
        <v>4</v>
      </c>
      <c r="Q905">
        <v>0</v>
      </c>
      <c r="R905" t="s">
        <v>26</v>
      </c>
      <c r="S905">
        <v>2</v>
      </c>
    </row>
    <row r="906" spans="1:22" x14ac:dyDescent="0.45">
      <c r="A906" t="str">
        <f>"10779023"</f>
        <v>10779023</v>
      </c>
      <c r="B906" t="s">
        <v>22</v>
      </c>
      <c r="C906" s="1">
        <v>44070</v>
      </c>
      <c r="D906">
        <v>870000</v>
      </c>
      <c r="E906" t="s">
        <v>60</v>
      </c>
      <c r="F906">
        <v>2001</v>
      </c>
      <c r="G906">
        <v>1464</v>
      </c>
      <c r="H906" t="s">
        <v>404</v>
      </c>
      <c r="I906" t="str">
        <f t="shared" si="14"/>
        <v>25</v>
      </c>
      <c r="J906">
        <v>60026</v>
      </c>
      <c r="K906">
        <v>3240</v>
      </c>
      <c r="L906">
        <v>12</v>
      </c>
      <c r="M906">
        <v>3</v>
      </c>
      <c r="N906">
        <v>0</v>
      </c>
      <c r="O906" t="s">
        <v>25</v>
      </c>
      <c r="P906">
        <v>4</v>
      </c>
      <c r="Q906">
        <v>1</v>
      </c>
      <c r="R906" t="s">
        <v>26</v>
      </c>
      <c r="S906">
        <v>2</v>
      </c>
      <c r="U906">
        <v>2000</v>
      </c>
    </row>
    <row r="907" spans="1:22" x14ac:dyDescent="0.45">
      <c r="A907" t="str">
        <f>"10646246"</f>
        <v>10646246</v>
      </c>
      <c r="B907" t="s">
        <v>22</v>
      </c>
      <c r="C907" s="1">
        <v>44067</v>
      </c>
      <c r="D907">
        <v>871623</v>
      </c>
      <c r="E907" t="s">
        <v>60</v>
      </c>
      <c r="F907">
        <v>2020</v>
      </c>
      <c r="G907">
        <v>1068</v>
      </c>
      <c r="H907" t="s">
        <v>346</v>
      </c>
      <c r="I907" t="str">
        <f t="shared" si="14"/>
        <v>25</v>
      </c>
      <c r="J907">
        <v>60025</v>
      </c>
      <c r="K907">
        <v>3236</v>
      </c>
      <c r="L907">
        <v>9</v>
      </c>
      <c r="M907">
        <v>4</v>
      </c>
      <c r="N907">
        <v>0</v>
      </c>
      <c r="O907" t="s">
        <v>25</v>
      </c>
      <c r="P907">
        <v>4</v>
      </c>
      <c r="Q907">
        <v>0</v>
      </c>
      <c r="R907" t="s">
        <v>26</v>
      </c>
      <c r="S907">
        <v>2</v>
      </c>
    </row>
    <row r="908" spans="1:22" x14ac:dyDescent="0.45">
      <c r="A908" t="str">
        <f>"10619952"</f>
        <v>10619952</v>
      </c>
      <c r="B908" t="s">
        <v>22</v>
      </c>
      <c r="C908" s="1">
        <v>43654</v>
      </c>
      <c r="D908">
        <v>872072</v>
      </c>
      <c r="E908" t="s">
        <v>60</v>
      </c>
      <c r="F908">
        <v>2018</v>
      </c>
      <c r="G908">
        <v>1234</v>
      </c>
      <c r="H908" t="s">
        <v>372</v>
      </c>
      <c r="I908" t="str">
        <f t="shared" si="14"/>
        <v>25</v>
      </c>
      <c r="J908">
        <v>60025</v>
      </c>
      <c r="K908">
        <v>2317</v>
      </c>
      <c r="L908">
        <v>7</v>
      </c>
      <c r="M908">
        <v>2</v>
      </c>
      <c r="N908">
        <v>1</v>
      </c>
      <c r="O908" t="s">
        <v>25</v>
      </c>
      <c r="P908">
        <v>3</v>
      </c>
      <c r="Q908">
        <v>0</v>
      </c>
      <c r="R908" t="s">
        <v>26</v>
      </c>
      <c r="S908">
        <v>2</v>
      </c>
      <c r="V908" t="s">
        <v>196</v>
      </c>
    </row>
    <row r="909" spans="1:22" x14ac:dyDescent="0.45">
      <c r="A909" t="str">
        <f>"10812022"</f>
        <v>10812022</v>
      </c>
      <c r="B909" t="s">
        <v>22</v>
      </c>
      <c r="C909" s="1">
        <v>44130</v>
      </c>
      <c r="D909">
        <v>872500</v>
      </c>
      <c r="E909" t="s">
        <v>60</v>
      </c>
      <c r="F909">
        <v>2013</v>
      </c>
      <c r="G909">
        <v>915</v>
      </c>
      <c r="H909" t="s">
        <v>252</v>
      </c>
      <c r="I909" t="str">
        <f t="shared" si="14"/>
        <v>25</v>
      </c>
      <c r="J909">
        <v>60025</v>
      </c>
      <c r="K909">
        <v>3051</v>
      </c>
      <c r="L909">
        <v>12</v>
      </c>
      <c r="M909">
        <v>4</v>
      </c>
      <c r="N909">
        <v>1</v>
      </c>
      <c r="O909" t="s">
        <v>41</v>
      </c>
      <c r="P909">
        <v>4</v>
      </c>
      <c r="Q909">
        <v>1</v>
      </c>
      <c r="R909" t="s">
        <v>35</v>
      </c>
      <c r="S909">
        <v>2</v>
      </c>
      <c r="U909">
        <v>1500</v>
      </c>
    </row>
    <row r="910" spans="1:22" x14ac:dyDescent="0.45">
      <c r="A910" t="str">
        <f>"10449334"</f>
        <v>10449334</v>
      </c>
      <c r="B910" t="s">
        <v>22</v>
      </c>
      <c r="C910" s="1">
        <v>43847</v>
      </c>
      <c r="D910">
        <v>872500</v>
      </c>
      <c r="E910" t="s">
        <v>60</v>
      </c>
      <c r="F910">
        <v>2001</v>
      </c>
      <c r="G910">
        <v>2339</v>
      </c>
      <c r="H910" t="s">
        <v>377</v>
      </c>
      <c r="I910" t="str">
        <f t="shared" si="14"/>
        <v>25</v>
      </c>
      <c r="J910">
        <v>60026</v>
      </c>
      <c r="K910">
        <v>2822</v>
      </c>
      <c r="L910">
        <v>12</v>
      </c>
      <c r="M910">
        <v>3</v>
      </c>
      <c r="N910">
        <v>1</v>
      </c>
      <c r="O910" t="s">
        <v>41</v>
      </c>
      <c r="P910">
        <v>5</v>
      </c>
      <c r="Q910">
        <v>0</v>
      </c>
      <c r="R910" t="s">
        <v>26</v>
      </c>
      <c r="S910">
        <v>2</v>
      </c>
      <c r="V910" t="s">
        <v>67</v>
      </c>
    </row>
    <row r="911" spans="1:22" x14ac:dyDescent="0.45">
      <c r="A911" t="str">
        <f>"10792818"</f>
        <v>10792818</v>
      </c>
      <c r="B911" t="s">
        <v>22</v>
      </c>
      <c r="C911" s="1">
        <v>44106</v>
      </c>
      <c r="D911">
        <v>874783</v>
      </c>
      <c r="E911" t="s">
        <v>60</v>
      </c>
      <c r="F911">
        <v>2018</v>
      </c>
      <c r="G911">
        <v>338</v>
      </c>
      <c r="H911" t="s">
        <v>262</v>
      </c>
      <c r="I911" t="str">
        <f t="shared" si="14"/>
        <v>25</v>
      </c>
      <c r="J911">
        <v>60025</v>
      </c>
      <c r="K911">
        <v>3200</v>
      </c>
      <c r="L911">
        <v>11</v>
      </c>
      <c r="M911">
        <v>4</v>
      </c>
      <c r="N911">
        <v>1</v>
      </c>
      <c r="O911" t="s">
        <v>41</v>
      </c>
      <c r="P911">
        <v>4</v>
      </c>
      <c r="Q911">
        <v>1</v>
      </c>
      <c r="R911" t="s">
        <v>26</v>
      </c>
      <c r="S911">
        <v>2</v>
      </c>
      <c r="V911" t="s">
        <v>176</v>
      </c>
    </row>
    <row r="912" spans="1:22" x14ac:dyDescent="0.45">
      <c r="A912" t="str">
        <f>"10379082"</f>
        <v>10379082</v>
      </c>
      <c r="B912" t="s">
        <v>22</v>
      </c>
      <c r="C912" s="1">
        <v>43679</v>
      </c>
      <c r="D912">
        <v>875000</v>
      </c>
      <c r="E912" t="s">
        <v>60</v>
      </c>
      <c r="F912">
        <v>1962</v>
      </c>
      <c r="G912">
        <v>1333</v>
      </c>
      <c r="H912" t="s">
        <v>405</v>
      </c>
      <c r="I912" t="str">
        <f t="shared" si="14"/>
        <v>25</v>
      </c>
      <c r="J912">
        <v>60025</v>
      </c>
      <c r="K912">
        <v>2678</v>
      </c>
      <c r="L912">
        <v>10</v>
      </c>
      <c r="M912">
        <v>4</v>
      </c>
      <c r="N912">
        <v>1</v>
      </c>
      <c r="O912" t="s">
        <v>41</v>
      </c>
      <c r="P912">
        <v>4</v>
      </c>
      <c r="Q912">
        <v>0</v>
      </c>
      <c r="R912" t="s">
        <v>26</v>
      </c>
      <c r="S912">
        <v>2.5</v>
      </c>
    </row>
    <row r="913" spans="1:22" x14ac:dyDescent="0.45">
      <c r="A913" t="str">
        <f>"10391206"</f>
        <v>10391206</v>
      </c>
      <c r="B913" t="s">
        <v>22</v>
      </c>
      <c r="C913" s="1">
        <v>43643</v>
      </c>
      <c r="D913">
        <v>875000</v>
      </c>
      <c r="E913" t="s">
        <v>148</v>
      </c>
      <c r="F913">
        <v>1961</v>
      </c>
      <c r="G913">
        <v>3703</v>
      </c>
      <c r="H913" t="s">
        <v>279</v>
      </c>
      <c r="I913" t="str">
        <f t="shared" si="14"/>
        <v>25</v>
      </c>
      <c r="J913">
        <v>60025</v>
      </c>
      <c r="K913">
        <v>3999</v>
      </c>
      <c r="L913">
        <v>11</v>
      </c>
      <c r="M913">
        <v>4</v>
      </c>
      <c r="N913">
        <v>1</v>
      </c>
      <c r="O913" t="s">
        <v>41</v>
      </c>
      <c r="P913">
        <v>5</v>
      </c>
      <c r="Q913">
        <v>0</v>
      </c>
      <c r="R913" t="s">
        <v>26</v>
      </c>
      <c r="S913">
        <v>2</v>
      </c>
    </row>
    <row r="914" spans="1:22" x14ac:dyDescent="0.45">
      <c r="A914" t="str">
        <f>"10318181"</f>
        <v>10318181</v>
      </c>
      <c r="B914" t="s">
        <v>22</v>
      </c>
      <c r="C914" s="1">
        <v>43665</v>
      </c>
      <c r="D914">
        <v>875000</v>
      </c>
      <c r="E914" t="s">
        <v>60</v>
      </c>
      <c r="F914">
        <v>2000</v>
      </c>
      <c r="G914">
        <v>1855</v>
      </c>
      <c r="H914" t="s">
        <v>353</v>
      </c>
      <c r="I914" t="str">
        <f t="shared" si="14"/>
        <v>25</v>
      </c>
      <c r="J914">
        <v>60025</v>
      </c>
      <c r="K914">
        <v>3022</v>
      </c>
      <c r="L914">
        <v>12</v>
      </c>
      <c r="M914">
        <v>3</v>
      </c>
      <c r="N914">
        <v>1</v>
      </c>
      <c r="O914" t="s">
        <v>41</v>
      </c>
      <c r="P914">
        <v>3</v>
      </c>
      <c r="Q914">
        <v>1</v>
      </c>
      <c r="R914" t="s">
        <v>26</v>
      </c>
      <c r="S914">
        <v>2</v>
      </c>
    </row>
    <row r="915" spans="1:22" x14ac:dyDescent="0.45">
      <c r="A915" t="str">
        <f>"10642374"</f>
        <v>10642374</v>
      </c>
      <c r="B915" t="s">
        <v>22</v>
      </c>
      <c r="C915" s="1">
        <v>43986</v>
      </c>
      <c r="D915">
        <v>875000</v>
      </c>
      <c r="E915" t="s">
        <v>60</v>
      </c>
      <c r="F915">
        <v>1998</v>
      </c>
      <c r="G915">
        <v>2000</v>
      </c>
      <c r="H915" t="s">
        <v>211</v>
      </c>
      <c r="I915" t="str">
        <f t="shared" si="14"/>
        <v>25</v>
      </c>
      <c r="J915">
        <v>60025</v>
      </c>
      <c r="K915">
        <v>3618</v>
      </c>
      <c r="L915">
        <v>12</v>
      </c>
      <c r="M915">
        <v>4</v>
      </c>
      <c r="N915">
        <v>1</v>
      </c>
      <c r="O915" t="s">
        <v>25</v>
      </c>
      <c r="P915">
        <v>5</v>
      </c>
      <c r="Q915">
        <v>0</v>
      </c>
      <c r="R915" t="s">
        <v>26</v>
      </c>
      <c r="S915">
        <v>2</v>
      </c>
    </row>
    <row r="916" spans="1:22" x14ac:dyDescent="0.45">
      <c r="A916" t="str">
        <f>"10615851"</f>
        <v>10615851</v>
      </c>
      <c r="B916" t="s">
        <v>22</v>
      </c>
      <c r="C916" s="1">
        <v>43955</v>
      </c>
      <c r="D916">
        <v>875000</v>
      </c>
      <c r="E916" t="s">
        <v>60</v>
      </c>
      <c r="F916">
        <v>2008</v>
      </c>
      <c r="G916">
        <v>227</v>
      </c>
      <c r="H916" t="s">
        <v>87</v>
      </c>
      <c r="I916" t="str">
        <f t="shared" si="14"/>
        <v>25</v>
      </c>
      <c r="J916">
        <v>60025</v>
      </c>
      <c r="K916">
        <v>3300</v>
      </c>
      <c r="L916">
        <v>10</v>
      </c>
      <c r="M916">
        <v>4</v>
      </c>
      <c r="N916">
        <v>1</v>
      </c>
      <c r="O916" t="s">
        <v>41</v>
      </c>
      <c r="P916">
        <v>4</v>
      </c>
      <c r="Q916">
        <v>0</v>
      </c>
      <c r="R916" t="s">
        <v>26</v>
      </c>
      <c r="S916">
        <v>2</v>
      </c>
    </row>
    <row r="917" spans="1:22" x14ac:dyDescent="0.45">
      <c r="A917" t="str">
        <f>"10158788"</f>
        <v>10158788</v>
      </c>
      <c r="B917" t="s">
        <v>22</v>
      </c>
      <c r="C917" s="1">
        <v>43543</v>
      </c>
      <c r="D917">
        <v>875000</v>
      </c>
      <c r="E917" t="s">
        <v>60</v>
      </c>
      <c r="F917">
        <v>2001</v>
      </c>
      <c r="G917">
        <v>1667</v>
      </c>
      <c r="H917" t="s">
        <v>406</v>
      </c>
      <c r="I917" t="str">
        <f t="shared" si="14"/>
        <v>25</v>
      </c>
      <c r="J917">
        <v>60026</v>
      </c>
      <c r="K917">
        <v>3600</v>
      </c>
      <c r="L917">
        <v>10</v>
      </c>
      <c r="M917">
        <v>3</v>
      </c>
      <c r="N917">
        <v>1</v>
      </c>
      <c r="O917" t="s">
        <v>25</v>
      </c>
      <c r="P917">
        <v>4</v>
      </c>
      <c r="Q917">
        <v>0</v>
      </c>
      <c r="R917" t="s">
        <v>26</v>
      </c>
      <c r="S917">
        <v>2.5</v>
      </c>
      <c r="V917" t="s">
        <v>67</v>
      </c>
    </row>
    <row r="918" spans="1:22" x14ac:dyDescent="0.45">
      <c r="A918" t="str">
        <f>"10608722"</f>
        <v>10608722</v>
      </c>
      <c r="B918" t="s">
        <v>22</v>
      </c>
      <c r="C918" s="1">
        <v>43959</v>
      </c>
      <c r="D918">
        <v>875000</v>
      </c>
      <c r="E918" t="s">
        <v>60</v>
      </c>
      <c r="F918">
        <v>1941</v>
      </c>
      <c r="G918">
        <v>1423</v>
      </c>
      <c r="H918" t="s">
        <v>407</v>
      </c>
      <c r="I918" t="str">
        <f t="shared" si="14"/>
        <v>25</v>
      </c>
      <c r="J918">
        <v>60025</v>
      </c>
      <c r="K918">
        <v>3310</v>
      </c>
      <c r="L918">
        <v>10</v>
      </c>
      <c r="M918">
        <v>3</v>
      </c>
      <c r="N918">
        <v>1</v>
      </c>
      <c r="O918" t="s">
        <v>41</v>
      </c>
      <c r="P918">
        <v>4</v>
      </c>
      <c r="Q918">
        <v>0</v>
      </c>
      <c r="R918" t="s">
        <v>26</v>
      </c>
      <c r="S918">
        <v>2.5</v>
      </c>
      <c r="V918" t="s">
        <v>33</v>
      </c>
    </row>
    <row r="919" spans="1:22" x14ac:dyDescent="0.45">
      <c r="A919" t="str">
        <f>"10608156"</f>
        <v>10608156</v>
      </c>
      <c r="B919" t="s">
        <v>22</v>
      </c>
      <c r="C919" s="1">
        <v>43917</v>
      </c>
      <c r="D919">
        <v>875000</v>
      </c>
      <c r="E919" t="s">
        <v>60</v>
      </c>
      <c r="F919">
        <v>1994</v>
      </c>
      <c r="G919">
        <v>2035</v>
      </c>
      <c r="H919" t="s">
        <v>317</v>
      </c>
      <c r="I919" t="str">
        <f t="shared" si="14"/>
        <v>25</v>
      </c>
      <c r="J919">
        <v>60025</v>
      </c>
      <c r="K919">
        <v>4200</v>
      </c>
      <c r="L919">
        <v>15</v>
      </c>
      <c r="M919">
        <v>4</v>
      </c>
      <c r="N919">
        <v>0</v>
      </c>
      <c r="O919" t="s">
        <v>41</v>
      </c>
      <c r="P919">
        <v>5</v>
      </c>
      <c r="Q919">
        <v>0</v>
      </c>
      <c r="R919" t="s">
        <v>26</v>
      </c>
      <c r="S919">
        <v>2.5</v>
      </c>
      <c r="T919">
        <v>6</v>
      </c>
      <c r="V919" t="s">
        <v>176</v>
      </c>
    </row>
    <row r="920" spans="1:22" x14ac:dyDescent="0.45">
      <c r="A920" t="str">
        <f>"10699193"</f>
        <v>10699193</v>
      </c>
      <c r="B920" t="s">
        <v>22</v>
      </c>
      <c r="C920" s="1">
        <v>43980</v>
      </c>
      <c r="D920">
        <v>880371</v>
      </c>
      <c r="E920" t="s">
        <v>60</v>
      </c>
      <c r="F920">
        <v>2020</v>
      </c>
      <c r="G920">
        <v>1080</v>
      </c>
      <c r="H920" t="s">
        <v>346</v>
      </c>
      <c r="I920" t="str">
        <f t="shared" si="14"/>
        <v>25</v>
      </c>
      <c r="J920">
        <v>60025</v>
      </c>
      <c r="K920">
        <v>3236</v>
      </c>
      <c r="L920">
        <v>9</v>
      </c>
      <c r="M920">
        <v>4</v>
      </c>
      <c r="N920">
        <v>0</v>
      </c>
      <c r="O920" t="s">
        <v>25</v>
      </c>
      <c r="P920">
        <v>4</v>
      </c>
      <c r="Q920">
        <v>0</v>
      </c>
      <c r="R920" t="s">
        <v>26</v>
      </c>
      <c r="S920">
        <v>2</v>
      </c>
    </row>
    <row r="921" spans="1:22" x14ac:dyDescent="0.45">
      <c r="A921" t="str">
        <f>"10549818"</f>
        <v>10549818</v>
      </c>
      <c r="B921" t="s">
        <v>22</v>
      </c>
      <c r="C921" s="1">
        <v>43822</v>
      </c>
      <c r="D921">
        <v>882500</v>
      </c>
      <c r="E921" t="s">
        <v>60</v>
      </c>
      <c r="F921">
        <v>1943</v>
      </c>
      <c r="G921">
        <v>1760</v>
      </c>
      <c r="H921" t="s">
        <v>136</v>
      </c>
      <c r="I921" t="str">
        <f t="shared" si="14"/>
        <v>25</v>
      </c>
      <c r="J921">
        <v>60025</v>
      </c>
      <c r="K921">
        <v>3923</v>
      </c>
      <c r="L921">
        <v>13</v>
      </c>
      <c r="M921">
        <v>3</v>
      </c>
      <c r="N921">
        <v>2</v>
      </c>
      <c r="O921" t="s">
        <v>25</v>
      </c>
      <c r="P921">
        <v>5</v>
      </c>
      <c r="Q921">
        <v>0</v>
      </c>
      <c r="R921" t="s">
        <v>26</v>
      </c>
      <c r="S921">
        <v>2.5</v>
      </c>
      <c r="V921" t="s">
        <v>333</v>
      </c>
    </row>
    <row r="922" spans="1:22" x14ac:dyDescent="0.45">
      <c r="A922" t="str">
        <f>"10607060"</f>
        <v>10607060</v>
      </c>
      <c r="B922" t="s">
        <v>22</v>
      </c>
      <c r="C922" s="1">
        <v>43951</v>
      </c>
      <c r="D922">
        <v>885000</v>
      </c>
      <c r="E922" t="s">
        <v>60</v>
      </c>
      <c r="F922">
        <v>1941</v>
      </c>
      <c r="G922">
        <v>901</v>
      </c>
      <c r="H922" t="s">
        <v>408</v>
      </c>
      <c r="I922" t="str">
        <f t="shared" si="14"/>
        <v>25</v>
      </c>
      <c r="J922">
        <v>60025</v>
      </c>
      <c r="K922">
        <v>4008</v>
      </c>
      <c r="L922">
        <v>13</v>
      </c>
      <c r="M922">
        <v>3</v>
      </c>
      <c r="N922">
        <v>2</v>
      </c>
      <c r="O922" t="s">
        <v>41</v>
      </c>
      <c r="P922">
        <v>4</v>
      </c>
      <c r="Q922">
        <v>1</v>
      </c>
      <c r="R922" t="s">
        <v>26</v>
      </c>
      <c r="S922">
        <v>2.5</v>
      </c>
      <c r="V922" t="s">
        <v>67</v>
      </c>
    </row>
    <row r="923" spans="1:22" x14ac:dyDescent="0.45">
      <c r="A923" t="str">
        <f>"10773766"</f>
        <v>10773766</v>
      </c>
      <c r="B923" t="s">
        <v>22</v>
      </c>
      <c r="C923" s="1">
        <v>44158</v>
      </c>
      <c r="D923">
        <v>890000</v>
      </c>
      <c r="E923" t="s">
        <v>23</v>
      </c>
      <c r="F923">
        <v>1955</v>
      </c>
      <c r="G923">
        <v>2130</v>
      </c>
      <c r="H923" t="s">
        <v>286</v>
      </c>
      <c r="I923" t="str">
        <f t="shared" si="14"/>
        <v>25</v>
      </c>
      <c r="J923">
        <v>60025</v>
      </c>
      <c r="K923">
        <v>2016</v>
      </c>
      <c r="L923">
        <v>4</v>
      </c>
      <c r="M923">
        <v>2</v>
      </c>
      <c r="N923">
        <v>1</v>
      </c>
      <c r="O923" t="s">
        <v>41</v>
      </c>
      <c r="P923">
        <v>4</v>
      </c>
      <c r="Q923">
        <v>0</v>
      </c>
      <c r="R923" t="s">
        <v>26</v>
      </c>
      <c r="S923">
        <v>2</v>
      </c>
      <c r="V923" t="s">
        <v>27</v>
      </c>
    </row>
    <row r="924" spans="1:22" x14ac:dyDescent="0.45">
      <c r="A924" t="str">
        <f>"10772497"</f>
        <v>10772497</v>
      </c>
      <c r="B924" t="s">
        <v>22</v>
      </c>
      <c r="C924" s="1">
        <v>44092</v>
      </c>
      <c r="D924">
        <v>890000</v>
      </c>
      <c r="E924" t="s">
        <v>60</v>
      </c>
      <c r="F924">
        <v>1987</v>
      </c>
      <c r="G924">
        <v>2403</v>
      </c>
      <c r="H924" t="s">
        <v>296</v>
      </c>
      <c r="I924" t="str">
        <f t="shared" si="14"/>
        <v>25</v>
      </c>
      <c r="J924">
        <v>60026</v>
      </c>
      <c r="K924">
        <v>4474</v>
      </c>
      <c r="L924">
        <v>13</v>
      </c>
      <c r="M924">
        <v>5</v>
      </c>
      <c r="N924">
        <v>1</v>
      </c>
      <c r="O924" t="s">
        <v>41</v>
      </c>
      <c r="P924">
        <v>5</v>
      </c>
      <c r="Q924">
        <v>0</v>
      </c>
      <c r="R924" t="s">
        <v>26</v>
      </c>
      <c r="S924">
        <v>3</v>
      </c>
      <c r="V924" t="s">
        <v>67</v>
      </c>
    </row>
    <row r="925" spans="1:22" x14ac:dyDescent="0.45">
      <c r="A925" t="str">
        <f>"10640800"</f>
        <v>10640800</v>
      </c>
      <c r="B925" t="s">
        <v>22</v>
      </c>
      <c r="C925" s="1">
        <v>43951</v>
      </c>
      <c r="D925">
        <v>895000</v>
      </c>
      <c r="E925" t="s">
        <v>60</v>
      </c>
      <c r="F925">
        <v>1958</v>
      </c>
      <c r="G925">
        <v>2541</v>
      </c>
      <c r="H925" t="s">
        <v>72</v>
      </c>
      <c r="I925" t="str">
        <f t="shared" si="14"/>
        <v>25</v>
      </c>
      <c r="J925">
        <v>60025</v>
      </c>
      <c r="K925">
        <v>3800</v>
      </c>
      <c r="L925">
        <v>11</v>
      </c>
      <c r="M925">
        <v>4</v>
      </c>
      <c r="N925">
        <v>1</v>
      </c>
      <c r="O925" t="s">
        <v>41</v>
      </c>
      <c r="P925">
        <v>5</v>
      </c>
      <c r="Q925">
        <v>1</v>
      </c>
      <c r="R925" t="s">
        <v>26</v>
      </c>
      <c r="S925">
        <v>2</v>
      </c>
      <c r="V925" t="s">
        <v>148</v>
      </c>
    </row>
    <row r="926" spans="1:22" x14ac:dyDescent="0.45">
      <c r="A926" t="str">
        <f>"10749149"</f>
        <v>10749149</v>
      </c>
      <c r="B926" t="s">
        <v>22</v>
      </c>
      <c r="C926" s="1">
        <v>44060</v>
      </c>
      <c r="D926">
        <v>895000</v>
      </c>
      <c r="E926" t="s">
        <v>60</v>
      </c>
      <c r="F926" t="s">
        <v>29</v>
      </c>
      <c r="G926">
        <v>1340</v>
      </c>
      <c r="H926" t="s">
        <v>255</v>
      </c>
      <c r="I926" t="str">
        <f t="shared" si="14"/>
        <v>25</v>
      </c>
      <c r="J926">
        <v>60025</v>
      </c>
      <c r="K926">
        <v>4908</v>
      </c>
      <c r="L926">
        <v>13</v>
      </c>
      <c r="M926">
        <v>5</v>
      </c>
      <c r="N926">
        <v>1</v>
      </c>
      <c r="O926" t="s">
        <v>41</v>
      </c>
      <c r="P926">
        <v>5</v>
      </c>
      <c r="Q926">
        <v>1</v>
      </c>
      <c r="R926" t="s">
        <v>26</v>
      </c>
      <c r="S926">
        <v>2</v>
      </c>
      <c r="V926" t="s">
        <v>67</v>
      </c>
    </row>
    <row r="927" spans="1:22" x14ac:dyDescent="0.45">
      <c r="A927" t="str">
        <f>"10500494"</f>
        <v>10500494</v>
      </c>
      <c r="B927" t="s">
        <v>22</v>
      </c>
      <c r="C927" s="1">
        <v>43892</v>
      </c>
      <c r="D927">
        <v>895000</v>
      </c>
      <c r="E927" t="s">
        <v>60</v>
      </c>
      <c r="F927">
        <v>1954</v>
      </c>
      <c r="G927">
        <v>37</v>
      </c>
      <c r="H927" t="s">
        <v>48</v>
      </c>
      <c r="I927" t="str">
        <f t="shared" si="14"/>
        <v>25</v>
      </c>
      <c r="J927">
        <v>60029</v>
      </c>
      <c r="K927">
        <v>3913</v>
      </c>
      <c r="L927">
        <v>10</v>
      </c>
      <c r="M927">
        <v>4</v>
      </c>
      <c r="N927">
        <v>1</v>
      </c>
      <c r="O927" t="s">
        <v>41</v>
      </c>
      <c r="P927">
        <v>4</v>
      </c>
      <c r="Q927">
        <v>1</v>
      </c>
      <c r="R927" t="s">
        <v>26</v>
      </c>
      <c r="S927">
        <v>2</v>
      </c>
      <c r="V927" t="s">
        <v>176</v>
      </c>
    </row>
    <row r="928" spans="1:22" x14ac:dyDescent="0.45">
      <c r="A928" t="str">
        <f>"10809981"</f>
        <v>10809981</v>
      </c>
      <c r="B928" t="s">
        <v>22</v>
      </c>
      <c r="C928" s="1">
        <v>44126</v>
      </c>
      <c r="D928">
        <v>895000</v>
      </c>
      <c r="E928" t="s">
        <v>60</v>
      </c>
      <c r="F928">
        <v>2010</v>
      </c>
      <c r="G928">
        <v>808</v>
      </c>
      <c r="H928" t="s">
        <v>119</v>
      </c>
      <c r="I928" t="str">
        <f t="shared" si="14"/>
        <v>25</v>
      </c>
      <c r="J928">
        <v>60025</v>
      </c>
      <c r="K928">
        <v>3652</v>
      </c>
      <c r="L928">
        <v>11</v>
      </c>
      <c r="M928">
        <v>4</v>
      </c>
      <c r="N928">
        <v>1</v>
      </c>
      <c r="O928" t="s">
        <v>41</v>
      </c>
      <c r="P928">
        <v>4</v>
      </c>
      <c r="Q928">
        <v>0</v>
      </c>
      <c r="R928" t="s">
        <v>26</v>
      </c>
      <c r="S928">
        <v>2</v>
      </c>
      <c r="V928" t="s">
        <v>67</v>
      </c>
    </row>
    <row r="929" spans="1:22" x14ac:dyDescent="0.45">
      <c r="A929" t="str">
        <f>"10790571"</f>
        <v>10790571</v>
      </c>
      <c r="B929" t="s">
        <v>22</v>
      </c>
      <c r="C929" s="1">
        <v>44119</v>
      </c>
      <c r="D929">
        <v>899000</v>
      </c>
      <c r="E929" t="s">
        <v>60</v>
      </c>
      <c r="F929">
        <v>1996</v>
      </c>
      <c r="G929">
        <v>2110</v>
      </c>
      <c r="H929" t="s">
        <v>387</v>
      </c>
      <c r="I929" t="str">
        <f t="shared" si="14"/>
        <v>25</v>
      </c>
      <c r="J929">
        <v>60026</v>
      </c>
      <c r="K929">
        <v>6000</v>
      </c>
      <c r="L929">
        <v>15</v>
      </c>
      <c r="M929">
        <v>3</v>
      </c>
      <c r="N929">
        <v>2</v>
      </c>
      <c r="O929" t="s">
        <v>41</v>
      </c>
      <c r="P929">
        <v>5</v>
      </c>
      <c r="Q929">
        <v>0</v>
      </c>
      <c r="R929" t="s">
        <v>26</v>
      </c>
      <c r="S929">
        <v>2</v>
      </c>
      <c r="U929">
        <v>1500</v>
      </c>
    </row>
    <row r="930" spans="1:22" x14ac:dyDescent="0.45">
      <c r="A930" t="str">
        <f>"10878295"</f>
        <v>10878295</v>
      </c>
      <c r="B930" t="s">
        <v>22</v>
      </c>
      <c r="C930" s="1">
        <v>44155</v>
      </c>
      <c r="D930">
        <v>900000</v>
      </c>
      <c r="E930" t="s">
        <v>60</v>
      </c>
      <c r="F930">
        <v>1999</v>
      </c>
      <c r="G930">
        <v>2287</v>
      </c>
      <c r="H930" t="s">
        <v>409</v>
      </c>
      <c r="I930" t="str">
        <f t="shared" si="14"/>
        <v>25</v>
      </c>
      <c r="J930">
        <v>60026</v>
      </c>
      <c r="K930">
        <v>4232</v>
      </c>
      <c r="L930">
        <v>11</v>
      </c>
      <c r="M930">
        <v>3</v>
      </c>
      <c r="N930">
        <v>1</v>
      </c>
      <c r="O930" t="s">
        <v>41</v>
      </c>
      <c r="P930">
        <v>4</v>
      </c>
      <c r="Q930">
        <v>1</v>
      </c>
      <c r="R930" t="s">
        <v>26</v>
      </c>
      <c r="S930">
        <v>2</v>
      </c>
      <c r="U930">
        <v>0</v>
      </c>
    </row>
    <row r="931" spans="1:22" x14ac:dyDescent="0.45">
      <c r="A931" t="str">
        <f>"10098836"</f>
        <v>10098836</v>
      </c>
      <c r="B931" t="s">
        <v>22</v>
      </c>
      <c r="C931" s="1">
        <v>43524</v>
      </c>
      <c r="D931">
        <v>900000</v>
      </c>
      <c r="E931" t="s">
        <v>60</v>
      </c>
      <c r="F931">
        <v>1958</v>
      </c>
      <c r="G931">
        <v>1842</v>
      </c>
      <c r="H931" t="s">
        <v>317</v>
      </c>
      <c r="I931" t="str">
        <f t="shared" si="14"/>
        <v>25</v>
      </c>
      <c r="J931">
        <v>60025</v>
      </c>
      <c r="K931">
        <v>0</v>
      </c>
      <c r="L931">
        <v>10</v>
      </c>
      <c r="M931">
        <v>3</v>
      </c>
      <c r="N931">
        <v>1</v>
      </c>
      <c r="O931" t="s">
        <v>25</v>
      </c>
      <c r="P931">
        <v>4</v>
      </c>
      <c r="Q931">
        <v>0</v>
      </c>
      <c r="R931" t="s">
        <v>26</v>
      </c>
      <c r="S931">
        <v>2</v>
      </c>
    </row>
    <row r="932" spans="1:22" x14ac:dyDescent="0.45">
      <c r="A932" t="str">
        <f>"10415243"</f>
        <v>10415243</v>
      </c>
      <c r="B932" t="s">
        <v>22</v>
      </c>
      <c r="C932" s="1">
        <v>43815</v>
      </c>
      <c r="D932">
        <v>900000</v>
      </c>
      <c r="E932" t="s">
        <v>60</v>
      </c>
      <c r="F932">
        <v>2001</v>
      </c>
      <c r="G932">
        <v>2326</v>
      </c>
      <c r="H932" t="s">
        <v>382</v>
      </c>
      <c r="I932" t="str">
        <f t="shared" si="14"/>
        <v>25</v>
      </c>
      <c r="J932">
        <v>60026</v>
      </c>
      <c r="K932">
        <v>3000</v>
      </c>
      <c r="L932">
        <v>13</v>
      </c>
      <c r="M932">
        <v>3</v>
      </c>
      <c r="N932">
        <v>1</v>
      </c>
      <c r="O932" t="s">
        <v>41</v>
      </c>
      <c r="P932">
        <v>5</v>
      </c>
      <c r="Q932">
        <v>0</v>
      </c>
      <c r="R932" t="s">
        <v>26</v>
      </c>
      <c r="S932">
        <v>2</v>
      </c>
      <c r="V932" t="s">
        <v>67</v>
      </c>
    </row>
    <row r="933" spans="1:22" x14ac:dyDescent="0.45">
      <c r="A933" t="str">
        <f>"10910825"</f>
        <v>10910825</v>
      </c>
      <c r="B933" t="s">
        <v>22</v>
      </c>
      <c r="C933" s="1">
        <v>44193</v>
      </c>
      <c r="D933">
        <v>900000</v>
      </c>
      <c r="E933" t="s">
        <v>60</v>
      </c>
      <c r="F933">
        <v>2004</v>
      </c>
      <c r="G933">
        <v>1740</v>
      </c>
      <c r="H933" t="s">
        <v>308</v>
      </c>
      <c r="I933" t="str">
        <f t="shared" si="14"/>
        <v>25</v>
      </c>
      <c r="J933">
        <v>60025</v>
      </c>
      <c r="K933">
        <v>3259</v>
      </c>
      <c r="L933">
        <v>12</v>
      </c>
      <c r="M933">
        <v>4</v>
      </c>
      <c r="N933">
        <v>1</v>
      </c>
      <c r="O933" t="s">
        <v>41</v>
      </c>
      <c r="P933">
        <v>4</v>
      </c>
      <c r="Q933">
        <v>1</v>
      </c>
      <c r="R933" t="s">
        <v>26</v>
      </c>
      <c r="S933">
        <v>2</v>
      </c>
    </row>
    <row r="934" spans="1:22" x14ac:dyDescent="0.45">
      <c r="A934" t="str">
        <f>"10590186"</f>
        <v>10590186</v>
      </c>
      <c r="B934" t="s">
        <v>22</v>
      </c>
      <c r="C934" s="1">
        <v>44008</v>
      </c>
      <c r="D934">
        <v>902000</v>
      </c>
      <c r="E934" t="s">
        <v>60</v>
      </c>
      <c r="F934">
        <v>1929</v>
      </c>
      <c r="G934">
        <v>949</v>
      </c>
      <c r="H934" t="s">
        <v>410</v>
      </c>
      <c r="I934" t="str">
        <f t="shared" si="14"/>
        <v>25</v>
      </c>
      <c r="J934">
        <v>60025</v>
      </c>
      <c r="K934">
        <v>3600</v>
      </c>
      <c r="L934">
        <v>11</v>
      </c>
      <c r="M934">
        <v>3</v>
      </c>
      <c r="N934">
        <v>2</v>
      </c>
      <c r="O934" t="s">
        <v>41</v>
      </c>
      <c r="P934">
        <v>4</v>
      </c>
      <c r="Q934">
        <v>0</v>
      </c>
      <c r="R934" t="s">
        <v>35</v>
      </c>
      <c r="S934">
        <v>2.5</v>
      </c>
      <c r="V934" t="s">
        <v>355</v>
      </c>
    </row>
    <row r="935" spans="1:22" x14ac:dyDescent="0.45">
      <c r="A935" t="str">
        <f>"10679744"</f>
        <v>10679744</v>
      </c>
      <c r="B935" t="s">
        <v>22</v>
      </c>
      <c r="C935" s="1">
        <v>44004</v>
      </c>
      <c r="D935">
        <v>902500</v>
      </c>
      <c r="E935" t="s">
        <v>60</v>
      </c>
      <c r="F935">
        <v>1958</v>
      </c>
      <c r="G935">
        <v>1114</v>
      </c>
      <c r="H935" t="s">
        <v>154</v>
      </c>
      <c r="I935" t="str">
        <f t="shared" si="14"/>
        <v>25</v>
      </c>
      <c r="J935">
        <v>60025</v>
      </c>
      <c r="K935">
        <v>2603</v>
      </c>
      <c r="L935">
        <v>8</v>
      </c>
      <c r="M935">
        <v>3</v>
      </c>
      <c r="N935">
        <v>0</v>
      </c>
      <c r="O935" t="s">
        <v>25</v>
      </c>
      <c r="P935">
        <v>4</v>
      </c>
      <c r="Q935">
        <v>0</v>
      </c>
      <c r="R935" t="s">
        <v>26</v>
      </c>
      <c r="S935">
        <v>2</v>
      </c>
    </row>
    <row r="936" spans="1:22" x14ac:dyDescent="0.45">
      <c r="A936" t="str">
        <f>"10708654"</f>
        <v>10708654</v>
      </c>
      <c r="B936" t="s">
        <v>22</v>
      </c>
      <c r="C936" s="1">
        <v>44054</v>
      </c>
      <c r="D936">
        <v>903500</v>
      </c>
      <c r="E936" t="s">
        <v>60</v>
      </c>
      <c r="F936">
        <v>2000</v>
      </c>
      <c r="G936">
        <v>3618</v>
      </c>
      <c r="H936" t="s">
        <v>386</v>
      </c>
      <c r="I936" t="str">
        <f t="shared" si="14"/>
        <v>25</v>
      </c>
      <c r="J936">
        <v>60026</v>
      </c>
      <c r="K936">
        <v>5332</v>
      </c>
      <c r="L936">
        <v>14</v>
      </c>
      <c r="M936">
        <v>5</v>
      </c>
      <c r="N936">
        <v>1</v>
      </c>
      <c r="O936" t="s">
        <v>41</v>
      </c>
      <c r="P936">
        <v>6</v>
      </c>
      <c r="Q936">
        <v>0</v>
      </c>
      <c r="R936" t="s">
        <v>26</v>
      </c>
      <c r="S936">
        <v>3</v>
      </c>
      <c r="V936" t="s">
        <v>67</v>
      </c>
    </row>
    <row r="937" spans="1:22" x14ac:dyDescent="0.45">
      <c r="A937" t="str">
        <f>"10767340"</f>
        <v>10767340</v>
      </c>
      <c r="B937" t="s">
        <v>22</v>
      </c>
      <c r="C937" s="1">
        <v>44120</v>
      </c>
      <c r="D937">
        <v>904200</v>
      </c>
      <c r="E937" t="s">
        <v>60</v>
      </c>
      <c r="F937">
        <v>1984</v>
      </c>
      <c r="G937">
        <v>2324</v>
      </c>
      <c r="H937" t="s">
        <v>347</v>
      </c>
      <c r="I937" t="str">
        <f t="shared" si="14"/>
        <v>25</v>
      </c>
      <c r="J937">
        <v>60026</v>
      </c>
      <c r="K937">
        <v>3828</v>
      </c>
      <c r="L937">
        <v>13</v>
      </c>
      <c r="M937">
        <v>4</v>
      </c>
      <c r="N937">
        <v>1</v>
      </c>
      <c r="O937" t="s">
        <v>41</v>
      </c>
      <c r="P937">
        <v>4</v>
      </c>
      <c r="Q937">
        <v>0</v>
      </c>
      <c r="R937" t="s">
        <v>26</v>
      </c>
      <c r="S937">
        <v>3</v>
      </c>
      <c r="U937">
        <v>1497</v>
      </c>
      <c r="V937" t="s">
        <v>67</v>
      </c>
    </row>
    <row r="938" spans="1:22" x14ac:dyDescent="0.45">
      <c r="A938" t="str">
        <f>"10712665"</f>
        <v>10712665</v>
      </c>
      <c r="B938" t="s">
        <v>22</v>
      </c>
      <c r="C938" s="1">
        <v>44012</v>
      </c>
      <c r="D938">
        <v>905000</v>
      </c>
      <c r="E938" t="s">
        <v>74</v>
      </c>
      <c r="F938">
        <v>1968</v>
      </c>
      <c r="G938">
        <v>1430</v>
      </c>
      <c r="H938" t="s">
        <v>154</v>
      </c>
      <c r="I938" t="str">
        <f t="shared" si="14"/>
        <v>25</v>
      </c>
      <c r="J938">
        <v>60025</v>
      </c>
      <c r="K938">
        <v>3336</v>
      </c>
      <c r="L938">
        <v>10</v>
      </c>
      <c r="M938">
        <v>4</v>
      </c>
      <c r="N938">
        <v>0</v>
      </c>
      <c r="O938" t="s">
        <v>41</v>
      </c>
      <c r="P938">
        <v>4</v>
      </c>
      <c r="Q938">
        <v>1</v>
      </c>
      <c r="R938" t="s">
        <v>26</v>
      </c>
      <c r="S938">
        <v>2</v>
      </c>
      <c r="U938">
        <v>1000</v>
      </c>
    </row>
    <row r="939" spans="1:22" x14ac:dyDescent="0.45">
      <c r="A939" t="str">
        <f>"10707223"</f>
        <v>10707223</v>
      </c>
      <c r="B939" t="s">
        <v>22</v>
      </c>
      <c r="C939" s="1">
        <v>44063</v>
      </c>
      <c r="D939">
        <v>905000</v>
      </c>
      <c r="E939" t="s">
        <v>60</v>
      </c>
      <c r="F939">
        <v>1915</v>
      </c>
      <c r="G939">
        <v>1965</v>
      </c>
      <c r="H939" t="s">
        <v>259</v>
      </c>
      <c r="I939" t="str">
        <f t="shared" si="14"/>
        <v>25</v>
      </c>
      <c r="J939">
        <v>60025</v>
      </c>
      <c r="K939">
        <v>3000</v>
      </c>
      <c r="L939">
        <v>11</v>
      </c>
      <c r="M939">
        <v>3</v>
      </c>
      <c r="N939">
        <v>1</v>
      </c>
      <c r="O939" t="s">
        <v>41</v>
      </c>
      <c r="P939">
        <v>4</v>
      </c>
      <c r="Q939">
        <v>1</v>
      </c>
      <c r="R939" t="s">
        <v>35</v>
      </c>
      <c r="S939">
        <v>2</v>
      </c>
    </row>
    <row r="940" spans="1:22" x14ac:dyDescent="0.45">
      <c r="A940" t="str">
        <f>"10638052"</f>
        <v>10638052</v>
      </c>
      <c r="B940" t="s">
        <v>22</v>
      </c>
      <c r="C940" s="1">
        <v>43944</v>
      </c>
      <c r="D940">
        <v>906500</v>
      </c>
      <c r="E940" t="s">
        <v>60</v>
      </c>
      <c r="F940">
        <v>2015</v>
      </c>
      <c r="G940">
        <v>1921</v>
      </c>
      <c r="H940" t="s">
        <v>411</v>
      </c>
      <c r="I940" t="str">
        <f t="shared" si="14"/>
        <v>25</v>
      </c>
      <c r="J940">
        <v>60026</v>
      </c>
      <c r="K940">
        <v>2709</v>
      </c>
      <c r="L940">
        <v>8</v>
      </c>
      <c r="M940">
        <v>2</v>
      </c>
      <c r="N940">
        <v>1</v>
      </c>
      <c r="O940" t="s">
        <v>25</v>
      </c>
      <c r="P940">
        <v>3</v>
      </c>
      <c r="Q940">
        <v>0</v>
      </c>
      <c r="R940" t="s">
        <v>26</v>
      </c>
      <c r="S940">
        <v>2</v>
      </c>
    </row>
    <row r="941" spans="1:22" x14ac:dyDescent="0.45">
      <c r="A941" t="str">
        <f>"10168186"</f>
        <v>10168186</v>
      </c>
      <c r="B941" t="s">
        <v>22</v>
      </c>
      <c r="C941" s="1">
        <v>43473</v>
      </c>
      <c r="D941">
        <v>910000</v>
      </c>
      <c r="E941" t="s">
        <v>60</v>
      </c>
      <c r="F941">
        <v>2016</v>
      </c>
      <c r="G941">
        <v>2878</v>
      </c>
      <c r="H941" t="s">
        <v>380</v>
      </c>
      <c r="I941" t="str">
        <f t="shared" si="14"/>
        <v>25</v>
      </c>
      <c r="J941">
        <v>60026</v>
      </c>
      <c r="K941">
        <v>2709</v>
      </c>
      <c r="L941">
        <v>4</v>
      </c>
      <c r="M941">
        <v>2</v>
      </c>
      <c r="N941">
        <v>1</v>
      </c>
      <c r="O941" t="s">
        <v>25</v>
      </c>
      <c r="P941">
        <v>3</v>
      </c>
      <c r="Q941">
        <v>0</v>
      </c>
      <c r="R941" t="s">
        <v>26</v>
      </c>
      <c r="S941">
        <v>2</v>
      </c>
    </row>
    <row r="942" spans="1:22" x14ac:dyDescent="0.45">
      <c r="A942" t="str">
        <f>"10595723"</f>
        <v>10595723</v>
      </c>
      <c r="B942" t="s">
        <v>22</v>
      </c>
      <c r="C942" s="1">
        <v>43917</v>
      </c>
      <c r="D942">
        <v>920000</v>
      </c>
      <c r="E942" t="s">
        <v>60</v>
      </c>
      <c r="F942">
        <v>1966</v>
      </c>
      <c r="G942">
        <v>1040</v>
      </c>
      <c r="H942" t="s">
        <v>261</v>
      </c>
      <c r="I942" t="str">
        <f t="shared" si="14"/>
        <v>25</v>
      </c>
      <c r="J942">
        <v>60025</v>
      </c>
      <c r="K942">
        <v>3931</v>
      </c>
      <c r="L942">
        <v>11</v>
      </c>
      <c r="M942">
        <v>3</v>
      </c>
      <c r="N942">
        <v>1</v>
      </c>
      <c r="O942" t="s">
        <v>25</v>
      </c>
      <c r="P942">
        <v>4</v>
      </c>
      <c r="Q942">
        <v>0</v>
      </c>
      <c r="R942" t="s">
        <v>26</v>
      </c>
      <c r="S942">
        <v>2.5</v>
      </c>
      <c r="V942" t="s">
        <v>67</v>
      </c>
    </row>
    <row r="943" spans="1:22" x14ac:dyDescent="0.45">
      <c r="A943" t="str">
        <f>"10729474"</f>
        <v>10729474</v>
      </c>
      <c r="B943" t="s">
        <v>22</v>
      </c>
      <c r="C943" s="1">
        <v>44127</v>
      </c>
      <c r="D943">
        <v>920000</v>
      </c>
      <c r="E943" t="s">
        <v>60</v>
      </c>
      <c r="F943">
        <v>2008</v>
      </c>
      <c r="G943">
        <v>714</v>
      </c>
      <c r="H943" t="s">
        <v>119</v>
      </c>
      <c r="I943" t="str">
        <f t="shared" si="14"/>
        <v>25</v>
      </c>
      <c r="J943">
        <v>60025</v>
      </c>
      <c r="K943">
        <v>3500</v>
      </c>
      <c r="L943">
        <v>11</v>
      </c>
      <c r="M943">
        <v>4</v>
      </c>
      <c r="N943">
        <v>1</v>
      </c>
      <c r="O943" t="s">
        <v>41</v>
      </c>
      <c r="P943">
        <v>4</v>
      </c>
      <c r="Q943">
        <v>1</v>
      </c>
      <c r="R943" t="s">
        <v>26</v>
      </c>
      <c r="S943">
        <v>2</v>
      </c>
    </row>
    <row r="944" spans="1:22" x14ac:dyDescent="0.45">
      <c r="A944" t="str">
        <f>"10335647"</f>
        <v>10335647</v>
      </c>
      <c r="B944" t="s">
        <v>22</v>
      </c>
      <c r="C944" s="1">
        <v>43665</v>
      </c>
      <c r="D944">
        <v>920000</v>
      </c>
      <c r="E944" t="s">
        <v>60</v>
      </c>
      <c r="F944">
        <v>1929</v>
      </c>
      <c r="G944">
        <v>720</v>
      </c>
      <c r="H944" t="s">
        <v>248</v>
      </c>
      <c r="I944" t="str">
        <f t="shared" si="14"/>
        <v>25</v>
      </c>
      <c r="J944">
        <v>60025</v>
      </c>
      <c r="K944">
        <v>4331</v>
      </c>
      <c r="L944">
        <v>11</v>
      </c>
      <c r="M944">
        <v>3</v>
      </c>
      <c r="N944">
        <v>2</v>
      </c>
      <c r="O944" t="s">
        <v>41</v>
      </c>
      <c r="P944">
        <v>4</v>
      </c>
      <c r="Q944">
        <v>0</v>
      </c>
      <c r="R944" t="s">
        <v>26</v>
      </c>
      <c r="S944">
        <v>2</v>
      </c>
      <c r="T944">
        <v>4</v>
      </c>
      <c r="U944">
        <v>865</v>
      </c>
    </row>
    <row r="945" spans="1:22" x14ac:dyDescent="0.45">
      <c r="A945" t="str">
        <f>"10269653"</f>
        <v>10269653</v>
      </c>
      <c r="B945" t="s">
        <v>22</v>
      </c>
      <c r="C945" s="1">
        <v>43567</v>
      </c>
      <c r="D945">
        <v>920000</v>
      </c>
      <c r="E945" t="s">
        <v>60</v>
      </c>
      <c r="F945">
        <v>1949</v>
      </c>
      <c r="G945">
        <v>800</v>
      </c>
      <c r="H945" t="s">
        <v>360</v>
      </c>
      <c r="I945" t="str">
        <f t="shared" si="14"/>
        <v>25</v>
      </c>
      <c r="J945">
        <v>60025</v>
      </c>
      <c r="K945">
        <v>4020</v>
      </c>
      <c r="L945">
        <v>13</v>
      </c>
      <c r="M945">
        <v>5</v>
      </c>
      <c r="N945">
        <v>1</v>
      </c>
      <c r="O945" t="s">
        <v>41</v>
      </c>
      <c r="P945">
        <v>4</v>
      </c>
      <c r="Q945">
        <v>0</v>
      </c>
      <c r="R945" t="s">
        <v>26</v>
      </c>
      <c r="S945">
        <v>2</v>
      </c>
      <c r="U945">
        <v>0</v>
      </c>
      <c r="V945" t="s">
        <v>67</v>
      </c>
    </row>
    <row r="946" spans="1:22" x14ac:dyDescent="0.45">
      <c r="A946" t="str">
        <f>"10258879"</f>
        <v>10258879</v>
      </c>
      <c r="B946" t="s">
        <v>22</v>
      </c>
      <c r="C946" s="1">
        <v>43556</v>
      </c>
      <c r="D946">
        <v>925000</v>
      </c>
      <c r="E946" t="s">
        <v>60</v>
      </c>
      <c r="F946">
        <v>2001</v>
      </c>
      <c r="G946">
        <v>1643</v>
      </c>
      <c r="H946" t="s">
        <v>412</v>
      </c>
      <c r="I946" t="str">
        <f t="shared" si="14"/>
        <v>25</v>
      </c>
      <c r="J946">
        <v>60026</v>
      </c>
      <c r="K946">
        <v>2700</v>
      </c>
      <c r="L946">
        <v>12</v>
      </c>
      <c r="M946">
        <v>3</v>
      </c>
      <c r="N946">
        <v>1</v>
      </c>
      <c r="O946" t="s">
        <v>41</v>
      </c>
      <c r="P946">
        <v>4</v>
      </c>
      <c r="Q946">
        <v>1</v>
      </c>
      <c r="R946" t="s">
        <v>26</v>
      </c>
      <c r="S946">
        <v>3</v>
      </c>
      <c r="V946" t="s">
        <v>67</v>
      </c>
    </row>
    <row r="947" spans="1:22" x14ac:dyDescent="0.45">
      <c r="A947" t="str">
        <f>"10099038"</f>
        <v>10099038</v>
      </c>
      <c r="B947" t="s">
        <v>22</v>
      </c>
      <c r="C947" s="1">
        <v>43756</v>
      </c>
      <c r="D947">
        <v>925000</v>
      </c>
      <c r="E947" t="s">
        <v>60</v>
      </c>
      <c r="F947">
        <v>2001</v>
      </c>
      <c r="G947">
        <v>830</v>
      </c>
      <c r="H947" t="s">
        <v>283</v>
      </c>
      <c r="I947" t="str">
        <f t="shared" si="14"/>
        <v>25</v>
      </c>
      <c r="J947">
        <v>60025</v>
      </c>
      <c r="K947">
        <v>4681</v>
      </c>
      <c r="L947">
        <v>10</v>
      </c>
      <c r="M947">
        <v>5</v>
      </c>
      <c r="N947">
        <v>1</v>
      </c>
      <c r="O947" t="s">
        <v>25</v>
      </c>
      <c r="P947">
        <v>4</v>
      </c>
      <c r="Q947">
        <v>0</v>
      </c>
      <c r="R947" t="s">
        <v>26</v>
      </c>
      <c r="S947">
        <v>3.1</v>
      </c>
      <c r="V947" t="s">
        <v>67</v>
      </c>
    </row>
    <row r="948" spans="1:22" x14ac:dyDescent="0.45">
      <c r="A948" t="str">
        <f>"10731895"</f>
        <v>10731895</v>
      </c>
      <c r="B948" t="s">
        <v>22</v>
      </c>
      <c r="C948" s="1">
        <v>44062</v>
      </c>
      <c r="D948">
        <v>926000</v>
      </c>
      <c r="E948" t="s">
        <v>31</v>
      </c>
      <c r="F948">
        <v>1945</v>
      </c>
      <c r="G948">
        <v>645</v>
      </c>
      <c r="H948" t="s">
        <v>202</v>
      </c>
      <c r="I948" t="str">
        <f t="shared" si="14"/>
        <v>25</v>
      </c>
      <c r="J948">
        <v>60025</v>
      </c>
      <c r="K948">
        <v>4459</v>
      </c>
      <c r="L948">
        <v>13</v>
      </c>
      <c r="M948">
        <v>3</v>
      </c>
      <c r="N948">
        <v>1</v>
      </c>
      <c r="O948" t="s">
        <v>25</v>
      </c>
      <c r="P948">
        <v>4</v>
      </c>
      <c r="Q948">
        <v>0</v>
      </c>
      <c r="R948" t="s">
        <v>35</v>
      </c>
      <c r="S948">
        <v>2.5</v>
      </c>
      <c r="V948" t="s">
        <v>33</v>
      </c>
    </row>
    <row r="949" spans="1:22" x14ac:dyDescent="0.45">
      <c r="A949" t="str">
        <f>"10775074"</f>
        <v>10775074</v>
      </c>
      <c r="B949" t="s">
        <v>22</v>
      </c>
      <c r="C949" s="1">
        <v>44078</v>
      </c>
      <c r="D949">
        <v>930000</v>
      </c>
      <c r="E949" t="s">
        <v>60</v>
      </c>
      <c r="F949">
        <v>1948</v>
      </c>
      <c r="G949">
        <v>31</v>
      </c>
      <c r="H949" t="s">
        <v>190</v>
      </c>
      <c r="I949" t="str">
        <f t="shared" si="14"/>
        <v>25</v>
      </c>
      <c r="J949">
        <v>60029</v>
      </c>
      <c r="K949">
        <v>0</v>
      </c>
      <c r="L949">
        <v>10</v>
      </c>
      <c r="M949">
        <v>3</v>
      </c>
      <c r="N949">
        <v>1</v>
      </c>
      <c r="O949" t="s">
        <v>25</v>
      </c>
      <c r="P949">
        <v>4</v>
      </c>
      <c r="Q949">
        <v>0</v>
      </c>
      <c r="R949" t="s">
        <v>26</v>
      </c>
      <c r="S949">
        <v>2</v>
      </c>
    </row>
    <row r="950" spans="1:22" x14ac:dyDescent="0.45">
      <c r="A950" t="str">
        <f>"10759202"</f>
        <v>10759202</v>
      </c>
      <c r="B950" t="s">
        <v>22</v>
      </c>
      <c r="C950" s="1">
        <v>44109</v>
      </c>
      <c r="D950">
        <v>930000</v>
      </c>
      <c r="E950" t="s">
        <v>74</v>
      </c>
      <c r="F950">
        <v>1965</v>
      </c>
      <c r="G950">
        <v>745</v>
      </c>
      <c r="H950" t="s">
        <v>343</v>
      </c>
      <c r="I950" t="str">
        <f t="shared" si="14"/>
        <v>25</v>
      </c>
      <c r="J950">
        <v>60025</v>
      </c>
      <c r="K950">
        <v>4200</v>
      </c>
      <c r="L950">
        <v>10</v>
      </c>
      <c r="M950">
        <v>4</v>
      </c>
      <c r="N950">
        <v>1</v>
      </c>
      <c r="O950" t="s">
        <v>25</v>
      </c>
      <c r="P950">
        <v>6</v>
      </c>
      <c r="Q950">
        <v>0</v>
      </c>
      <c r="R950" t="s">
        <v>35</v>
      </c>
      <c r="S950">
        <v>4</v>
      </c>
    </row>
    <row r="951" spans="1:22" x14ac:dyDescent="0.45">
      <c r="A951" t="str">
        <f>"10752156"</f>
        <v>10752156</v>
      </c>
      <c r="B951" t="s">
        <v>22</v>
      </c>
      <c r="C951" s="1">
        <v>44195</v>
      </c>
      <c r="D951">
        <v>930000</v>
      </c>
      <c r="E951" t="s">
        <v>60</v>
      </c>
      <c r="F951">
        <v>1936</v>
      </c>
      <c r="G951">
        <v>1220</v>
      </c>
      <c r="H951" t="s">
        <v>413</v>
      </c>
      <c r="I951" t="str">
        <f t="shared" si="14"/>
        <v>25</v>
      </c>
      <c r="J951">
        <v>60025</v>
      </c>
      <c r="K951">
        <v>3400</v>
      </c>
      <c r="L951">
        <v>11</v>
      </c>
      <c r="M951">
        <v>3</v>
      </c>
      <c r="N951">
        <v>1</v>
      </c>
      <c r="O951" t="s">
        <v>25</v>
      </c>
      <c r="P951">
        <v>4</v>
      </c>
      <c r="Q951">
        <v>0</v>
      </c>
      <c r="R951" t="s">
        <v>26</v>
      </c>
      <c r="S951">
        <v>2</v>
      </c>
      <c r="V951" t="s">
        <v>67</v>
      </c>
    </row>
    <row r="952" spans="1:22" x14ac:dyDescent="0.45">
      <c r="A952" t="str">
        <f>"09994638"</f>
        <v>09994638</v>
      </c>
      <c r="B952" t="s">
        <v>22</v>
      </c>
      <c r="C952" s="1">
        <v>43539</v>
      </c>
      <c r="D952">
        <v>930000</v>
      </c>
      <c r="E952" t="s">
        <v>60</v>
      </c>
      <c r="F952">
        <v>2017</v>
      </c>
      <c r="G952">
        <v>336</v>
      </c>
      <c r="H952" t="s">
        <v>77</v>
      </c>
      <c r="I952" t="str">
        <f t="shared" si="14"/>
        <v>25</v>
      </c>
      <c r="J952">
        <v>60025</v>
      </c>
      <c r="K952">
        <v>3763</v>
      </c>
      <c r="L952">
        <v>11</v>
      </c>
      <c r="M952">
        <v>4</v>
      </c>
      <c r="N952">
        <v>1</v>
      </c>
      <c r="O952" t="s">
        <v>41</v>
      </c>
      <c r="P952">
        <v>4</v>
      </c>
      <c r="Q952">
        <v>1</v>
      </c>
      <c r="R952" t="s">
        <v>26</v>
      </c>
      <c r="S952">
        <v>2</v>
      </c>
      <c r="V952" t="s">
        <v>196</v>
      </c>
    </row>
    <row r="953" spans="1:22" x14ac:dyDescent="0.45">
      <c r="A953" t="str">
        <f>"10336488"</f>
        <v>10336488</v>
      </c>
      <c r="B953" t="s">
        <v>22</v>
      </c>
      <c r="C953" s="1">
        <v>43899</v>
      </c>
      <c r="D953">
        <v>930000</v>
      </c>
      <c r="E953" t="s">
        <v>60</v>
      </c>
      <c r="F953">
        <v>1949</v>
      </c>
      <c r="G953">
        <v>620</v>
      </c>
      <c r="H953" t="s">
        <v>151</v>
      </c>
      <c r="I953" t="str">
        <f t="shared" si="14"/>
        <v>25</v>
      </c>
      <c r="J953">
        <v>60025</v>
      </c>
      <c r="K953">
        <v>3044</v>
      </c>
      <c r="L953">
        <v>12</v>
      </c>
      <c r="M953">
        <v>3</v>
      </c>
      <c r="N953">
        <v>2</v>
      </c>
      <c r="O953" t="s">
        <v>41</v>
      </c>
      <c r="P953">
        <v>5</v>
      </c>
      <c r="Q953">
        <v>0</v>
      </c>
      <c r="R953" t="s">
        <v>26</v>
      </c>
      <c r="S953">
        <v>2</v>
      </c>
    </row>
    <row r="954" spans="1:22" x14ac:dyDescent="0.45">
      <c r="A954" t="str">
        <f>"10167132"</f>
        <v>10167132</v>
      </c>
      <c r="B954" t="s">
        <v>22</v>
      </c>
      <c r="C954" s="1">
        <v>43791</v>
      </c>
      <c r="D954">
        <v>930000</v>
      </c>
      <c r="E954" t="s">
        <v>23</v>
      </c>
      <c r="F954">
        <v>1978</v>
      </c>
      <c r="G954">
        <v>25</v>
      </c>
      <c r="H954" t="s">
        <v>236</v>
      </c>
      <c r="I954" t="str">
        <f t="shared" si="14"/>
        <v>25</v>
      </c>
      <c r="J954">
        <v>60029</v>
      </c>
      <c r="K954">
        <v>3874</v>
      </c>
      <c r="L954">
        <v>12</v>
      </c>
      <c r="M954">
        <v>4</v>
      </c>
      <c r="N954">
        <v>1</v>
      </c>
      <c r="O954" t="s">
        <v>41</v>
      </c>
      <c r="P954">
        <v>4</v>
      </c>
      <c r="Q954">
        <v>1</v>
      </c>
      <c r="R954" t="s">
        <v>26</v>
      </c>
      <c r="S954">
        <v>3</v>
      </c>
      <c r="V954" t="s">
        <v>27</v>
      </c>
    </row>
    <row r="955" spans="1:22" x14ac:dyDescent="0.45">
      <c r="A955" t="str">
        <f>"10805594"</f>
        <v>10805594</v>
      </c>
      <c r="B955" t="s">
        <v>22</v>
      </c>
      <c r="C955" s="1">
        <v>44099</v>
      </c>
      <c r="D955">
        <v>932500</v>
      </c>
      <c r="E955" t="s">
        <v>60</v>
      </c>
      <c r="F955">
        <v>1956</v>
      </c>
      <c r="G955">
        <v>1785</v>
      </c>
      <c r="H955" t="s">
        <v>135</v>
      </c>
      <c r="I955" t="str">
        <f t="shared" si="14"/>
        <v>25</v>
      </c>
      <c r="J955">
        <v>60025</v>
      </c>
      <c r="K955">
        <v>3000</v>
      </c>
      <c r="L955">
        <v>12</v>
      </c>
      <c r="M955">
        <v>4</v>
      </c>
      <c r="N955">
        <v>0</v>
      </c>
      <c r="O955" t="s">
        <v>41</v>
      </c>
      <c r="P955">
        <v>6</v>
      </c>
      <c r="Q955">
        <v>0</v>
      </c>
      <c r="R955" t="s">
        <v>26</v>
      </c>
      <c r="S955">
        <v>2</v>
      </c>
    </row>
    <row r="956" spans="1:22" x14ac:dyDescent="0.45">
      <c r="A956" t="str">
        <f>"10636763"</f>
        <v>10636763</v>
      </c>
      <c r="B956" t="s">
        <v>22</v>
      </c>
      <c r="C956" s="1">
        <v>43962</v>
      </c>
      <c r="D956">
        <v>935000</v>
      </c>
      <c r="E956" t="s">
        <v>60</v>
      </c>
      <c r="F956">
        <v>1941</v>
      </c>
      <c r="G956">
        <v>631</v>
      </c>
      <c r="H956" t="s">
        <v>68</v>
      </c>
      <c r="I956" t="str">
        <f t="shared" si="14"/>
        <v>25</v>
      </c>
      <c r="J956">
        <v>60025</v>
      </c>
      <c r="K956">
        <v>0</v>
      </c>
      <c r="L956">
        <v>11</v>
      </c>
      <c r="M956">
        <v>3</v>
      </c>
      <c r="N956">
        <v>1</v>
      </c>
      <c r="O956" t="s">
        <v>25</v>
      </c>
      <c r="P956">
        <v>4</v>
      </c>
      <c r="Q956">
        <v>0</v>
      </c>
      <c r="R956" t="s">
        <v>26</v>
      </c>
      <c r="S956">
        <v>2</v>
      </c>
      <c r="V956" t="s">
        <v>67</v>
      </c>
    </row>
    <row r="957" spans="1:22" x14ac:dyDescent="0.45">
      <c r="A957" t="str">
        <f>"10642956"</f>
        <v>10642956</v>
      </c>
      <c r="B957" t="s">
        <v>22</v>
      </c>
      <c r="C957" s="1">
        <v>44055</v>
      </c>
      <c r="D957">
        <v>935000</v>
      </c>
      <c r="E957" t="s">
        <v>37</v>
      </c>
      <c r="F957">
        <v>1957</v>
      </c>
      <c r="G957">
        <v>1246</v>
      </c>
      <c r="H957" t="s">
        <v>154</v>
      </c>
      <c r="I957" t="str">
        <f t="shared" si="14"/>
        <v>25</v>
      </c>
      <c r="J957">
        <v>60025</v>
      </c>
      <c r="K957">
        <v>3450</v>
      </c>
      <c r="L957">
        <v>10</v>
      </c>
      <c r="M957">
        <v>3</v>
      </c>
      <c r="N957">
        <v>1</v>
      </c>
      <c r="O957" t="s">
        <v>41</v>
      </c>
      <c r="P957">
        <v>4</v>
      </c>
      <c r="Q957">
        <v>0</v>
      </c>
      <c r="R957" t="s">
        <v>26</v>
      </c>
      <c r="S957">
        <v>2</v>
      </c>
    </row>
    <row r="958" spans="1:22" x14ac:dyDescent="0.45">
      <c r="A958" t="str">
        <f>"10471445"</f>
        <v>10471445</v>
      </c>
      <c r="B958" t="s">
        <v>22</v>
      </c>
      <c r="C958" s="1">
        <v>43872</v>
      </c>
      <c r="D958">
        <v>935000</v>
      </c>
      <c r="E958" t="s">
        <v>60</v>
      </c>
      <c r="F958">
        <v>2007</v>
      </c>
      <c r="G958">
        <v>609</v>
      </c>
      <c r="H958" t="s">
        <v>119</v>
      </c>
      <c r="I958" t="str">
        <f t="shared" si="14"/>
        <v>25</v>
      </c>
      <c r="J958">
        <v>60025</v>
      </c>
      <c r="K958">
        <v>4408</v>
      </c>
      <c r="L958">
        <v>13</v>
      </c>
      <c r="M958">
        <v>4</v>
      </c>
      <c r="N958">
        <v>1</v>
      </c>
      <c r="O958" t="s">
        <v>25</v>
      </c>
      <c r="P958">
        <v>4</v>
      </c>
      <c r="Q958">
        <v>0</v>
      </c>
      <c r="R958" t="s">
        <v>26</v>
      </c>
      <c r="S958">
        <v>3.5</v>
      </c>
      <c r="T958">
        <v>5</v>
      </c>
      <c r="U958">
        <v>2204</v>
      </c>
    </row>
    <row r="959" spans="1:22" x14ac:dyDescent="0.45">
      <c r="A959" t="str">
        <f>"10356125"</f>
        <v>10356125</v>
      </c>
      <c r="B959" t="s">
        <v>22</v>
      </c>
      <c r="C959" s="1">
        <v>43679</v>
      </c>
      <c r="D959">
        <v>939000</v>
      </c>
      <c r="E959" t="s">
        <v>60</v>
      </c>
      <c r="F959">
        <v>2001</v>
      </c>
      <c r="G959">
        <v>1592</v>
      </c>
      <c r="H959" t="s">
        <v>414</v>
      </c>
      <c r="I959" t="str">
        <f t="shared" si="14"/>
        <v>25</v>
      </c>
      <c r="J959">
        <v>60026</v>
      </c>
      <c r="K959">
        <v>4412</v>
      </c>
      <c r="L959">
        <v>12</v>
      </c>
      <c r="M959">
        <v>5</v>
      </c>
      <c r="N959">
        <v>1</v>
      </c>
      <c r="O959" t="s">
        <v>25</v>
      </c>
      <c r="P959">
        <v>6</v>
      </c>
      <c r="Q959">
        <v>0</v>
      </c>
      <c r="R959" t="s">
        <v>26</v>
      </c>
      <c r="S959">
        <v>3</v>
      </c>
    </row>
    <row r="960" spans="1:22" x14ac:dyDescent="0.45">
      <c r="A960" t="str">
        <f>"10290053"</f>
        <v>10290053</v>
      </c>
      <c r="B960" t="s">
        <v>22</v>
      </c>
      <c r="C960" s="1">
        <v>43626</v>
      </c>
      <c r="D960">
        <v>940000</v>
      </c>
      <c r="E960" t="s">
        <v>60</v>
      </c>
      <c r="F960">
        <v>1955</v>
      </c>
      <c r="G960">
        <v>400</v>
      </c>
      <c r="H960" t="s">
        <v>223</v>
      </c>
      <c r="I960" t="str">
        <f t="shared" si="14"/>
        <v>25</v>
      </c>
      <c r="J960">
        <v>60025</v>
      </c>
      <c r="K960">
        <v>0</v>
      </c>
      <c r="L960">
        <v>10</v>
      </c>
      <c r="M960">
        <v>4</v>
      </c>
      <c r="N960">
        <v>0</v>
      </c>
      <c r="O960" t="s">
        <v>41</v>
      </c>
      <c r="P960">
        <v>4</v>
      </c>
      <c r="Q960">
        <v>1</v>
      </c>
      <c r="R960" t="s">
        <v>26</v>
      </c>
      <c r="S960">
        <v>2</v>
      </c>
    </row>
    <row r="961" spans="1:22" x14ac:dyDescent="0.45">
      <c r="A961" t="str">
        <f>"10273493"</f>
        <v>10273493</v>
      </c>
      <c r="B961" t="s">
        <v>22</v>
      </c>
      <c r="C961" s="1">
        <v>43579</v>
      </c>
      <c r="D961">
        <v>940000</v>
      </c>
      <c r="E961" t="s">
        <v>60</v>
      </c>
      <c r="F961">
        <v>2002</v>
      </c>
      <c r="G961">
        <v>2344</v>
      </c>
      <c r="H961" t="s">
        <v>211</v>
      </c>
      <c r="I961" t="str">
        <f t="shared" si="14"/>
        <v>25</v>
      </c>
      <c r="J961">
        <v>60025</v>
      </c>
      <c r="K961">
        <v>4107</v>
      </c>
      <c r="L961">
        <v>10</v>
      </c>
      <c r="M961">
        <v>4</v>
      </c>
      <c r="N961">
        <v>1</v>
      </c>
      <c r="O961" t="s">
        <v>41</v>
      </c>
      <c r="P961">
        <v>4</v>
      </c>
      <c r="Q961">
        <v>0</v>
      </c>
      <c r="R961" t="s">
        <v>26</v>
      </c>
      <c r="S961">
        <v>3</v>
      </c>
      <c r="U961">
        <v>2174</v>
      </c>
      <c r="V961" t="s">
        <v>333</v>
      </c>
    </row>
    <row r="962" spans="1:22" x14ac:dyDescent="0.45">
      <c r="A962" t="str">
        <f>"10172882"</f>
        <v>10172882</v>
      </c>
      <c r="B962" t="s">
        <v>22</v>
      </c>
      <c r="C962" s="1">
        <v>43598</v>
      </c>
      <c r="D962">
        <v>940000</v>
      </c>
      <c r="E962" t="s">
        <v>60</v>
      </c>
      <c r="F962">
        <v>2001</v>
      </c>
      <c r="G962">
        <v>1691</v>
      </c>
      <c r="H962" t="s">
        <v>412</v>
      </c>
      <c r="I962" t="str">
        <f t="shared" ref="I962:I1025" si="15">"25"</f>
        <v>25</v>
      </c>
      <c r="J962">
        <v>60026</v>
      </c>
      <c r="K962">
        <v>3019</v>
      </c>
      <c r="L962">
        <v>11</v>
      </c>
      <c r="M962">
        <v>4</v>
      </c>
      <c r="N962">
        <v>0</v>
      </c>
      <c r="O962" t="s">
        <v>41</v>
      </c>
      <c r="P962">
        <v>4</v>
      </c>
      <c r="Q962">
        <v>0</v>
      </c>
      <c r="R962" t="s">
        <v>26</v>
      </c>
      <c r="S962">
        <v>2</v>
      </c>
      <c r="U962">
        <v>1566</v>
      </c>
      <c r="V962" t="s">
        <v>67</v>
      </c>
    </row>
    <row r="963" spans="1:22" x14ac:dyDescent="0.45">
      <c r="A963" t="str">
        <f>"10757200"</f>
        <v>10757200</v>
      </c>
      <c r="B963" t="s">
        <v>22</v>
      </c>
      <c r="C963" s="1">
        <v>44043</v>
      </c>
      <c r="D963">
        <v>940000</v>
      </c>
      <c r="E963" t="s">
        <v>60</v>
      </c>
      <c r="F963">
        <v>1956</v>
      </c>
      <c r="G963">
        <v>1241</v>
      </c>
      <c r="H963" t="s">
        <v>286</v>
      </c>
      <c r="I963" t="str">
        <f t="shared" si="15"/>
        <v>25</v>
      </c>
      <c r="J963">
        <v>60025</v>
      </c>
      <c r="K963">
        <v>3200</v>
      </c>
      <c r="L963">
        <v>12</v>
      </c>
      <c r="M963">
        <v>4</v>
      </c>
      <c r="N963">
        <v>0</v>
      </c>
      <c r="O963" t="s">
        <v>41</v>
      </c>
      <c r="P963">
        <v>5</v>
      </c>
      <c r="Q963">
        <v>1</v>
      </c>
      <c r="R963" t="s">
        <v>26</v>
      </c>
      <c r="S963">
        <v>2</v>
      </c>
      <c r="U963">
        <v>1600</v>
      </c>
    </row>
    <row r="964" spans="1:22" x14ac:dyDescent="0.45">
      <c r="A964" t="str">
        <f>"10056956"</f>
        <v>10056956</v>
      </c>
      <c r="B964" t="s">
        <v>22</v>
      </c>
      <c r="C964" s="1">
        <v>43511</v>
      </c>
      <c r="D964">
        <v>944000</v>
      </c>
      <c r="E964" t="s">
        <v>60</v>
      </c>
      <c r="F964">
        <v>2003</v>
      </c>
      <c r="G964">
        <v>1719</v>
      </c>
      <c r="H964" t="s">
        <v>412</v>
      </c>
      <c r="I964" t="str">
        <f t="shared" si="15"/>
        <v>25</v>
      </c>
      <c r="J964">
        <v>60026</v>
      </c>
      <c r="K964">
        <v>3342</v>
      </c>
      <c r="L964">
        <v>14</v>
      </c>
      <c r="M964">
        <v>4</v>
      </c>
      <c r="N964">
        <v>0</v>
      </c>
      <c r="O964" t="s">
        <v>41</v>
      </c>
      <c r="P964">
        <v>5</v>
      </c>
      <c r="Q964">
        <v>1</v>
      </c>
      <c r="R964" t="s">
        <v>26</v>
      </c>
      <c r="S964">
        <v>3</v>
      </c>
      <c r="V964" t="s">
        <v>67</v>
      </c>
    </row>
    <row r="965" spans="1:22" x14ac:dyDescent="0.45">
      <c r="A965" t="str">
        <f>"10470541"</f>
        <v>10470541</v>
      </c>
      <c r="B965" t="s">
        <v>22</v>
      </c>
      <c r="C965" s="1">
        <v>43742</v>
      </c>
      <c r="D965">
        <v>945000</v>
      </c>
      <c r="E965" t="s">
        <v>60</v>
      </c>
      <c r="F965">
        <v>2007</v>
      </c>
      <c r="G965">
        <v>1811</v>
      </c>
      <c r="H965" t="s">
        <v>117</v>
      </c>
      <c r="I965" t="str">
        <f t="shared" si="15"/>
        <v>25</v>
      </c>
      <c r="J965">
        <v>60025</v>
      </c>
      <c r="K965">
        <v>3981</v>
      </c>
      <c r="L965">
        <v>12</v>
      </c>
      <c r="M965">
        <v>5</v>
      </c>
      <c r="N965">
        <v>0</v>
      </c>
      <c r="O965" t="s">
        <v>41</v>
      </c>
      <c r="P965">
        <v>5</v>
      </c>
      <c r="Q965">
        <v>1</v>
      </c>
      <c r="R965" t="s">
        <v>26</v>
      </c>
      <c r="S965">
        <v>2</v>
      </c>
      <c r="U965">
        <v>0</v>
      </c>
      <c r="V965" t="s">
        <v>333</v>
      </c>
    </row>
    <row r="966" spans="1:22" x14ac:dyDescent="0.45">
      <c r="A966" t="str">
        <f>"10559014"</f>
        <v>10559014</v>
      </c>
      <c r="B966" t="s">
        <v>22</v>
      </c>
      <c r="C966" s="1">
        <v>43868</v>
      </c>
      <c r="D966">
        <v>946000</v>
      </c>
      <c r="E966" t="s">
        <v>143</v>
      </c>
      <c r="F966">
        <v>1957</v>
      </c>
      <c r="G966">
        <v>830</v>
      </c>
      <c r="H966" t="s">
        <v>403</v>
      </c>
      <c r="I966" t="str">
        <f t="shared" si="15"/>
        <v>25</v>
      </c>
      <c r="J966">
        <v>60025</v>
      </c>
      <c r="K966">
        <v>4344</v>
      </c>
      <c r="L966">
        <v>13</v>
      </c>
      <c r="M966">
        <v>4</v>
      </c>
      <c r="N966">
        <v>2</v>
      </c>
      <c r="O966" t="s">
        <v>41</v>
      </c>
      <c r="P966">
        <v>4</v>
      </c>
      <c r="Q966">
        <v>0</v>
      </c>
      <c r="R966" t="s">
        <v>26</v>
      </c>
      <c r="S966">
        <v>3</v>
      </c>
    </row>
    <row r="967" spans="1:22" x14ac:dyDescent="0.45">
      <c r="A967" t="str">
        <f>"10615857"</f>
        <v>10615857</v>
      </c>
      <c r="B967" t="s">
        <v>22</v>
      </c>
      <c r="C967" s="1">
        <v>44013</v>
      </c>
      <c r="D967">
        <v>950000</v>
      </c>
      <c r="E967" t="s">
        <v>37</v>
      </c>
      <c r="F967">
        <v>1960</v>
      </c>
      <c r="G967">
        <v>1020</v>
      </c>
      <c r="H967" t="s">
        <v>256</v>
      </c>
      <c r="I967" t="str">
        <f t="shared" si="15"/>
        <v>25</v>
      </c>
      <c r="J967">
        <v>60025</v>
      </c>
      <c r="K967">
        <v>2454</v>
      </c>
      <c r="L967">
        <v>8</v>
      </c>
      <c r="M967">
        <v>3</v>
      </c>
      <c r="N967">
        <v>2</v>
      </c>
      <c r="O967" t="s">
        <v>41</v>
      </c>
      <c r="P967">
        <v>4</v>
      </c>
      <c r="Q967">
        <v>0</v>
      </c>
      <c r="R967" t="s">
        <v>26</v>
      </c>
      <c r="S967">
        <v>2</v>
      </c>
    </row>
    <row r="968" spans="1:22" x14ac:dyDescent="0.45">
      <c r="A968" t="str">
        <f>"10754539"</f>
        <v>10754539</v>
      </c>
      <c r="B968" t="s">
        <v>22</v>
      </c>
      <c r="C968" s="1">
        <v>44075</v>
      </c>
      <c r="D968">
        <v>952500</v>
      </c>
      <c r="E968" t="s">
        <v>60</v>
      </c>
      <c r="F968">
        <v>2011</v>
      </c>
      <c r="G968">
        <v>1784</v>
      </c>
      <c r="H968" t="s">
        <v>83</v>
      </c>
      <c r="I968" t="str">
        <f t="shared" si="15"/>
        <v>25</v>
      </c>
      <c r="J968">
        <v>60025</v>
      </c>
      <c r="K968">
        <v>4881</v>
      </c>
      <c r="L968">
        <v>12</v>
      </c>
      <c r="M968">
        <v>5</v>
      </c>
      <c r="N968">
        <v>1</v>
      </c>
      <c r="O968" t="s">
        <v>41</v>
      </c>
      <c r="P968">
        <v>4</v>
      </c>
      <c r="Q968">
        <v>2</v>
      </c>
      <c r="R968" t="s">
        <v>26</v>
      </c>
      <c r="S968">
        <v>3</v>
      </c>
    </row>
    <row r="969" spans="1:22" x14ac:dyDescent="0.45">
      <c r="A969" t="str">
        <f>"10376134"</f>
        <v>10376134</v>
      </c>
      <c r="B969" t="s">
        <v>22</v>
      </c>
      <c r="C969" s="1">
        <v>43665</v>
      </c>
      <c r="D969">
        <v>960000</v>
      </c>
      <c r="E969" t="s">
        <v>60</v>
      </c>
      <c r="F969">
        <v>2001</v>
      </c>
      <c r="G969">
        <v>1650</v>
      </c>
      <c r="H969" t="s">
        <v>412</v>
      </c>
      <c r="I969" t="str">
        <f t="shared" si="15"/>
        <v>25</v>
      </c>
      <c r="J969">
        <v>60026</v>
      </c>
      <c r="K969">
        <v>3243</v>
      </c>
      <c r="L969">
        <v>10</v>
      </c>
      <c r="M969">
        <v>3</v>
      </c>
      <c r="N969">
        <v>1</v>
      </c>
      <c r="O969" t="s">
        <v>41</v>
      </c>
      <c r="P969">
        <v>5</v>
      </c>
      <c r="Q969">
        <v>1</v>
      </c>
      <c r="R969" t="s">
        <v>26</v>
      </c>
      <c r="S969">
        <v>3</v>
      </c>
    </row>
    <row r="970" spans="1:22" x14ac:dyDescent="0.45">
      <c r="A970" t="str">
        <f>"10685787"</f>
        <v>10685787</v>
      </c>
      <c r="B970" t="s">
        <v>22</v>
      </c>
      <c r="C970" s="1">
        <v>44057</v>
      </c>
      <c r="D970">
        <v>960000</v>
      </c>
      <c r="E970" t="s">
        <v>60</v>
      </c>
      <c r="F970">
        <v>2013</v>
      </c>
      <c r="G970">
        <v>1367</v>
      </c>
      <c r="H970" t="s">
        <v>415</v>
      </c>
      <c r="I970" t="str">
        <f t="shared" si="15"/>
        <v>25</v>
      </c>
      <c r="J970">
        <v>60025</v>
      </c>
      <c r="K970">
        <v>4850</v>
      </c>
      <c r="L970">
        <v>14</v>
      </c>
      <c r="M970">
        <v>4</v>
      </c>
      <c r="N970">
        <v>1</v>
      </c>
      <c r="O970" t="s">
        <v>41</v>
      </c>
      <c r="P970">
        <v>4</v>
      </c>
      <c r="Q970">
        <v>1</v>
      </c>
      <c r="R970" t="s">
        <v>26</v>
      </c>
      <c r="S970">
        <v>2.5</v>
      </c>
      <c r="V970" t="s">
        <v>67</v>
      </c>
    </row>
    <row r="971" spans="1:22" x14ac:dyDescent="0.45">
      <c r="A971" t="str">
        <f>"10128629"</f>
        <v>10128629</v>
      </c>
      <c r="B971" t="s">
        <v>22</v>
      </c>
      <c r="C971" s="1">
        <v>43609</v>
      </c>
      <c r="D971">
        <v>960000</v>
      </c>
      <c r="E971" t="s">
        <v>60</v>
      </c>
      <c r="F971">
        <v>2019</v>
      </c>
      <c r="G971">
        <v>1138</v>
      </c>
      <c r="H971" t="s">
        <v>122</v>
      </c>
      <c r="I971" t="str">
        <f t="shared" si="15"/>
        <v>25</v>
      </c>
      <c r="J971">
        <v>60025</v>
      </c>
      <c r="K971">
        <v>4035</v>
      </c>
      <c r="L971">
        <v>12</v>
      </c>
      <c r="M971">
        <v>5</v>
      </c>
      <c r="N971">
        <v>1</v>
      </c>
      <c r="O971" t="s">
        <v>41</v>
      </c>
      <c r="P971">
        <v>4</v>
      </c>
      <c r="Q971">
        <v>1</v>
      </c>
      <c r="R971" t="s">
        <v>26</v>
      </c>
      <c r="S971">
        <v>2</v>
      </c>
      <c r="V971" t="s">
        <v>67</v>
      </c>
    </row>
    <row r="972" spans="1:22" x14ac:dyDescent="0.45">
      <c r="A972" t="str">
        <f>"10409382"</f>
        <v>10409382</v>
      </c>
      <c r="B972" t="s">
        <v>22</v>
      </c>
      <c r="C972" s="1">
        <v>43717</v>
      </c>
      <c r="D972">
        <v>962500</v>
      </c>
      <c r="E972" t="s">
        <v>60</v>
      </c>
      <c r="F972">
        <v>2001</v>
      </c>
      <c r="G972">
        <v>1599</v>
      </c>
      <c r="H972" t="s">
        <v>416</v>
      </c>
      <c r="I972" t="str">
        <f t="shared" si="15"/>
        <v>25</v>
      </c>
      <c r="J972">
        <v>60026</v>
      </c>
      <c r="K972">
        <v>3963</v>
      </c>
      <c r="L972">
        <v>12</v>
      </c>
      <c r="M972">
        <v>4</v>
      </c>
      <c r="N972">
        <v>1</v>
      </c>
      <c r="O972" t="s">
        <v>41</v>
      </c>
      <c r="P972">
        <v>4</v>
      </c>
      <c r="Q972">
        <v>1</v>
      </c>
      <c r="R972" t="s">
        <v>26</v>
      </c>
      <c r="S972">
        <v>3</v>
      </c>
      <c r="V972" t="s">
        <v>67</v>
      </c>
    </row>
    <row r="973" spans="1:22" x14ac:dyDescent="0.45">
      <c r="A973" t="str">
        <f>"10446995"</f>
        <v>10446995</v>
      </c>
      <c r="B973" t="s">
        <v>22</v>
      </c>
      <c r="C973" s="1">
        <v>43732</v>
      </c>
      <c r="D973">
        <v>965000</v>
      </c>
      <c r="E973" t="s">
        <v>60</v>
      </c>
      <c r="F973">
        <v>2013</v>
      </c>
      <c r="G973">
        <v>1375</v>
      </c>
      <c r="H973" t="s">
        <v>415</v>
      </c>
      <c r="I973" t="str">
        <f t="shared" si="15"/>
        <v>25</v>
      </c>
      <c r="J973">
        <v>60025</v>
      </c>
      <c r="K973">
        <v>5002</v>
      </c>
      <c r="L973">
        <v>14</v>
      </c>
      <c r="M973">
        <v>4</v>
      </c>
      <c r="N973">
        <v>1</v>
      </c>
      <c r="O973" t="s">
        <v>41</v>
      </c>
      <c r="P973">
        <v>4</v>
      </c>
      <c r="Q973">
        <v>1</v>
      </c>
      <c r="R973" t="s">
        <v>26</v>
      </c>
      <c r="S973">
        <v>2.5</v>
      </c>
    </row>
    <row r="974" spans="1:22" x14ac:dyDescent="0.45">
      <c r="A974" t="str">
        <f>"10126747"</f>
        <v>10126747</v>
      </c>
      <c r="B974" t="s">
        <v>22</v>
      </c>
      <c r="C974" s="1">
        <v>43525</v>
      </c>
      <c r="D974">
        <v>965000</v>
      </c>
      <c r="E974" t="s">
        <v>60</v>
      </c>
      <c r="F974">
        <v>2007</v>
      </c>
      <c r="G974">
        <v>2004</v>
      </c>
      <c r="H974" t="s">
        <v>211</v>
      </c>
      <c r="I974" t="str">
        <f t="shared" si="15"/>
        <v>25</v>
      </c>
      <c r="J974">
        <v>60025</v>
      </c>
      <c r="K974">
        <v>4038</v>
      </c>
      <c r="L974">
        <v>13</v>
      </c>
      <c r="M974">
        <v>5</v>
      </c>
      <c r="N974">
        <v>0</v>
      </c>
      <c r="O974" t="s">
        <v>41</v>
      </c>
      <c r="P974">
        <v>5</v>
      </c>
      <c r="Q974">
        <v>1</v>
      </c>
      <c r="R974" t="s">
        <v>35</v>
      </c>
      <c r="S974">
        <v>2</v>
      </c>
      <c r="V974" t="s">
        <v>67</v>
      </c>
    </row>
    <row r="975" spans="1:22" x14ac:dyDescent="0.45">
      <c r="A975" t="str">
        <f>"10736021"</f>
        <v>10736021</v>
      </c>
      <c r="B975" t="s">
        <v>22</v>
      </c>
      <c r="C975" s="1">
        <v>44060</v>
      </c>
      <c r="D975">
        <v>970000</v>
      </c>
      <c r="E975" t="s">
        <v>60</v>
      </c>
      <c r="F975">
        <v>1947</v>
      </c>
      <c r="G975">
        <v>1904</v>
      </c>
      <c r="H975" t="s">
        <v>328</v>
      </c>
      <c r="I975" t="str">
        <f t="shared" si="15"/>
        <v>25</v>
      </c>
      <c r="J975">
        <v>60025</v>
      </c>
      <c r="K975">
        <v>3300</v>
      </c>
      <c r="L975">
        <v>11</v>
      </c>
      <c r="M975">
        <v>4</v>
      </c>
      <c r="N975">
        <v>1</v>
      </c>
      <c r="O975" t="s">
        <v>41</v>
      </c>
      <c r="P975">
        <v>5</v>
      </c>
      <c r="Q975">
        <v>0</v>
      </c>
      <c r="R975" t="s">
        <v>26</v>
      </c>
      <c r="S975">
        <v>3</v>
      </c>
    </row>
    <row r="976" spans="1:22" x14ac:dyDescent="0.45">
      <c r="A976" t="str">
        <f>"10719785"</f>
        <v>10719785</v>
      </c>
      <c r="B976" t="s">
        <v>22</v>
      </c>
      <c r="C976" s="1">
        <v>44057</v>
      </c>
      <c r="D976">
        <v>970000</v>
      </c>
      <c r="E976" t="s">
        <v>60</v>
      </c>
      <c r="F976">
        <v>2001</v>
      </c>
      <c r="G976">
        <v>1542</v>
      </c>
      <c r="H976" t="s">
        <v>406</v>
      </c>
      <c r="I976" t="str">
        <f t="shared" si="15"/>
        <v>25</v>
      </c>
      <c r="J976">
        <v>60026</v>
      </c>
      <c r="K976">
        <v>4632</v>
      </c>
      <c r="L976">
        <v>14</v>
      </c>
      <c r="M976">
        <v>3</v>
      </c>
      <c r="N976">
        <v>1</v>
      </c>
      <c r="O976" t="s">
        <v>41</v>
      </c>
      <c r="P976">
        <v>4</v>
      </c>
      <c r="Q976">
        <v>1</v>
      </c>
      <c r="R976" t="s">
        <v>26</v>
      </c>
      <c r="S976">
        <v>2</v>
      </c>
      <c r="V976" t="s">
        <v>67</v>
      </c>
    </row>
    <row r="977" spans="1:22" x14ac:dyDescent="0.45">
      <c r="A977" t="str">
        <f>"10436509"</f>
        <v>10436509</v>
      </c>
      <c r="B977" t="s">
        <v>22</v>
      </c>
      <c r="C977" s="1">
        <v>43861</v>
      </c>
      <c r="D977">
        <v>970000</v>
      </c>
      <c r="E977" t="s">
        <v>60</v>
      </c>
      <c r="F977">
        <v>1981</v>
      </c>
      <c r="G977">
        <v>1</v>
      </c>
      <c r="H977" t="s">
        <v>284</v>
      </c>
      <c r="I977" t="str">
        <f t="shared" si="15"/>
        <v>25</v>
      </c>
      <c r="J977">
        <v>60029</v>
      </c>
      <c r="K977">
        <v>6356</v>
      </c>
      <c r="L977">
        <v>11</v>
      </c>
      <c r="M977">
        <v>4</v>
      </c>
      <c r="N977">
        <v>1</v>
      </c>
      <c r="O977" t="s">
        <v>41</v>
      </c>
      <c r="P977">
        <v>4</v>
      </c>
      <c r="Q977">
        <v>0</v>
      </c>
      <c r="R977" t="s">
        <v>26</v>
      </c>
      <c r="S977">
        <v>3</v>
      </c>
      <c r="U977">
        <v>1625</v>
      </c>
      <c r="V977" t="s">
        <v>67</v>
      </c>
    </row>
    <row r="978" spans="1:22" x14ac:dyDescent="0.45">
      <c r="A978" t="str">
        <f>"10631407"</f>
        <v>10631407</v>
      </c>
      <c r="B978" t="s">
        <v>22</v>
      </c>
      <c r="C978" s="1">
        <v>44046</v>
      </c>
      <c r="D978">
        <v>974000</v>
      </c>
      <c r="E978" t="s">
        <v>60</v>
      </c>
      <c r="F978">
        <v>2018</v>
      </c>
      <c r="G978">
        <v>2800</v>
      </c>
      <c r="H978" t="s">
        <v>83</v>
      </c>
      <c r="I978" t="str">
        <f t="shared" si="15"/>
        <v>25</v>
      </c>
      <c r="J978">
        <v>60025</v>
      </c>
      <c r="K978">
        <v>4000</v>
      </c>
      <c r="L978">
        <v>11</v>
      </c>
      <c r="M978">
        <v>4</v>
      </c>
      <c r="N978">
        <v>1</v>
      </c>
      <c r="O978" t="s">
        <v>41</v>
      </c>
      <c r="P978">
        <v>4</v>
      </c>
      <c r="Q978">
        <v>1</v>
      </c>
      <c r="R978" t="s">
        <v>26</v>
      </c>
      <c r="S978">
        <v>2</v>
      </c>
      <c r="V978" t="s">
        <v>67</v>
      </c>
    </row>
    <row r="979" spans="1:22" x14ac:dyDescent="0.45">
      <c r="A979" t="str">
        <f>"10135913"</f>
        <v>10135913</v>
      </c>
      <c r="B979" t="s">
        <v>22</v>
      </c>
      <c r="C979" s="1">
        <v>43594</v>
      </c>
      <c r="D979">
        <v>975000</v>
      </c>
      <c r="E979" t="s">
        <v>60</v>
      </c>
      <c r="F979">
        <v>2001</v>
      </c>
      <c r="G979">
        <v>1667</v>
      </c>
      <c r="H979" t="s">
        <v>412</v>
      </c>
      <c r="I979" t="str">
        <f t="shared" si="15"/>
        <v>25</v>
      </c>
      <c r="J979">
        <v>60026</v>
      </c>
      <c r="K979">
        <v>4488</v>
      </c>
      <c r="L979">
        <v>13</v>
      </c>
      <c r="M979">
        <v>4</v>
      </c>
      <c r="N979">
        <v>0</v>
      </c>
      <c r="O979" t="s">
        <v>41</v>
      </c>
      <c r="P979">
        <v>5</v>
      </c>
      <c r="Q979">
        <v>0</v>
      </c>
      <c r="R979" t="s">
        <v>26</v>
      </c>
      <c r="S979">
        <v>2</v>
      </c>
    </row>
    <row r="980" spans="1:22" x14ac:dyDescent="0.45">
      <c r="A980" t="str">
        <f>"10465030"</f>
        <v>10465030</v>
      </c>
      <c r="B980" t="s">
        <v>22</v>
      </c>
      <c r="C980" s="1">
        <v>43803</v>
      </c>
      <c r="D980">
        <v>975000</v>
      </c>
      <c r="E980" t="s">
        <v>60</v>
      </c>
      <c r="F980">
        <v>1999</v>
      </c>
      <c r="G980">
        <v>2299</v>
      </c>
      <c r="H980" t="s">
        <v>409</v>
      </c>
      <c r="I980" t="str">
        <f t="shared" si="15"/>
        <v>25</v>
      </c>
      <c r="J980">
        <v>60026</v>
      </c>
      <c r="K980">
        <v>3013</v>
      </c>
      <c r="L980">
        <v>9</v>
      </c>
      <c r="M980">
        <v>3</v>
      </c>
      <c r="N980">
        <v>1</v>
      </c>
      <c r="O980" t="s">
        <v>41</v>
      </c>
      <c r="P980">
        <v>4</v>
      </c>
      <c r="Q980">
        <v>0</v>
      </c>
      <c r="R980" t="s">
        <v>26</v>
      </c>
      <c r="S980">
        <v>2</v>
      </c>
    </row>
    <row r="981" spans="1:22" x14ac:dyDescent="0.45">
      <c r="A981" t="str">
        <f>"10406308"</f>
        <v>10406308</v>
      </c>
      <c r="B981" t="s">
        <v>22</v>
      </c>
      <c r="C981" s="1">
        <v>43705</v>
      </c>
      <c r="D981">
        <v>975000</v>
      </c>
      <c r="E981" t="s">
        <v>60</v>
      </c>
      <c r="F981">
        <v>2005</v>
      </c>
      <c r="G981">
        <v>610</v>
      </c>
      <c r="H981" t="s">
        <v>417</v>
      </c>
      <c r="I981" t="str">
        <f t="shared" si="15"/>
        <v>25</v>
      </c>
      <c r="J981">
        <v>60025</v>
      </c>
      <c r="K981">
        <v>6737</v>
      </c>
      <c r="L981">
        <v>15</v>
      </c>
      <c r="M981">
        <v>5</v>
      </c>
      <c r="N981">
        <v>1</v>
      </c>
      <c r="O981" t="s">
        <v>41</v>
      </c>
      <c r="P981">
        <v>5</v>
      </c>
      <c r="Q981">
        <v>1</v>
      </c>
      <c r="R981" t="s">
        <v>26</v>
      </c>
      <c r="S981">
        <v>3</v>
      </c>
    </row>
    <row r="982" spans="1:22" x14ac:dyDescent="0.45">
      <c r="A982" t="str">
        <f>"10166351"</f>
        <v>10166351</v>
      </c>
      <c r="B982" t="s">
        <v>22</v>
      </c>
      <c r="C982" s="1">
        <v>43595</v>
      </c>
      <c r="D982">
        <v>975000</v>
      </c>
      <c r="E982" t="s">
        <v>60</v>
      </c>
      <c r="F982" t="s">
        <v>29</v>
      </c>
      <c r="G982">
        <v>1771</v>
      </c>
      <c r="H982" t="s">
        <v>83</v>
      </c>
      <c r="I982" t="str">
        <f t="shared" si="15"/>
        <v>25</v>
      </c>
      <c r="J982">
        <v>60025</v>
      </c>
      <c r="K982">
        <v>3811</v>
      </c>
      <c r="L982">
        <v>11</v>
      </c>
      <c r="M982">
        <v>4</v>
      </c>
      <c r="N982">
        <v>1</v>
      </c>
      <c r="O982" t="s">
        <v>41</v>
      </c>
      <c r="P982">
        <v>4</v>
      </c>
      <c r="Q982">
        <v>1</v>
      </c>
      <c r="R982" t="s">
        <v>26</v>
      </c>
      <c r="S982">
        <v>2.5</v>
      </c>
      <c r="V982" t="s">
        <v>67</v>
      </c>
    </row>
    <row r="983" spans="1:22" x14ac:dyDescent="0.45">
      <c r="A983" t="str">
        <f>"10472036"</f>
        <v>10472036</v>
      </c>
      <c r="B983" t="s">
        <v>22</v>
      </c>
      <c r="C983" s="1">
        <v>43718</v>
      </c>
      <c r="D983">
        <v>975000</v>
      </c>
      <c r="E983" t="s">
        <v>23</v>
      </c>
      <c r="F983">
        <v>1949</v>
      </c>
      <c r="G983">
        <v>744</v>
      </c>
      <c r="H983" t="s">
        <v>418</v>
      </c>
      <c r="I983" t="str">
        <f t="shared" si="15"/>
        <v>25</v>
      </c>
      <c r="J983">
        <v>60025</v>
      </c>
      <c r="K983">
        <v>2841</v>
      </c>
      <c r="L983">
        <v>10</v>
      </c>
      <c r="M983">
        <v>3</v>
      </c>
      <c r="N983">
        <v>0</v>
      </c>
      <c r="O983" t="s">
        <v>41</v>
      </c>
      <c r="P983">
        <v>3</v>
      </c>
      <c r="Q983">
        <v>0</v>
      </c>
      <c r="R983" t="s">
        <v>26</v>
      </c>
      <c r="S983">
        <v>2</v>
      </c>
      <c r="V983" t="s">
        <v>27</v>
      </c>
    </row>
    <row r="984" spans="1:22" x14ac:dyDescent="0.45">
      <c r="A984" t="str">
        <f>"10124221"</f>
        <v>10124221</v>
      </c>
      <c r="B984" t="s">
        <v>22</v>
      </c>
      <c r="C984" s="1">
        <v>43476</v>
      </c>
      <c r="D984">
        <v>980000</v>
      </c>
      <c r="E984" t="s">
        <v>60</v>
      </c>
      <c r="F984">
        <v>1999</v>
      </c>
      <c r="G984">
        <v>1309</v>
      </c>
      <c r="H984" t="s">
        <v>419</v>
      </c>
      <c r="I984" t="str">
        <f t="shared" si="15"/>
        <v>25</v>
      </c>
      <c r="J984">
        <v>60025</v>
      </c>
      <c r="K984">
        <v>4008</v>
      </c>
      <c r="L984">
        <v>13</v>
      </c>
      <c r="M984">
        <v>4</v>
      </c>
      <c r="N984">
        <v>1</v>
      </c>
      <c r="O984" t="s">
        <v>41</v>
      </c>
      <c r="P984">
        <v>4</v>
      </c>
      <c r="Q984">
        <v>1</v>
      </c>
      <c r="R984" t="s">
        <v>26</v>
      </c>
      <c r="S984">
        <v>3</v>
      </c>
      <c r="V984" t="s">
        <v>67</v>
      </c>
    </row>
    <row r="985" spans="1:22" x14ac:dyDescent="0.45">
      <c r="A985" t="str">
        <f>"10493262"</f>
        <v>10493262</v>
      </c>
      <c r="B985" t="s">
        <v>22</v>
      </c>
      <c r="C985" s="1">
        <v>43768</v>
      </c>
      <c r="D985">
        <v>985000</v>
      </c>
      <c r="E985" t="s">
        <v>60</v>
      </c>
      <c r="F985">
        <v>2019</v>
      </c>
      <c r="G985">
        <v>2000</v>
      </c>
      <c r="H985" t="s">
        <v>135</v>
      </c>
      <c r="I985" t="str">
        <f t="shared" si="15"/>
        <v>25</v>
      </c>
      <c r="J985">
        <v>60025</v>
      </c>
      <c r="K985">
        <v>2813</v>
      </c>
      <c r="L985">
        <v>9</v>
      </c>
      <c r="M985">
        <v>3</v>
      </c>
      <c r="N985">
        <v>0</v>
      </c>
      <c r="O985" t="s">
        <v>25</v>
      </c>
      <c r="P985">
        <v>4</v>
      </c>
      <c r="Q985">
        <v>0</v>
      </c>
      <c r="R985" t="s">
        <v>26</v>
      </c>
      <c r="S985">
        <v>3</v>
      </c>
    </row>
    <row r="986" spans="1:22" x14ac:dyDescent="0.45">
      <c r="A986" t="str">
        <f>"10304546"</f>
        <v>10304546</v>
      </c>
      <c r="B986" t="s">
        <v>22</v>
      </c>
      <c r="C986" s="1">
        <v>43585</v>
      </c>
      <c r="D986">
        <v>999900</v>
      </c>
      <c r="E986" t="s">
        <v>60</v>
      </c>
      <c r="F986">
        <v>2003</v>
      </c>
      <c r="G986">
        <v>3001</v>
      </c>
      <c r="H986" t="s">
        <v>420</v>
      </c>
      <c r="I986" t="str">
        <f t="shared" si="15"/>
        <v>25</v>
      </c>
      <c r="J986">
        <v>60026</v>
      </c>
      <c r="K986">
        <v>3708</v>
      </c>
      <c r="L986">
        <v>10</v>
      </c>
      <c r="M986">
        <v>3</v>
      </c>
      <c r="N986">
        <v>1</v>
      </c>
      <c r="O986" t="s">
        <v>25</v>
      </c>
      <c r="P986">
        <v>4</v>
      </c>
      <c r="Q986">
        <v>0</v>
      </c>
      <c r="R986" t="s">
        <v>35</v>
      </c>
      <c r="S986">
        <v>2</v>
      </c>
    </row>
    <row r="987" spans="1:22" x14ac:dyDescent="0.45">
      <c r="A987" t="str">
        <f>"10321096"</f>
        <v>10321096</v>
      </c>
      <c r="B987" t="s">
        <v>22</v>
      </c>
      <c r="C987" s="1">
        <v>43739</v>
      </c>
      <c r="D987">
        <v>1000000</v>
      </c>
      <c r="E987" t="s">
        <v>60</v>
      </c>
      <c r="F987">
        <v>1952</v>
      </c>
      <c r="G987">
        <v>634</v>
      </c>
      <c r="H987" t="s">
        <v>251</v>
      </c>
      <c r="I987" t="str">
        <f t="shared" si="15"/>
        <v>25</v>
      </c>
      <c r="J987">
        <v>60025</v>
      </c>
      <c r="K987">
        <v>3100</v>
      </c>
      <c r="L987">
        <v>8</v>
      </c>
      <c r="M987">
        <v>3</v>
      </c>
      <c r="N987">
        <v>1</v>
      </c>
      <c r="O987" t="s">
        <v>41</v>
      </c>
      <c r="P987">
        <v>4</v>
      </c>
      <c r="Q987">
        <v>0</v>
      </c>
      <c r="R987" t="s">
        <v>26</v>
      </c>
      <c r="S987">
        <v>2</v>
      </c>
    </row>
    <row r="988" spans="1:22" x14ac:dyDescent="0.45">
      <c r="A988" t="str">
        <f>"10659787"</f>
        <v>10659787</v>
      </c>
      <c r="B988" t="s">
        <v>22</v>
      </c>
      <c r="C988" s="1">
        <v>43951</v>
      </c>
      <c r="D988">
        <v>1000000</v>
      </c>
      <c r="E988" t="s">
        <v>23</v>
      </c>
      <c r="F988">
        <v>1960</v>
      </c>
      <c r="G988">
        <v>750</v>
      </c>
      <c r="H988" t="s">
        <v>343</v>
      </c>
      <c r="I988" t="str">
        <f t="shared" si="15"/>
        <v>25</v>
      </c>
      <c r="J988">
        <v>60025</v>
      </c>
      <c r="K988">
        <v>2399</v>
      </c>
      <c r="L988">
        <v>10</v>
      </c>
      <c r="M988">
        <v>3</v>
      </c>
      <c r="N988">
        <v>1</v>
      </c>
      <c r="O988" t="s">
        <v>25</v>
      </c>
      <c r="P988">
        <v>5</v>
      </c>
      <c r="Q988">
        <v>0</v>
      </c>
      <c r="R988" t="s">
        <v>26</v>
      </c>
      <c r="S988">
        <v>2</v>
      </c>
    </row>
    <row r="989" spans="1:22" x14ac:dyDescent="0.45">
      <c r="A989" t="str">
        <f>"10337711"</f>
        <v>10337711</v>
      </c>
      <c r="B989" t="s">
        <v>22</v>
      </c>
      <c r="C989" s="1">
        <v>43678</v>
      </c>
      <c r="D989">
        <v>1000000</v>
      </c>
      <c r="E989" t="s">
        <v>60</v>
      </c>
      <c r="F989">
        <v>2001</v>
      </c>
      <c r="G989">
        <v>1452</v>
      </c>
      <c r="H989" t="s">
        <v>404</v>
      </c>
      <c r="I989" t="str">
        <f t="shared" si="15"/>
        <v>25</v>
      </c>
      <c r="J989">
        <v>60026</v>
      </c>
      <c r="K989">
        <v>3701</v>
      </c>
      <c r="L989">
        <v>12</v>
      </c>
      <c r="M989">
        <v>4</v>
      </c>
      <c r="N989">
        <v>1</v>
      </c>
      <c r="O989" t="s">
        <v>41</v>
      </c>
      <c r="P989">
        <v>4</v>
      </c>
      <c r="Q989">
        <v>1</v>
      </c>
      <c r="R989" t="s">
        <v>26</v>
      </c>
      <c r="S989">
        <v>2</v>
      </c>
    </row>
    <row r="990" spans="1:22" x14ac:dyDescent="0.45">
      <c r="A990" t="str">
        <f>"10300020"</f>
        <v>10300020</v>
      </c>
      <c r="B990" t="s">
        <v>22</v>
      </c>
      <c r="C990" s="1">
        <v>43672</v>
      </c>
      <c r="D990">
        <v>1005000</v>
      </c>
      <c r="E990" t="s">
        <v>60</v>
      </c>
      <c r="F990">
        <v>2008</v>
      </c>
      <c r="G990">
        <v>901</v>
      </c>
      <c r="H990" t="s">
        <v>124</v>
      </c>
      <c r="I990" t="str">
        <f t="shared" si="15"/>
        <v>25</v>
      </c>
      <c r="J990">
        <v>60025</v>
      </c>
      <c r="K990">
        <v>3950</v>
      </c>
      <c r="L990">
        <v>13</v>
      </c>
      <c r="M990">
        <v>4</v>
      </c>
      <c r="N990">
        <v>1</v>
      </c>
      <c r="O990" t="s">
        <v>41</v>
      </c>
      <c r="P990">
        <v>4</v>
      </c>
      <c r="Q990">
        <v>1</v>
      </c>
      <c r="R990" t="s">
        <v>26</v>
      </c>
      <c r="S990">
        <v>2</v>
      </c>
      <c r="U990">
        <v>1975</v>
      </c>
      <c r="V990" t="s">
        <v>67</v>
      </c>
    </row>
    <row r="991" spans="1:22" x14ac:dyDescent="0.45">
      <c r="A991" t="str">
        <f>"10270683"</f>
        <v>10270683</v>
      </c>
      <c r="B991" t="s">
        <v>22</v>
      </c>
      <c r="C991" s="1">
        <v>43560</v>
      </c>
      <c r="D991">
        <v>1005000</v>
      </c>
      <c r="E991" t="s">
        <v>60</v>
      </c>
      <c r="F991">
        <v>1955</v>
      </c>
      <c r="G991">
        <v>859</v>
      </c>
      <c r="H991" t="s">
        <v>83</v>
      </c>
      <c r="I991" t="str">
        <f t="shared" si="15"/>
        <v>25</v>
      </c>
      <c r="J991">
        <v>60025</v>
      </c>
      <c r="K991">
        <v>4953</v>
      </c>
      <c r="L991">
        <v>11</v>
      </c>
      <c r="M991">
        <v>4</v>
      </c>
      <c r="N991">
        <v>1</v>
      </c>
      <c r="O991" t="s">
        <v>41</v>
      </c>
      <c r="P991">
        <v>4</v>
      </c>
      <c r="Q991">
        <v>0</v>
      </c>
      <c r="R991" t="s">
        <v>26</v>
      </c>
      <c r="S991">
        <v>2</v>
      </c>
      <c r="V991" t="s">
        <v>67</v>
      </c>
    </row>
    <row r="992" spans="1:22" x14ac:dyDescent="0.45">
      <c r="A992" t="str">
        <f>"10407609"</f>
        <v>10407609</v>
      </c>
      <c r="B992" t="s">
        <v>22</v>
      </c>
      <c r="C992" s="1">
        <v>43711</v>
      </c>
      <c r="D992">
        <v>1010000</v>
      </c>
      <c r="E992" t="s">
        <v>60</v>
      </c>
      <c r="F992">
        <v>2001</v>
      </c>
      <c r="G992">
        <v>1457</v>
      </c>
      <c r="H992" t="s">
        <v>421</v>
      </c>
      <c r="I992" t="str">
        <f t="shared" si="15"/>
        <v>25</v>
      </c>
      <c r="J992">
        <v>60026</v>
      </c>
      <c r="K992">
        <v>4403</v>
      </c>
      <c r="L992">
        <v>10</v>
      </c>
      <c r="M992">
        <v>3</v>
      </c>
      <c r="N992">
        <v>1</v>
      </c>
      <c r="O992" t="s">
        <v>25</v>
      </c>
      <c r="P992">
        <v>4</v>
      </c>
      <c r="Q992">
        <v>0</v>
      </c>
      <c r="R992" t="s">
        <v>26</v>
      </c>
      <c r="S992">
        <v>2</v>
      </c>
    </row>
    <row r="993" spans="1:22" x14ac:dyDescent="0.45">
      <c r="A993" t="str">
        <f>"10451464"</f>
        <v>10451464</v>
      </c>
      <c r="B993" t="s">
        <v>22</v>
      </c>
      <c r="C993" s="1">
        <v>43839</v>
      </c>
      <c r="D993">
        <v>1020000</v>
      </c>
      <c r="E993" t="s">
        <v>60</v>
      </c>
      <c r="F993">
        <v>2015</v>
      </c>
      <c r="G993">
        <v>330</v>
      </c>
      <c r="H993" t="s">
        <v>52</v>
      </c>
      <c r="I993" t="str">
        <f t="shared" si="15"/>
        <v>25</v>
      </c>
      <c r="J993">
        <v>60025</v>
      </c>
      <c r="K993">
        <v>0</v>
      </c>
      <c r="L993">
        <v>13</v>
      </c>
      <c r="M993">
        <v>5</v>
      </c>
      <c r="N993">
        <v>1</v>
      </c>
      <c r="O993" t="s">
        <v>41</v>
      </c>
      <c r="P993">
        <v>5</v>
      </c>
      <c r="Q993">
        <v>1</v>
      </c>
      <c r="R993" t="s">
        <v>26</v>
      </c>
      <c r="S993">
        <v>2</v>
      </c>
    </row>
    <row r="994" spans="1:22" x14ac:dyDescent="0.45">
      <c r="A994" t="str">
        <f>"10149510"</f>
        <v>10149510</v>
      </c>
      <c r="B994" t="s">
        <v>22</v>
      </c>
      <c r="C994" s="1">
        <v>43545</v>
      </c>
      <c r="D994">
        <v>1020000</v>
      </c>
      <c r="E994" t="s">
        <v>60</v>
      </c>
      <c r="F994">
        <v>2004</v>
      </c>
      <c r="G994">
        <v>1620</v>
      </c>
      <c r="H994" t="s">
        <v>422</v>
      </c>
      <c r="I994" t="str">
        <f t="shared" si="15"/>
        <v>25</v>
      </c>
      <c r="J994">
        <v>60026</v>
      </c>
      <c r="K994">
        <v>4744</v>
      </c>
      <c r="L994">
        <v>13</v>
      </c>
      <c r="M994">
        <v>5</v>
      </c>
      <c r="N994">
        <v>1</v>
      </c>
      <c r="O994" t="s">
        <v>25</v>
      </c>
      <c r="P994">
        <v>5</v>
      </c>
      <c r="Q994">
        <v>0</v>
      </c>
      <c r="R994" t="s">
        <v>26</v>
      </c>
      <c r="S994">
        <v>3</v>
      </c>
      <c r="V994" t="s">
        <v>67</v>
      </c>
    </row>
    <row r="995" spans="1:22" x14ac:dyDescent="0.45">
      <c r="A995" t="str">
        <f>"10037997"</f>
        <v>10037997</v>
      </c>
      <c r="B995" t="s">
        <v>22</v>
      </c>
      <c r="C995" s="1">
        <v>43671</v>
      </c>
      <c r="D995">
        <v>1022000</v>
      </c>
      <c r="E995" t="s">
        <v>60</v>
      </c>
      <c r="F995">
        <v>1960</v>
      </c>
      <c r="G995">
        <v>2430</v>
      </c>
      <c r="H995" t="s">
        <v>221</v>
      </c>
      <c r="I995" t="str">
        <f t="shared" si="15"/>
        <v>25</v>
      </c>
      <c r="J995">
        <v>60025</v>
      </c>
      <c r="K995">
        <v>3500</v>
      </c>
      <c r="L995">
        <v>11</v>
      </c>
      <c r="M995">
        <v>4</v>
      </c>
      <c r="N995">
        <v>0</v>
      </c>
      <c r="O995" t="s">
        <v>25</v>
      </c>
      <c r="P995">
        <v>5</v>
      </c>
      <c r="Q995">
        <v>0</v>
      </c>
      <c r="R995" t="s">
        <v>26</v>
      </c>
      <c r="S995">
        <v>2</v>
      </c>
    </row>
    <row r="996" spans="1:22" x14ac:dyDescent="0.45">
      <c r="A996" t="str">
        <f>"10303712"</f>
        <v>10303712</v>
      </c>
      <c r="B996" t="s">
        <v>22</v>
      </c>
      <c r="C996" s="1">
        <v>43607</v>
      </c>
      <c r="D996">
        <v>1025000</v>
      </c>
      <c r="E996" t="s">
        <v>60</v>
      </c>
      <c r="F996">
        <v>2001</v>
      </c>
      <c r="G996">
        <v>2597</v>
      </c>
      <c r="H996" t="s">
        <v>420</v>
      </c>
      <c r="I996" t="str">
        <f t="shared" si="15"/>
        <v>25</v>
      </c>
      <c r="J996">
        <v>60026</v>
      </c>
      <c r="K996">
        <v>3890</v>
      </c>
      <c r="L996">
        <v>10</v>
      </c>
      <c r="M996">
        <v>3</v>
      </c>
      <c r="N996">
        <v>1</v>
      </c>
      <c r="O996" t="s">
        <v>25</v>
      </c>
      <c r="P996">
        <v>4</v>
      </c>
      <c r="Q996">
        <v>0</v>
      </c>
      <c r="R996" t="s">
        <v>26</v>
      </c>
      <c r="S996">
        <v>2</v>
      </c>
      <c r="U996">
        <v>1800</v>
      </c>
    </row>
    <row r="997" spans="1:22" x14ac:dyDescent="0.45">
      <c r="A997" t="str">
        <f>"10397794"</f>
        <v>10397794</v>
      </c>
      <c r="B997" t="s">
        <v>22</v>
      </c>
      <c r="C997" s="1">
        <v>43717</v>
      </c>
      <c r="D997">
        <v>1040000</v>
      </c>
      <c r="E997" t="s">
        <v>60</v>
      </c>
      <c r="F997">
        <v>2003</v>
      </c>
      <c r="G997">
        <v>2200</v>
      </c>
      <c r="H997" t="s">
        <v>382</v>
      </c>
      <c r="I997" t="str">
        <f t="shared" si="15"/>
        <v>25</v>
      </c>
      <c r="J997">
        <v>60026</v>
      </c>
      <c r="K997">
        <v>4042</v>
      </c>
      <c r="L997">
        <v>14</v>
      </c>
      <c r="M997">
        <v>4</v>
      </c>
      <c r="N997">
        <v>1</v>
      </c>
      <c r="O997" t="s">
        <v>41</v>
      </c>
      <c r="P997">
        <v>4</v>
      </c>
      <c r="Q997">
        <v>1</v>
      </c>
      <c r="R997" t="s">
        <v>26</v>
      </c>
      <c r="S997">
        <v>2</v>
      </c>
    </row>
    <row r="998" spans="1:22" x14ac:dyDescent="0.45">
      <c r="A998" t="str">
        <f>"10473456"</f>
        <v>10473456</v>
      </c>
      <c r="B998" t="s">
        <v>22</v>
      </c>
      <c r="C998" s="1">
        <v>43738</v>
      </c>
      <c r="D998">
        <v>1040000</v>
      </c>
      <c r="E998" t="s">
        <v>60</v>
      </c>
      <c r="F998">
        <v>2005</v>
      </c>
      <c r="G998">
        <v>1967</v>
      </c>
      <c r="H998" t="s">
        <v>259</v>
      </c>
      <c r="I998" t="str">
        <f t="shared" si="15"/>
        <v>25</v>
      </c>
      <c r="J998">
        <v>60025</v>
      </c>
      <c r="K998">
        <v>0</v>
      </c>
      <c r="L998">
        <v>13</v>
      </c>
      <c r="M998">
        <v>4</v>
      </c>
      <c r="N998">
        <v>1</v>
      </c>
      <c r="O998" t="s">
        <v>41</v>
      </c>
      <c r="P998">
        <v>5</v>
      </c>
      <c r="Q998">
        <v>1</v>
      </c>
      <c r="R998" t="s">
        <v>35</v>
      </c>
      <c r="S998">
        <v>2</v>
      </c>
      <c r="T998">
        <v>3</v>
      </c>
    </row>
    <row r="999" spans="1:22" x14ac:dyDescent="0.45">
      <c r="A999" t="str">
        <f>"10789108"</f>
        <v>10789108</v>
      </c>
      <c r="B999" t="s">
        <v>22</v>
      </c>
      <c r="C999" s="1">
        <v>44131</v>
      </c>
      <c r="D999">
        <v>1040000</v>
      </c>
      <c r="E999" t="s">
        <v>60</v>
      </c>
      <c r="F999">
        <v>2001</v>
      </c>
      <c r="G999">
        <v>1650</v>
      </c>
      <c r="H999" t="s">
        <v>414</v>
      </c>
      <c r="I999" t="str">
        <f t="shared" si="15"/>
        <v>25</v>
      </c>
      <c r="J999">
        <v>60026</v>
      </c>
      <c r="K999">
        <v>4160</v>
      </c>
      <c r="L999">
        <v>13</v>
      </c>
      <c r="M999">
        <v>6</v>
      </c>
      <c r="N999">
        <v>1</v>
      </c>
      <c r="O999" t="s">
        <v>41</v>
      </c>
      <c r="P999">
        <v>5</v>
      </c>
      <c r="Q999">
        <v>0</v>
      </c>
      <c r="R999" t="s">
        <v>26</v>
      </c>
      <c r="S999">
        <v>2</v>
      </c>
    </row>
    <row r="1000" spans="1:22" x14ac:dyDescent="0.45">
      <c r="A1000" t="str">
        <f>"10597563"</f>
        <v>10597563</v>
      </c>
      <c r="B1000" t="s">
        <v>22</v>
      </c>
      <c r="C1000" s="1">
        <v>44064</v>
      </c>
      <c r="D1000">
        <v>1045000</v>
      </c>
      <c r="E1000" t="s">
        <v>60</v>
      </c>
      <c r="F1000">
        <v>1999</v>
      </c>
      <c r="G1000">
        <v>835</v>
      </c>
      <c r="H1000" t="s">
        <v>170</v>
      </c>
      <c r="I1000" t="str">
        <f t="shared" si="15"/>
        <v>25</v>
      </c>
      <c r="J1000">
        <v>60025</v>
      </c>
      <c r="K1000">
        <v>5592</v>
      </c>
      <c r="L1000">
        <v>11</v>
      </c>
      <c r="M1000">
        <v>4</v>
      </c>
      <c r="N1000">
        <v>1</v>
      </c>
      <c r="O1000" t="s">
        <v>25</v>
      </c>
      <c r="P1000">
        <v>5</v>
      </c>
      <c r="Q1000">
        <v>0</v>
      </c>
      <c r="R1000" t="s">
        <v>26</v>
      </c>
      <c r="S1000">
        <v>3</v>
      </c>
      <c r="U1000">
        <v>1024</v>
      </c>
      <c r="V1000" t="s">
        <v>196</v>
      </c>
    </row>
    <row r="1001" spans="1:22" x14ac:dyDescent="0.45">
      <c r="A1001" t="str">
        <f>"10124171"</f>
        <v>10124171</v>
      </c>
      <c r="B1001" t="s">
        <v>22</v>
      </c>
      <c r="C1001" s="1">
        <v>43579</v>
      </c>
      <c r="D1001">
        <v>1050000</v>
      </c>
      <c r="E1001" t="s">
        <v>60</v>
      </c>
      <c r="F1001">
        <v>2012</v>
      </c>
      <c r="G1001">
        <v>1034</v>
      </c>
      <c r="H1001" t="s">
        <v>208</v>
      </c>
      <c r="I1001" t="str">
        <f t="shared" si="15"/>
        <v>25</v>
      </c>
      <c r="J1001">
        <v>60025</v>
      </c>
      <c r="K1001">
        <v>3971</v>
      </c>
      <c r="L1001">
        <v>9</v>
      </c>
      <c r="M1001">
        <v>5</v>
      </c>
      <c r="N1001">
        <v>1</v>
      </c>
      <c r="O1001" t="s">
        <v>41</v>
      </c>
      <c r="P1001">
        <v>4</v>
      </c>
      <c r="Q1001">
        <v>1</v>
      </c>
      <c r="R1001" t="s">
        <v>26</v>
      </c>
      <c r="S1001">
        <v>2</v>
      </c>
      <c r="U1001">
        <v>0</v>
      </c>
    </row>
    <row r="1002" spans="1:22" x14ac:dyDescent="0.45">
      <c r="A1002" t="str">
        <f>"10755015"</f>
        <v>10755015</v>
      </c>
      <c r="B1002" t="s">
        <v>22</v>
      </c>
      <c r="C1002" s="1">
        <v>44165</v>
      </c>
      <c r="D1002">
        <v>1050000</v>
      </c>
      <c r="E1002" t="s">
        <v>23</v>
      </c>
      <c r="F1002">
        <v>2001</v>
      </c>
      <c r="G1002">
        <v>2516</v>
      </c>
      <c r="H1002" t="s">
        <v>420</v>
      </c>
      <c r="I1002" t="str">
        <f t="shared" si="15"/>
        <v>25</v>
      </c>
      <c r="J1002">
        <v>60026</v>
      </c>
      <c r="K1002">
        <v>2610</v>
      </c>
      <c r="L1002">
        <v>9</v>
      </c>
      <c r="M1002">
        <v>3</v>
      </c>
      <c r="N1002">
        <v>0</v>
      </c>
      <c r="O1002" t="s">
        <v>41</v>
      </c>
      <c r="P1002">
        <v>3</v>
      </c>
      <c r="Q1002">
        <v>0</v>
      </c>
      <c r="R1002" t="s">
        <v>26</v>
      </c>
      <c r="S1002">
        <v>2.5</v>
      </c>
    </row>
    <row r="1003" spans="1:22" x14ac:dyDescent="0.45">
      <c r="A1003" t="str">
        <f>"10512814"</f>
        <v>10512814</v>
      </c>
      <c r="B1003" t="s">
        <v>22</v>
      </c>
      <c r="C1003" s="1">
        <v>43853</v>
      </c>
      <c r="D1003">
        <v>1050000</v>
      </c>
      <c r="E1003" t="s">
        <v>60</v>
      </c>
      <c r="F1003">
        <v>2001</v>
      </c>
      <c r="G1003">
        <v>1550</v>
      </c>
      <c r="H1003" t="s">
        <v>412</v>
      </c>
      <c r="I1003" t="str">
        <f t="shared" si="15"/>
        <v>25</v>
      </c>
      <c r="J1003">
        <v>60026</v>
      </c>
      <c r="K1003">
        <v>4706</v>
      </c>
      <c r="L1003">
        <v>17</v>
      </c>
      <c r="M1003">
        <v>4</v>
      </c>
      <c r="N1003">
        <v>1</v>
      </c>
      <c r="O1003" t="s">
        <v>41</v>
      </c>
      <c r="P1003">
        <v>4</v>
      </c>
      <c r="Q1003">
        <v>2</v>
      </c>
      <c r="R1003" t="s">
        <v>26</v>
      </c>
      <c r="S1003">
        <v>3</v>
      </c>
      <c r="V1003" t="s">
        <v>67</v>
      </c>
    </row>
    <row r="1004" spans="1:22" x14ac:dyDescent="0.45">
      <c r="A1004" t="str">
        <f>"10256678"</f>
        <v>10256678</v>
      </c>
      <c r="B1004" t="s">
        <v>22</v>
      </c>
      <c r="C1004" s="1">
        <v>43598</v>
      </c>
      <c r="D1004">
        <v>1050000</v>
      </c>
      <c r="E1004" t="s">
        <v>60</v>
      </c>
      <c r="F1004">
        <v>2001</v>
      </c>
      <c r="G1004">
        <v>3632</v>
      </c>
      <c r="H1004" t="s">
        <v>295</v>
      </c>
      <c r="I1004" t="str">
        <f t="shared" si="15"/>
        <v>25</v>
      </c>
      <c r="J1004">
        <v>60026</v>
      </c>
      <c r="K1004">
        <v>4315</v>
      </c>
      <c r="L1004">
        <v>14</v>
      </c>
      <c r="M1004">
        <v>5</v>
      </c>
      <c r="N1004">
        <v>1</v>
      </c>
      <c r="O1004" t="s">
        <v>41</v>
      </c>
      <c r="P1004">
        <v>5</v>
      </c>
      <c r="Q1004">
        <v>1</v>
      </c>
      <c r="R1004" t="s">
        <v>26</v>
      </c>
      <c r="S1004">
        <v>4</v>
      </c>
      <c r="U1004">
        <v>0</v>
      </c>
      <c r="V1004" t="s">
        <v>67</v>
      </c>
    </row>
    <row r="1005" spans="1:22" x14ac:dyDescent="0.45">
      <c r="A1005" t="str">
        <f>"10785731"</f>
        <v>10785731</v>
      </c>
      <c r="B1005" t="s">
        <v>22</v>
      </c>
      <c r="C1005" s="1">
        <v>44075</v>
      </c>
      <c r="D1005">
        <v>1050000</v>
      </c>
      <c r="E1005" t="s">
        <v>60</v>
      </c>
      <c r="F1005">
        <v>1960</v>
      </c>
      <c r="G1005">
        <v>840</v>
      </c>
      <c r="H1005" t="s">
        <v>423</v>
      </c>
      <c r="I1005" t="str">
        <f t="shared" si="15"/>
        <v>25</v>
      </c>
      <c r="J1005">
        <v>60025</v>
      </c>
      <c r="K1005">
        <v>3811</v>
      </c>
      <c r="L1005">
        <v>12</v>
      </c>
      <c r="M1005">
        <v>3</v>
      </c>
      <c r="N1005">
        <v>3</v>
      </c>
      <c r="O1005" t="s">
        <v>41</v>
      </c>
      <c r="P1005">
        <v>4</v>
      </c>
      <c r="Q1005">
        <v>0</v>
      </c>
      <c r="R1005" t="s">
        <v>26</v>
      </c>
      <c r="S1005">
        <v>3</v>
      </c>
    </row>
    <row r="1006" spans="1:22" x14ac:dyDescent="0.45">
      <c r="A1006" t="str">
        <f>"10265029"</f>
        <v>10265029</v>
      </c>
      <c r="B1006" t="s">
        <v>22</v>
      </c>
      <c r="C1006" s="1">
        <v>43567</v>
      </c>
      <c r="D1006">
        <v>1059000</v>
      </c>
      <c r="E1006" t="s">
        <v>60</v>
      </c>
      <c r="F1006">
        <v>2001</v>
      </c>
      <c r="G1006">
        <v>1443</v>
      </c>
      <c r="H1006" t="s">
        <v>421</v>
      </c>
      <c r="I1006" t="str">
        <f t="shared" si="15"/>
        <v>25</v>
      </c>
      <c r="J1006">
        <v>60026</v>
      </c>
      <c r="K1006">
        <v>4502</v>
      </c>
      <c r="L1006">
        <v>12</v>
      </c>
      <c r="M1006">
        <v>4</v>
      </c>
      <c r="N1006">
        <v>0</v>
      </c>
      <c r="O1006" t="s">
        <v>25</v>
      </c>
      <c r="P1006">
        <v>5</v>
      </c>
      <c r="Q1006">
        <v>0</v>
      </c>
      <c r="R1006" t="s">
        <v>26</v>
      </c>
      <c r="S1006">
        <v>3</v>
      </c>
    </row>
    <row r="1007" spans="1:22" x14ac:dyDescent="0.45">
      <c r="A1007" t="str">
        <f>"10627142"</f>
        <v>10627142</v>
      </c>
      <c r="B1007" t="s">
        <v>22</v>
      </c>
      <c r="C1007" s="1">
        <v>43939</v>
      </c>
      <c r="D1007">
        <v>1060000</v>
      </c>
      <c r="E1007" t="s">
        <v>60</v>
      </c>
      <c r="F1007">
        <v>1967</v>
      </c>
      <c r="G1007">
        <v>1720</v>
      </c>
      <c r="H1007" t="s">
        <v>424</v>
      </c>
      <c r="I1007" t="str">
        <f t="shared" si="15"/>
        <v>25</v>
      </c>
      <c r="J1007">
        <v>60025</v>
      </c>
      <c r="K1007">
        <v>3318</v>
      </c>
      <c r="L1007">
        <v>9</v>
      </c>
      <c r="M1007">
        <v>2</v>
      </c>
      <c r="N1007">
        <v>1</v>
      </c>
      <c r="O1007" t="s">
        <v>25</v>
      </c>
      <c r="P1007">
        <v>5</v>
      </c>
      <c r="Q1007">
        <v>0</v>
      </c>
      <c r="R1007" t="s">
        <v>26</v>
      </c>
      <c r="S1007">
        <v>3</v>
      </c>
    </row>
    <row r="1008" spans="1:22" x14ac:dyDescent="0.45">
      <c r="A1008" t="str">
        <f>"10020899"</f>
        <v>10020899</v>
      </c>
      <c r="B1008" t="s">
        <v>22</v>
      </c>
      <c r="C1008" s="1">
        <v>43496</v>
      </c>
      <c r="D1008">
        <v>1062500</v>
      </c>
      <c r="E1008" t="s">
        <v>60</v>
      </c>
      <c r="F1008">
        <v>1951</v>
      </c>
      <c r="G1008">
        <v>1213</v>
      </c>
      <c r="H1008" t="s">
        <v>262</v>
      </c>
      <c r="I1008" t="str">
        <f t="shared" si="15"/>
        <v>25</v>
      </c>
      <c r="J1008">
        <v>60025</v>
      </c>
      <c r="K1008">
        <v>3750</v>
      </c>
      <c r="L1008">
        <v>11</v>
      </c>
      <c r="M1008">
        <v>3</v>
      </c>
      <c r="N1008">
        <v>2</v>
      </c>
      <c r="O1008" t="s">
        <v>41</v>
      </c>
      <c r="P1008">
        <v>5</v>
      </c>
      <c r="Q1008">
        <v>0</v>
      </c>
      <c r="R1008" t="s">
        <v>26</v>
      </c>
      <c r="S1008">
        <v>2</v>
      </c>
    </row>
    <row r="1009" spans="1:22" x14ac:dyDescent="0.45">
      <c r="A1009" t="str">
        <f>"10696241"</f>
        <v>10696241</v>
      </c>
      <c r="B1009" t="s">
        <v>22</v>
      </c>
      <c r="C1009" s="1">
        <v>43994</v>
      </c>
      <c r="D1009">
        <v>1065000</v>
      </c>
      <c r="E1009" t="s">
        <v>60</v>
      </c>
      <c r="F1009">
        <v>1942</v>
      </c>
      <c r="G1009">
        <v>635</v>
      </c>
      <c r="H1009" t="s">
        <v>425</v>
      </c>
      <c r="I1009" t="str">
        <f t="shared" si="15"/>
        <v>25</v>
      </c>
      <c r="J1009">
        <v>60025</v>
      </c>
      <c r="K1009">
        <v>3074</v>
      </c>
      <c r="L1009">
        <v>9</v>
      </c>
      <c r="M1009">
        <v>2</v>
      </c>
      <c r="N1009">
        <v>1</v>
      </c>
      <c r="O1009" t="s">
        <v>25</v>
      </c>
      <c r="P1009">
        <v>4</v>
      </c>
      <c r="Q1009">
        <v>0</v>
      </c>
      <c r="R1009" t="s">
        <v>26</v>
      </c>
      <c r="S1009">
        <v>2</v>
      </c>
      <c r="U1009">
        <v>888</v>
      </c>
    </row>
    <row r="1010" spans="1:22" x14ac:dyDescent="0.45">
      <c r="A1010" t="str">
        <f>"10682847"</f>
        <v>10682847</v>
      </c>
      <c r="B1010" t="s">
        <v>22</v>
      </c>
      <c r="C1010" s="1">
        <v>44069</v>
      </c>
      <c r="D1010">
        <v>1070000</v>
      </c>
      <c r="E1010" t="s">
        <v>60</v>
      </c>
      <c r="F1010">
        <v>2017</v>
      </c>
      <c r="G1010">
        <v>804</v>
      </c>
      <c r="H1010" t="s">
        <v>107</v>
      </c>
      <c r="I1010" t="str">
        <f t="shared" si="15"/>
        <v>25</v>
      </c>
      <c r="J1010">
        <v>60025</v>
      </c>
      <c r="K1010">
        <v>3761</v>
      </c>
      <c r="L1010">
        <v>10</v>
      </c>
      <c r="M1010">
        <v>4</v>
      </c>
      <c r="N1010">
        <v>1</v>
      </c>
      <c r="O1010" t="s">
        <v>41</v>
      </c>
      <c r="P1010">
        <v>4</v>
      </c>
      <c r="Q1010">
        <v>0</v>
      </c>
      <c r="R1010" t="s">
        <v>26</v>
      </c>
      <c r="S1010">
        <v>3</v>
      </c>
      <c r="U1010">
        <v>2571</v>
      </c>
    </row>
    <row r="1011" spans="1:22" x14ac:dyDescent="0.45">
      <c r="A1011" t="str">
        <f>"10694948"</f>
        <v>10694948</v>
      </c>
      <c r="B1011" t="s">
        <v>22</v>
      </c>
      <c r="C1011" s="1">
        <v>44012</v>
      </c>
      <c r="D1011">
        <v>1075000</v>
      </c>
      <c r="E1011" t="s">
        <v>60</v>
      </c>
      <c r="F1011">
        <v>2019</v>
      </c>
      <c r="G1011">
        <v>226</v>
      </c>
      <c r="H1011" t="s">
        <v>87</v>
      </c>
      <c r="I1011" t="str">
        <f t="shared" si="15"/>
        <v>25</v>
      </c>
      <c r="J1011">
        <v>60025</v>
      </c>
      <c r="K1011">
        <v>3800</v>
      </c>
      <c r="L1011">
        <v>11</v>
      </c>
      <c r="M1011">
        <v>6</v>
      </c>
      <c r="N1011">
        <v>0</v>
      </c>
      <c r="O1011" t="s">
        <v>41</v>
      </c>
      <c r="P1011">
        <v>5</v>
      </c>
      <c r="Q1011">
        <v>1</v>
      </c>
      <c r="R1011" t="s">
        <v>26</v>
      </c>
      <c r="S1011">
        <v>2</v>
      </c>
      <c r="U1011">
        <v>1500</v>
      </c>
      <c r="V1011" t="s">
        <v>67</v>
      </c>
    </row>
    <row r="1012" spans="1:22" x14ac:dyDescent="0.45">
      <c r="A1012" t="str">
        <f>"10615150"</f>
        <v>10615150</v>
      </c>
      <c r="B1012" t="s">
        <v>22</v>
      </c>
      <c r="C1012" s="1">
        <v>43948</v>
      </c>
      <c r="D1012">
        <v>1075000</v>
      </c>
      <c r="E1012" t="s">
        <v>60</v>
      </c>
      <c r="F1012">
        <v>2019</v>
      </c>
      <c r="G1012">
        <v>619</v>
      </c>
      <c r="H1012" t="s">
        <v>99</v>
      </c>
      <c r="I1012" t="str">
        <f t="shared" si="15"/>
        <v>25</v>
      </c>
      <c r="J1012">
        <v>60025</v>
      </c>
      <c r="K1012">
        <v>6157</v>
      </c>
      <c r="L1012">
        <v>12</v>
      </c>
      <c r="M1012">
        <v>5</v>
      </c>
      <c r="N1012">
        <v>1</v>
      </c>
      <c r="O1012" t="s">
        <v>41</v>
      </c>
      <c r="P1012">
        <v>5</v>
      </c>
      <c r="Q1012">
        <v>1</v>
      </c>
      <c r="R1012" t="s">
        <v>26</v>
      </c>
      <c r="S1012">
        <v>3</v>
      </c>
    </row>
    <row r="1013" spans="1:22" x14ac:dyDescent="0.45">
      <c r="A1013" t="str">
        <f>"10165110"</f>
        <v>10165110</v>
      </c>
      <c r="B1013" t="s">
        <v>22</v>
      </c>
      <c r="C1013" s="1">
        <v>43556</v>
      </c>
      <c r="D1013">
        <v>1083000</v>
      </c>
      <c r="E1013" t="s">
        <v>60</v>
      </c>
      <c r="F1013">
        <v>2001</v>
      </c>
      <c r="G1013">
        <v>1510</v>
      </c>
      <c r="H1013" t="s">
        <v>421</v>
      </c>
      <c r="I1013" t="str">
        <f t="shared" si="15"/>
        <v>25</v>
      </c>
      <c r="J1013">
        <v>60026</v>
      </c>
      <c r="K1013">
        <v>4253</v>
      </c>
      <c r="L1013">
        <v>13</v>
      </c>
      <c r="M1013">
        <v>4</v>
      </c>
      <c r="N1013">
        <v>1</v>
      </c>
      <c r="O1013" t="s">
        <v>41</v>
      </c>
      <c r="P1013">
        <v>4</v>
      </c>
      <c r="Q1013">
        <v>1</v>
      </c>
      <c r="R1013" t="s">
        <v>26</v>
      </c>
      <c r="S1013">
        <v>3</v>
      </c>
      <c r="V1013" t="s">
        <v>67</v>
      </c>
    </row>
    <row r="1014" spans="1:22" x14ac:dyDescent="0.45">
      <c r="A1014" t="str">
        <f>"10405037"</f>
        <v>10405037</v>
      </c>
      <c r="B1014" t="s">
        <v>22</v>
      </c>
      <c r="C1014" s="1">
        <v>43692</v>
      </c>
      <c r="D1014">
        <v>1085000</v>
      </c>
      <c r="E1014" t="s">
        <v>60</v>
      </c>
      <c r="F1014">
        <v>2008</v>
      </c>
      <c r="G1014">
        <v>707</v>
      </c>
      <c r="H1014" t="s">
        <v>107</v>
      </c>
      <c r="I1014" t="str">
        <f t="shared" si="15"/>
        <v>25</v>
      </c>
      <c r="J1014">
        <v>60025</v>
      </c>
      <c r="K1014">
        <v>6122</v>
      </c>
      <c r="L1014">
        <v>13</v>
      </c>
      <c r="M1014">
        <v>5</v>
      </c>
      <c r="N1014">
        <v>0</v>
      </c>
      <c r="O1014" t="s">
        <v>41</v>
      </c>
      <c r="P1014">
        <v>5</v>
      </c>
      <c r="Q1014">
        <v>1</v>
      </c>
      <c r="R1014" t="s">
        <v>26</v>
      </c>
      <c r="S1014">
        <v>3</v>
      </c>
      <c r="V1014" t="s">
        <v>67</v>
      </c>
    </row>
    <row r="1015" spans="1:22" x14ac:dyDescent="0.45">
      <c r="A1015" t="str">
        <f>"10385779"</f>
        <v>10385779</v>
      </c>
      <c r="B1015" t="s">
        <v>22</v>
      </c>
      <c r="C1015" s="1">
        <v>43872</v>
      </c>
      <c r="D1015">
        <v>1087500</v>
      </c>
      <c r="E1015" t="s">
        <v>60</v>
      </c>
      <c r="F1015">
        <v>1998</v>
      </c>
      <c r="G1015">
        <v>59</v>
      </c>
      <c r="H1015" t="s">
        <v>426</v>
      </c>
      <c r="I1015" t="str">
        <f t="shared" si="15"/>
        <v>25</v>
      </c>
      <c r="J1015">
        <v>60029</v>
      </c>
      <c r="K1015">
        <v>0</v>
      </c>
      <c r="L1015">
        <v>15</v>
      </c>
      <c r="M1015">
        <v>4</v>
      </c>
      <c r="N1015">
        <v>1</v>
      </c>
      <c r="O1015" t="s">
        <v>41</v>
      </c>
      <c r="P1015">
        <v>5</v>
      </c>
      <c r="Q1015">
        <v>0</v>
      </c>
      <c r="R1015" t="s">
        <v>26</v>
      </c>
      <c r="S1015">
        <v>3</v>
      </c>
    </row>
    <row r="1016" spans="1:22" x14ac:dyDescent="0.45">
      <c r="A1016" t="str">
        <f>"10482080"</f>
        <v>10482080</v>
      </c>
      <c r="B1016" t="s">
        <v>22</v>
      </c>
      <c r="C1016" s="1">
        <v>43746</v>
      </c>
      <c r="D1016">
        <v>1090000</v>
      </c>
      <c r="E1016" t="s">
        <v>60</v>
      </c>
      <c r="F1016">
        <v>1955</v>
      </c>
      <c r="G1016">
        <v>859</v>
      </c>
      <c r="H1016" t="s">
        <v>83</v>
      </c>
      <c r="I1016" t="str">
        <f t="shared" si="15"/>
        <v>25</v>
      </c>
      <c r="J1016">
        <v>60025</v>
      </c>
      <c r="K1016">
        <v>4953</v>
      </c>
      <c r="L1016">
        <v>11</v>
      </c>
      <c r="M1016">
        <v>4</v>
      </c>
      <c r="N1016">
        <v>1</v>
      </c>
      <c r="O1016" t="s">
        <v>41</v>
      </c>
      <c r="P1016">
        <v>4</v>
      </c>
      <c r="Q1016">
        <v>0</v>
      </c>
      <c r="R1016" t="s">
        <v>26</v>
      </c>
      <c r="S1016">
        <v>2</v>
      </c>
      <c r="V1016" t="s">
        <v>67</v>
      </c>
    </row>
    <row r="1017" spans="1:22" x14ac:dyDescent="0.45">
      <c r="A1017" t="str">
        <f>"10761850"</f>
        <v>10761850</v>
      </c>
      <c r="B1017" t="s">
        <v>22</v>
      </c>
      <c r="C1017" s="1">
        <v>44060</v>
      </c>
      <c r="D1017">
        <v>1090000</v>
      </c>
      <c r="E1017" t="s">
        <v>60</v>
      </c>
      <c r="F1017">
        <v>2015</v>
      </c>
      <c r="G1017">
        <v>223</v>
      </c>
      <c r="H1017" t="s">
        <v>63</v>
      </c>
      <c r="I1017" t="str">
        <f t="shared" si="15"/>
        <v>25</v>
      </c>
      <c r="J1017">
        <v>60025</v>
      </c>
      <c r="K1017">
        <v>4772</v>
      </c>
      <c r="L1017">
        <v>10</v>
      </c>
      <c r="M1017">
        <v>4</v>
      </c>
      <c r="N1017">
        <v>1</v>
      </c>
      <c r="O1017" t="s">
        <v>25</v>
      </c>
      <c r="P1017">
        <v>5</v>
      </c>
      <c r="Q1017">
        <v>0</v>
      </c>
      <c r="R1017" t="s">
        <v>26</v>
      </c>
      <c r="S1017">
        <v>2</v>
      </c>
      <c r="V1017" t="s">
        <v>67</v>
      </c>
    </row>
    <row r="1018" spans="1:22" x14ac:dyDescent="0.45">
      <c r="A1018" t="str">
        <f>"10827856"</f>
        <v>10827856</v>
      </c>
      <c r="B1018" t="s">
        <v>22</v>
      </c>
      <c r="C1018" s="1">
        <v>44134</v>
      </c>
      <c r="D1018">
        <v>1095000</v>
      </c>
      <c r="E1018" t="s">
        <v>60</v>
      </c>
      <c r="F1018">
        <v>2006</v>
      </c>
      <c r="G1018">
        <v>816</v>
      </c>
      <c r="H1018" t="s">
        <v>317</v>
      </c>
      <c r="I1018" t="str">
        <f t="shared" si="15"/>
        <v>25</v>
      </c>
      <c r="J1018">
        <v>60025</v>
      </c>
      <c r="K1018">
        <v>6000</v>
      </c>
      <c r="L1018">
        <v>13</v>
      </c>
      <c r="M1018">
        <v>5</v>
      </c>
      <c r="N1018">
        <v>1</v>
      </c>
      <c r="O1018" t="s">
        <v>41</v>
      </c>
      <c r="P1018">
        <v>5</v>
      </c>
      <c r="Q1018">
        <v>1</v>
      </c>
      <c r="R1018" t="s">
        <v>26</v>
      </c>
      <c r="S1018">
        <v>2</v>
      </c>
    </row>
    <row r="1019" spans="1:22" x14ac:dyDescent="0.45">
      <c r="A1019" t="str">
        <f>"10362189"</f>
        <v>10362189</v>
      </c>
      <c r="B1019" t="s">
        <v>22</v>
      </c>
      <c r="C1019" s="1">
        <v>43670</v>
      </c>
      <c r="D1019">
        <v>1095000</v>
      </c>
      <c r="E1019" t="s">
        <v>60</v>
      </c>
      <c r="F1019">
        <v>2018</v>
      </c>
      <c r="G1019">
        <v>1401</v>
      </c>
      <c r="H1019" t="s">
        <v>180</v>
      </c>
      <c r="I1019" t="str">
        <f t="shared" si="15"/>
        <v>25</v>
      </c>
      <c r="J1019">
        <v>60025</v>
      </c>
      <c r="K1019">
        <v>3674</v>
      </c>
      <c r="L1019">
        <v>11</v>
      </c>
      <c r="M1019">
        <v>3</v>
      </c>
      <c r="N1019">
        <v>1</v>
      </c>
      <c r="O1019" t="s">
        <v>41</v>
      </c>
      <c r="P1019">
        <v>4</v>
      </c>
      <c r="Q1019">
        <v>0</v>
      </c>
      <c r="R1019" t="s">
        <v>26</v>
      </c>
      <c r="S1019">
        <v>2</v>
      </c>
      <c r="U1019">
        <v>1118</v>
      </c>
      <c r="V1019" t="s">
        <v>176</v>
      </c>
    </row>
    <row r="1020" spans="1:22" x14ac:dyDescent="0.45">
      <c r="A1020" t="str">
        <f>"10134336"</f>
        <v>10134336</v>
      </c>
      <c r="B1020" t="s">
        <v>22</v>
      </c>
      <c r="C1020" s="1">
        <v>43479</v>
      </c>
      <c r="D1020">
        <v>1100000</v>
      </c>
      <c r="E1020" t="s">
        <v>60</v>
      </c>
      <c r="F1020">
        <v>2001</v>
      </c>
      <c r="G1020">
        <v>1536</v>
      </c>
      <c r="H1020" t="s">
        <v>111</v>
      </c>
      <c r="I1020" t="str">
        <f t="shared" si="15"/>
        <v>25</v>
      </c>
      <c r="J1020">
        <v>60025</v>
      </c>
      <c r="K1020">
        <v>3520</v>
      </c>
      <c r="L1020">
        <v>11</v>
      </c>
      <c r="M1020">
        <v>4</v>
      </c>
      <c r="N1020">
        <v>0</v>
      </c>
      <c r="O1020" t="s">
        <v>41</v>
      </c>
      <c r="P1020">
        <v>5</v>
      </c>
      <c r="Q1020">
        <v>0</v>
      </c>
      <c r="R1020" t="s">
        <v>26</v>
      </c>
      <c r="S1020">
        <v>3</v>
      </c>
      <c r="T1020">
        <v>4</v>
      </c>
    </row>
    <row r="1021" spans="1:22" x14ac:dyDescent="0.45">
      <c r="A1021" t="str">
        <f>"10863254"</f>
        <v>10863254</v>
      </c>
      <c r="B1021" t="s">
        <v>22</v>
      </c>
      <c r="C1021" s="1">
        <v>44165</v>
      </c>
      <c r="D1021">
        <v>1100000</v>
      </c>
      <c r="E1021" t="s">
        <v>60</v>
      </c>
      <c r="F1021">
        <v>2001</v>
      </c>
      <c r="G1021">
        <v>2237</v>
      </c>
      <c r="H1021" t="s">
        <v>66</v>
      </c>
      <c r="I1021" t="str">
        <f t="shared" si="15"/>
        <v>25</v>
      </c>
      <c r="J1021">
        <v>60025</v>
      </c>
      <c r="K1021">
        <v>4036</v>
      </c>
      <c r="L1021">
        <v>13</v>
      </c>
      <c r="M1021">
        <v>4</v>
      </c>
      <c r="N1021">
        <v>1</v>
      </c>
      <c r="O1021" t="s">
        <v>41</v>
      </c>
      <c r="P1021">
        <v>5</v>
      </c>
      <c r="Q1021">
        <v>1</v>
      </c>
      <c r="R1021" t="s">
        <v>26</v>
      </c>
      <c r="S1021">
        <v>3</v>
      </c>
    </row>
    <row r="1022" spans="1:22" x14ac:dyDescent="0.45">
      <c r="A1022" t="str">
        <f>"10730196"</f>
        <v>10730196</v>
      </c>
      <c r="B1022" t="s">
        <v>22</v>
      </c>
      <c r="C1022" s="1">
        <v>44050</v>
      </c>
      <c r="D1022">
        <v>1100000</v>
      </c>
      <c r="E1022" t="s">
        <v>60</v>
      </c>
      <c r="F1022">
        <v>1987</v>
      </c>
      <c r="G1022">
        <v>1711</v>
      </c>
      <c r="H1022" t="s">
        <v>82</v>
      </c>
      <c r="I1022" t="str">
        <f t="shared" si="15"/>
        <v>25</v>
      </c>
      <c r="J1022">
        <v>60025</v>
      </c>
      <c r="K1022">
        <v>4216</v>
      </c>
      <c r="L1022">
        <v>10</v>
      </c>
      <c r="M1022">
        <v>4</v>
      </c>
      <c r="N1022">
        <v>2</v>
      </c>
      <c r="O1022" t="s">
        <v>41</v>
      </c>
      <c r="P1022">
        <v>6</v>
      </c>
      <c r="Q1022">
        <v>0</v>
      </c>
      <c r="R1022" t="s">
        <v>26</v>
      </c>
      <c r="S1022">
        <v>2</v>
      </c>
    </row>
    <row r="1023" spans="1:22" x14ac:dyDescent="0.45">
      <c r="A1023" t="str">
        <f>"10911033"</f>
        <v>10911033</v>
      </c>
      <c r="B1023" t="s">
        <v>22</v>
      </c>
      <c r="C1023" s="1">
        <v>44169</v>
      </c>
      <c r="D1023">
        <v>1100000</v>
      </c>
      <c r="E1023" t="s">
        <v>60</v>
      </c>
      <c r="F1023">
        <v>2020</v>
      </c>
      <c r="G1023">
        <v>220</v>
      </c>
      <c r="H1023" t="s">
        <v>63</v>
      </c>
      <c r="I1023" t="str">
        <f t="shared" si="15"/>
        <v>25</v>
      </c>
      <c r="J1023">
        <v>60025</v>
      </c>
      <c r="K1023">
        <v>4500</v>
      </c>
      <c r="L1023">
        <v>11</v>
      </c>
      <c r="M1023">
        <v>4</v>
      </c>
      <c r="N1023">
        <v>1</v>
      </c>
      <c r="O1023" t="s">
        <v>41</v>
      </c>
      <c r="P1023">
        <v>4</v>
      </c>
      <c r="Q1023">
        <v>1</v>
      </c>
      <c r="R1023" t="s">
        <v>26</v>
      </c>
      <c r="S1023">
        <v>2</v>
      </c>
      <c r="U1023">
        <v>1200</v>
      </c>
      <c r="V1023" t="s">
        <v>226</v>
      </c>
    </row>
    <row r="1024" spans="1:22" x14ac:dyDescent="0.45">
      <c r="A1024" t="str">
        <f>"10395856"</f>
        <v>10395856</v>
      </c>
      <c r="B1024" t="s">
        <v>22</v>
      </c>
      <c r="C1024" s="1">
        <v>43672</v>
      </c>
      <c r="D1024">
        <v>1100000</v>
      </c>
      <c r="E1024" t="s">
        <v>60</v>
      </c>
      <c r="F1024">
        <v>2019</v>
      </c>
      <c r="G1024">
        <v>2908</v>
      </c>
      <c r="H1024" t="s">
        <v>76</v>
      </c>
      <c r="I1024" t="str">
        <f t="shared" si="15"/>
        <v>25</v>
      </c>
      <c r="J1024">
        <v>60025</v>
      </c>
      <c r="K1024">
        <v>4763</v>
      </c>
      <c r="L1024">
        <v>11</v>
      </c>
      <c r="M1024">
        <v>5</v>
      </c>
      <c r="N1024">
        <v>0</v>
      </c>
      <c r="O1024" t="s">
        <v>41</v>
      </c>
      <c r="P1024">
        <v>4</v>
      </c>
      <c r="Q1024">
        <v>1</v>
      </c>
      <c r="R1024" t="s">
        <v>26</v>
      </c>
      <c r="S1024">
        <v>2</v>
      </c>
      <c r="U1024">
        <v>0</v>
      </c>
      <c r="V1024" t="s">
        <v>196</v>
      </c>
    </row>
    <row r="1025" spans="1:22" x14ac:dyDescent="0.45">
      <c r="A1025" t="str">
        <f>"10446974"</f>
        <v>10446974</v>
      </c>
      <c r="B1025" t="s">
        <v>22</v>
      </c>
      <c r="C1025" s="1">
        <v>43777</v>
      </c>
      <c r="D1025">
        <v>1100000</v>
      </c>
      <c r="E1025" t="s">
        <v>60</v>
      </c>
      <c r="F1025">
        <v>2015</v>
      </c>
      <c r="G1025">
        <v>1773</v>
      </c>
      <c r="H1025" t="s">
        <v>135</v>
      </c>
      <c r="I1025" t="str">
        <f t="shared" si="15"/>
        <v>25</v>
      </c>
      <c r="J1025">
        <v>60025</v>
      </c>
      <c r="K1025">
        <v>3400</v>
      </c>
      <c r="L1025">
        <v>12</v>
      </c>
      <c r="M1025">
        <v>5</v>
      </c>
      <c r="N1025">
        <v>2</v>
      </c>
      <c r="O1025" t="s">
        <v>41</v>
      </c>
      <c r="P1025">
        <v>5</v>
      </c>
      <c r="Q1025">
        <v>1</v>
      </c>
      <c r="R1025" t="s">
        <v>26</v>
      </c>
      <c r="S1025">
        <v>2</v>
      </c>
    </row>
    <row r="1026" spans="1:22" x14ac:dyDescent="0.45">
      <c r="A1026" t="str">
        <f>"10357662"</f>
        <v>10357662</v>
      </c>
      <c r="B1026" t="s">
        <v>22</v>
      </c>
      <c r="C1026" s="1">
        <v>43658</v>
      </c>
      <c r="D1026">
        <v>1100000</v>
      </c>
      <c r="E1026" t="s">
        <v>60</v>
      </c>
      <c r="F1026">
        <v>2002</v>
      </c>
      <c r="G1026">
        <v>906</v>
      </c>
      <c r="H1026" t="s">
        <v>316</v>
      </c>
      <c r="I1026" t="str">
        <f t="shared" ref="I1026:I1089" si="16">"25"</f>
        <v>25</v>
      </c>
      <c r="J1026">
        <v>60025</v>
      </c>
      <c r="K1026">
        <v>4140</v>
      </c>
      <c r="L1026">
        <v>15</v>
      </c>
      <c r="M1026">
        <v>6</v>
      </c>
      <c r="N1026">
        <v>1</v>
      </c>
      <c r="O1026" t="s">
        <v>41</v>
      </c>
      <c r="P1026">
        <v>5</v>
      </c>
      <c r="Q1026">
        <v>1</v>
      </c>
      <c r="R1026" t="s">
        <v>26</v>
      </c>
      <c r="S1026">
        <v>3</v>
      </c>
      <c r="V1026" t="s">
        <v>67</v>
      </c>
    </row>
    <row r="1027" spans="1:22" x14ac:dyDescent="0.45">
      <c r="A1027" t="str">
        <f>"10580491"</f>
        <v>10580491</v>
      </c>
      <c r="B1027" t="s">
        <v>22</v>
      </c>
      <c r="C1027" s="1">
        <v>44076</v>
      </c>
      <c r="D1027">
        <v>1100000</v>
      </c>
      <c r="E1027" t="s">
        <v>60</v>
      </c>
      <c r="F1027">
        <v>2007</v>
      </c>
      <c r="G1027">
        <v>835</v>
      </c>
      <c r="H1027" t="s">
        <v>317</v>
      </c>
      <c r="I1027" t="str">
        <f t="shared" si="16"/>
        <v>25</v>
      </c>
      <c r="J1027">
        <v>60025</v>
      </c>
      <c r="K1027">
        <v>8335</v>
      </c>
      <c r="L1027">
        <v>17</v>
      </c>
      <c r="M1027">
        <v>5</v>
      </c>
      <c r="N1027">
        <v>1</v>
      </c>
      <c r="O1027" t="s">
        <v>41</v>
      </c>
      <c r="P1027">
        <v>5</v>
      </c>
      <c r="Q1027">
        <v>1</v>
      </c>
      <c r="R1027" t="s">
        <v>26</v>
      </c>
      <c r="S1027">
        <v>3</v>
      </c>
      <c r="U1027">
        <v>2290</v>
      </c>
    </row>
    <row r="1028" spans="1:22" x14ac:dyDescent="0.45">
      <c r="A1028" t="str">
        <f>"10823718"</f>
        <v>10823718</v>
      </c>
      <c r="B1028" t="s">
        <v>22</v>
      </c>
      <c r="C1028" s="1">
        <v>44127</v>
      </c>
      <c r="D1028">
        <v>1100000</v>
      </c>
      <c r="E1028" t="s">
        <v>60</v>
      </c>
      <c r="F1028">
        <v>2004</v>
      </c>
      <c r="G1028">
        <v>3081</v>
      </c>
      <c r="H1028" t="s">
        <v>427</v>
      </c>
      <c r="I1028" t="str">
        <f t="shared" si="16"/>
        <v>25</v>
      </c>
      <c r="J1028">
        <v>60026</v>
      </c>
      <c r="K1028">
        <v>4357</v>
      </c>
      <c r="L1028">
        <v>14</v>
      </c>
      <c r="M1028">
        <v>4</v>
      </c>
      <c r="N1028">
        <v>1</v>
      </c>
      <c r="O1028" t="s">
        <v>41</v>
      </c>
      <c r="P1028">
        <v>4</v>
      </c>
      <c r="Q1028">
        <v>1</v>
      </c>
      <c r="R1028" t="s">
        <v>26</v>
      </c>
      <c r="S1028">
        <v>2</v>
      </c>
    </row>
    <row r="1029" spans="1:22" x14ac:dyDescent="0.45">
      <c r="A1029" t="str">
        <f>"10762324"</f>
        <v>10762324</v>
      </c>
      <c r="B1029" t="s">
        <v>22</v>
      </c>
      <c r="C1029" s="1">
        <v>44089</v>
      </c>
      <c r="D1029">
        <v>1101528</v>
      </c>
      <c r="E1029" t="s">
        <v>60</v>
      </c>
      <c r="F1029">
        <v>2007</v>
      </c>
      <c r="G1029">
        <v>1434</v>
      </c>
      <c r="H1029" t="s">
        <v>267</v>
      </c>
      <c r="I1029" t="str">
        <f t="shared" si="16"/>
        <v>25</v>
      </c>
      <c r="J1029">
        <v>60025</v>
      </c>
      <c r="K1029">
        <v>0</v>
      </c>
      <c r="L1029">
        <v>12</v>
      </c>
      <c r="M1029">
        <v>5</v>
      </c>
      <c r="N1029">
        <v>1</v>
      </c>
      <c r="O1029" t="s">
        <v>41</v>
      </c>
      <c r="P1029">
        <v>4</v>
      </c>
      <c r="Q1029">
        <v>1</v>
      </c>
      <c r="R1029" t="s">
        <v>26</v>
      </c>
      <c r="S1029">
        <v>3</v>
      </c>
      <c r="V1029" t="s">
        <v>67</v>
      </c>
    </row>
    <row r="1030" spans="1:22" x14ac:dyDescent="0.45">
      <c r="A1030" t="str">
        <f>"10779860"</f>
        <v>10779860</v>
      </c>
      <c r="B1030" t="s">
        <v>22</v>
      </c>
      <c r="C1030" s="1">
        <v>44141</v>
      </c>
      <c r="D1030">
        <v>1107000</v>
      </c>
      <c r="E1030" t="s">
        <v>60</v>
      </c>
      <c r="F1030">
        <v>2001</v>
      </c>
      <c r="G1030">
        <v>1748</v>
      </c>
      <c r="H1030" t="s">
        <v>412</v>
      </c>
      <c r="I1030" t="str">
        <f t="shared" si="16"/>
        <v>25</v>
      </c>
      <c r="J1030">
        <v>60026</v>
      </c>
      <c r="K1030">
        <v>4706</v>
      </c>
      <c r="L1030">
        <v>11</v>
      </c>
      <c r="M1030">
        <v>4</v>
      </c>
      <c r="N1030">
        <v>0</v>
      </c>
      <c r="O1030" t="s">
        <v>25</v>
      </c>
      <c r="P1030">
        <v>4</v>
      </c>
      <c r="Q1030">
        <v>0</v>
      </c>
      <c r="R1030" t="s">
        <v>26</v>
      </c>
      <c r="S1030">
        <v>3</v>
      </c>
      <c r="V1030" t="s">
        <v>67</v>
      </c>
    </row>
    <row r="1031" spans="1:22" x14ac:dyDescent="0.45">
      <c r="A1031" t="str">
        <f>"10604003"</f>
        <v>10604003</v>
      </c>
      <c r="B1031" t="s">
        <v>22</v>
      </c>
      <c r="C1031" s="1">
        <v>43922</v>
      </c>
      <c r="D1031">
        <v>1110000</v>
      </c>
      <c r="E1031" t="s">
        <v>60</v>
      </c>
      <c r="F1031">
        <v>2007</v>
      </c>
      <c r="G1031">
        <v>735</v>
      </c>
      <c r="H1031" t="s">
        <v>317</v>
      </c>
      <c r="I1031" t="str">
        <f t="shared" si="16"/>
        <v>25</v>
      </c>
      <c r="J1031">
        <v>60025</v>
      </c>
      <c r="K1031">
        <v>3657</v>
      </c>
      <c r="L1031">
        <v>11</v>
      </c>
      <c r="M1031">
        <v>4</v>
      </c>
      <c r="N1031">
        <v>2</v>
      </c>
      <c r="O1031" t="s">
        <v>41</v>
      </c>
      <c r="P1031">
        <v>5</v>
      </c>
      <c r="Q1031">
        <v>0</v>
      </c>
      <c r="R1031" t="s">
        <v>26</v>
      </c>
      <c r="S1031">
        <v>2</v>
      </c>
    </row>
    <row r="1032" spans="1:22" x14ac:dyDescent="0.45">
      <c r="A1032" t="str">
        <f>"10318305"</f>
        <v>10318305</v>
      </c>
      <c r="B1032" t="s">
        <v>22</v>
      </c>
      <c r="C1032" s="1">
        <v>43606</v>
      </c>
      <c r="D1032">
        <v>1112000</v>
      </c>
      <c r="E1032" t="s">
        <v>60</v>
      </c>
      <c r="F1032">
        <v>1963</v>
      </c>
      <c r="G1032">
        <v>2200</v>
      </c>
      <c r="H1032" t="s">
        <v>286</v>
      </c>
      <c r="I1032" t="str">
        <f t="shared" si="16"/>
        <v>25</v>
      </c>
      <c r="J1032">
        <v>60025</v>
      </c>
      <c r="K1032">
        <v>3022</v>
      </c>
      <c r="L1032">
        <v>11</v>
      </c>
      <c r="M1032">
        <v>3</v>
      </c>
      <c r="N1032">
        <v>1</v>
      </c>
      <c r="O1032" t="s">
        <v>25</v>
      </c>
      <c r="P1032">
        <v>4</v>
      </c>
      <c r="Q1032">
        <v>0</v>
      </c>
      <c r="R1032" t="s">
        <v>26</v>
      </c>
      <c r="S1032">
        <v>2</v>
      </c>
      <c r="V1032" t="s">
        <v>67</v>
      </c>
    </row>
    <row r="1033" spans="1:22" x14ac:dyDescent="0.45">
      <c r="A1033" t="str">
        <f>"10823751"</f>
        <v>10823751</v>
      </c>
      <c r="B1033" t="s">
        <v>22</v>
      </c>
      <c r="C1033" s="1">
        <v>44106</v>
      </c>
      <c r="D1033">
        <v>1123000</v>
      </c>
      <c r="E1033" t="s">
        <v>60</v>
      </c>
      <c r="F1033">
        <v>2020</v>
      </c>
      <c r="G1033">
        <v>2452</v>
      </c>
      <c r="H1033" t="s">
        <v>72</v>
      </c>
      <c r="I1033" t="str">
        <f t="shared" si="16"/>
        <v>25</v>
      </c>
      <c r="J1033">
        <v>60025</v>
      </c>
      <c r="K1033">
        <v>4100</v>
      </c>
      <c r="L1033">
        <v>13</v>
      </c>
      <c r="M1033">
        <v>6</v>
      </c>
      <c r="N1033">
        <v>0</v>
      </c>
      <c r="O1033" t="s">
        <v>41</v>
      </c>
      <c r="P1033">
        <v>5</v>
      </c>
      <c r="Q1033">
        <v>1</v>
      </c>
      <c r="R1033" t="s">
        <v>26</v>
      </c>
      <c r="S1033">
        <v>2</v>
      </c>
    </row>
    <row r="1034" spans="1:22" x14ac:dyDescent="0.45">
      <c r="A1034" t="str">
        <f>"10366185"</f>
        <v>10366185</v>
      </c>
      <c r="B1034" t="s">
        <v>22</v>
      </c>
      <c r="C1034" s="1">
        <v>43704</v>
      </c>
      <c r="D1034">
        <v>1123800</v>
      </c>
      <c r="E1034" t="s">
        <v>60</v>
      </c>
      <c r="F1034">
        <v>2008</v>
      </c>
      <c r="G1034">
        <v>1307</v>
      </c>
      <c r="H1034" t="s">
        <v>227</v>
      </c>
      <c r="I1034" t="str">
        <f t="shared" si="16"/>
        <v>25</v>
      </c>
      <c r="J1034">
        <v>60025</v>
      </c>
      <c r="K1034">
        <v>3278</v>
      </c>
      <c r="L1034">
        <v>11</v>
      </c>
      <c r="M1034">
        <v>4</v>
      </c>
      <c r="N1034">
        <v>1</v>
      </c>
      <c r="O1034" t="s">
        <v>41</v>
      </c>
      <c r="P1034">
        <v>4</v>
      </c>
      <c r="Q1034">
        <v>1</v>
      </c>
      <c r="R1034" t="s">
        <v>26</v>
      </c>
      <c r="S1034">
        <v>2</v>
      </c>
    </row>
    <row r="1035" spans="1:22" x14ac:dyDescent="0.45">
      <c r="A1035" t="str">
        <f>"10698232"</f>
        <v>10698232</v>
      </c>
      <c r="B1035" t="s">
        <v>22</v>
      </c>
      <c r="C1035" s="1">
        <v>43992</v>
      </c>
      <c r="D1035">
        <v>1130000</v>
      </c>
      <c r="E1035" t="s">
        <v>60</v>
      </c>
      <c r="F1035">
        <v>2008</v>
      </c>
      <c r="G1035">
        <v>220</v>
      </c>
      <c r="H1035" t="s">
        <v>246</v>
      </c>
      <c r="I1035" t="str">
        <f t="shared" si="16"/>
        <v>25</v>
      </c>
      <c r="J1035">
        <v>60025</v>
      </c>
      <c r="K1035">
        <v>3482</v>
      </c>
      <c r="L1035">
        <v>13</v>
      </c>
      <c r="M1035">
        <v>5</v>
      </c>
      <c r="N1035">
        <v>1</v>
      </c>
      <c r="O1035" t="s">
        <v>41</v>
      </c>
      <c r="P1035">
        <v>6</v>
      </c>
      <c r="Q1035">
        <v>0</v>
      </c>
      <c r="R1035" t="s">
        <v>26</v>
      </c>
      <c r="S1035">
        <v>2</v>
      </c>
      <c r="V1035" t="s">
        <v>67</v>
      </c>
    </row>
    <row r="1036" spans="1:22" x14ac:dyDescent="0.45">
      <c r="A1036" t="str">
        <f>"10262843"</f>
        <v>10262843</v>
      </c>
      <c r="B1036" t="s">
        <v>22</v>
      </c>
      <c r="C1036" s="1">
        <v>43585</v>
      </c>
      <c r="D1036">
        <v>1142500</v>
      </c>
      <c r="E1036" t="s">
        <v>60</v>
      </c>
      <c r="F1036">
        <v>2001</v>
      </c>
      <c r="G1036">
        <v>1748</v>
      </c>
      <c r="H1036" t="s">
        <v>414</v>
      </c>
      <c r="I1036" t="str">
        <f t="shared" si="16"/>
        <v>25</v>
      </c>
      <c r="J1036">
        <v>60026</v>
      </c>
      <c r="K1036">
        <v>4412</v>
      </c>
      <c r="L1036">
        <v>13</v>
      </c>
      <c r="M1036">
        <v>5</v>
      </c>
      <c r="N1036">
        <v>1</v>
      </c>
      <c r="O1036" t="s">
        <v>41</v>
      </c>
      <c r="P1036">
        <v>5</v>
      </c>
      <c r="Q1036">
        <v>1</v>
      </c>
      <c r="R1036" t="s">
        <v>26</v>
      </c>
      <c r="S1036">
        <v>2.5</v>
      </c>
      <c r="V1036" t="s">
        <v>67</v>
      </c>
    </row>
    <row r="1037" spans="1:22" x14ac:dyDescent="0.45">
      <c r="A1037" t="str">
        <f>"10826886"</f>
        <v>10826886</v>
      </c>
      <c r="B1037" t="s">
        <v>22</v>
      </c>
      <c r="C1037" s="1">
        <v>44084</v>
      </c>
      <c r="D1037">
        <v>1149912</v>
      </c>
      <c r="E1037" t="s">
        <v>60</v>
      </c>
      <c r="F1037">
        <v>2018</v>
      </c>
      <c r="G1037">
        <v>2113</v>
      </c>
      <c r="H1037" t="s">
        <v>328</v>
      </c>
      <c r="I1037" t="str">
        <f t="shared" si="16"/>
        <v>25</v>
      </c>
      <c r="J1037">
        <v>60025</v>
      </c>
      <c r="K1037">
        <v>5500</v>
      </c>
      <c r="L1037">
        <v>13</v>
      </c>
      <c r="M1037">
        <v>5</v>
      </c>
      <c r="N1037">
        <v>1</v>
      </c>
      <c r="O1037" t="s">
        <v>41</v>
      </c>
      <c r="P1037">
        <v>5</v>
      </c>
      <c r="Q1037">
        <v>1</v>
      </c>
      <c r="R1037" t="s">
        <v>26</v>
      </c>
      <c r="S1037">
        <v>3</v>
      </c>
      <c r="U1037">
        <v>1875</v>
      </c>
      <c r="V1037" t="s">
        <v>67</v>
      </c>
    </row>
    <row r="1038" spans="1:22" x14ac:dyDescent="0.45">
      <c r="A1038" t="str">
        <f>"10776079"</f>
        <v>10776079</v>
      </c>
      <c r="B1038" t="s">
        <v>22</v>
      </c>
      <c r="C1038" s="1">
        <v>44119</v>
      </c>
      <c r="D1038">
        <v>1150000</v>
      </c>
      <c r="E1038" t="s">
        <v>60</v>
      </c>
      <c r="F1038">
        <v>1942</v>
      </c>
      <c r="G1038">
        <v>735</v>
      </c>
      <c r="H1038" t="s">
        <v>428</v>
      </c>
      <c r="I1038" t="str">
        <f t="shared" si="16"/>
        <v>25</v>
      </c>
      <c r="J1038">
        <v>60025</v>
      </c>
      <c r="K1038">
        <v>4248</v>
      </c>
      <c r="L1038">
        <v>12</v>
      </c>
      <c r="M1038">
        <v>3</v>
      </c>
      <c r="N1038">
        <v>2</v>
      </c>
      <c r="O1038" t="s">
        <v>41</v>
      </c>
      <c r="P1038">
        <v>4</v>
      </c>
      <c r="Q1038">
        <v>0</v>
      </c>
      <c r="R1038" t="s">
        <v>26</v>
      </c>
      <c r="S1038">
        <v>3</v>
      </c>
      <c r="U1038">
        <v>2250</v>
      </c>
      <c r="V1038" t="s">
        <v>67</v>
      </c>
    </row>
    <row r="1039" spans="1:22" x14ac:dyDescent="0.45">
      <c r="A1039" t="str">
        <f>"10842279"</f>
        <v>10842279</v>
      </c>
      <c r="B1039" t="s">
        <v>22</v>
      </c>
      <c r="C1039" s="1">
        <v>44141</v>
      </c>
      <c r="D1039">
        <v>1150000</v>
      </c>
      <c r="E1039" t="s">
        <v>60</v>
      </c>
      <c r="F1039">
        <v>2005</v>
      </c>
      <c r="G1039">
        <v>1699</v>
      </c>
      <c r="H1039" t="s">
        <v>427</v>
      </c>
      <c r="I1039" t="str">
        <f t="shared" si="16"/>
        <v>25</v>
      </c>
      <c r="J1039">
        <v>60026</v>
      </c>
      <c r="K1039">
        <v>4937</v>
      </c>
      <c r="L1039">
        <v>11</v>
      </c>
      <c r="M1039">
        <v>3</v>
      </c>
      <c r="N1039">
        <v>1</v>
      </c>
      <c r="O1039" t="s">
        <v>25</v>
      </c>
      <c r="P1039">
        <v>4</v>
      </c>
      <c r="Q1039">
        <v>0</v>
      </c>
      <c r="R1039" t="s">
        <v>26</v>
      </c>
      <c r="S1039">
        <v>2</v>
      </c>
      <c r="U1039">
        <v>2400</v>
      </c>
    </row>
    <row r="1040" spans="1:22" x14ac:dyDescent="0.45">
      <c r="A1040" t="str">
        <f>"10790840"</f>
        <v>10790840</v>
      </c>
      <c r="B1040" t="s">
        <v>22</v>
      </c>
      <c r="C1040" s="1">
        <v>44134</v>
      </c>
      <c r="D1040">
        <v>1150000</v>
      </c>
      <c r="E1040" t="s">
        <v>64</v>
      </c>
      <c r="F1040">
        <v>2001</v>
      </c>
      <c r="G1040">
        <v>1547</v>
      </c>
      <c r="H1040" t="s">
        <v>264</v>
      </c>
      <c r="I1040" t="str">
        <f t="shared" si="16"/>
        <v>25</v>
      </c>
      <c r="J1040">
        <v>60025</v>
      </c>
      <c r="K1040">
        <v>5500</v>
      </c>
      <c r="L1040">
        <v>14</v>
      </c>
      <c r="M1040">
        <v>4</v>
      </c>
      <c r="N1040">
        <v>1</v>
      </c>
      <c r="O1040" t="s">
        <v>25</v>
      </c>
      <c r="P1040">
        <v>6</v>
      </c>
      <c r="Q1040">
        <v>0</v>
      </c>
      <c r="R1040" t="s">
        <v>26</v>
      </c>
      <c r="S1040">
        <v>3</v>
      </c>
    </row>
    <row r="1041" spans="1:22" x14ac:dyDescent="0.45">
      <c r="A1041" t="str">
        <f>"10300777"</f>
        <v>10300777</v>
      </c>
      <c r="B1041" t="s">
        <v>22</v>
      </c>
      <c r="C1041" s="1">
        <v>43601</v>
      </c>
      <c r="D1041">
        <v>1150000</v>
      </c>
      <c r="E1041" t="s">
        <v>60</v>
      </c>
      <c r="F1041">
        <v>2018</v>
      </c>
      <c r="G1041">
        <v>337</v>
      </c>
      <c r="H1041" t="s">
        <v>262</v>
      </c>
      <c r="I1041" t="str">
        <f t="shared" si="16"/>
        <v>25</v>
      </c>
      <c r="J1041">
        <v>60025</v>
      </c>
      <c r="K1041">
        <v>3271</v>
      </c>
      <c r="L1041">
        <v>13</v>
      </c>
      <c r="M1041">
        <v>4</v>
      </c>
      <c r="N1041">
        <v>1</v>
      </c>
      <c r="O1041" t="s">
        <v>41</v>
      </c>
      <c r="P1041">
        <v>4</v>
      </c>
      <c r="Q1041">
        <v>1</v>
      </c>
      <c r="R1041" t="s">
        <v>26</v>
      </c>
      <c r="S1041">
        <v>2</v>
      </c>
      <c r="U1041">
        <v>1483</v>
      </c>
      <c r="V1041" t="s">
        <v>67</v>
      </c>
    </row>
    <row r="1042" spans="1:22" x14ac:dyDescent="0.45">
      <c r="A1042" t="str">
        <f>"10157573"</f>
        <v>10157573</v>
      </c>
      <c r="B1042" t="s">
        <v>22</v>
      </c>
      <c r="C1042" s="1">
        <v>43560</v>
      </c>
      <c r="D1042">
        <v>1150000</v>
      </c>
      <c r="E1042" t="s">
        <v>60</v>
      </c>
      <c r="F1042">
        <v>2018</v>
      </c>
      <c r="G1042">
        <v>3305</v>
      </c>
      <c r="H1042" t="s">
        <v>76</v>
      </c>
      <c r="I1042" t="str">
        <f t="shared" si="16"/>
        <v>25</v>
      </c>
      <c r="J1042">
        <v>60025</v>
      </c>
      <c r="K1042">
        <v>7094</v>
      </c>
      <c r="L1042">
        <v>15</v>
      </c>
      <c r="M1042">
        <v>5</v>
      </c>
      <c r="N1042">
        <v>1</v>
      </c>
      <c r="O1042" t="s">
        <v>41</v>
      </c>
      <c r="P1042">
        <v>6</v>
      </c>
      <c r="Q1042">
        <v>1</v>
      </c>
      <c r="R1042" t="s">
        <v>26</v>
      </c>
      <c r="S1042">
        <v>3</v>
      </c>
    </row>
    <row r="1043" spans="1:22" x14ac:dyDescent="0.45">
      <c r="A1043" t="str">
        <f>"10648267"</f>
        <v>10648267</v>
      </c>
      <c r="B1043" t="s">
        <v>22</v>
      </c>
      <c r="C1043" s="1">
        <v>44036</v>
      </c>
      <c r="D1043">
        <v>1150000</v>
      </c>
      <c r="E1043" t="s">
        <v>60</v>
      </c>
      <c r="F1043">
        <v>2019</v>
      </c>
      <c r="G1043">
        <v>1826</v>
      </c>
      <c r="H1043" t="s">
        <v>127</v>
      </c>
      <c r="I1043" t="str">
        <f t="shared" si="16"/>
        <v>25</v>
      </c>
      <c r="J1043">
        <v>60025</v>
      </c>
      <c r="K1043">
        <v>4000</v>
      </c>
      <c r="L1043">
        <v>12</v>
      </c>
      <c r="M1043">
        <v>4</v>
      </c>
      <c r="N1043">
        <v>1</v>
      </c>
      <c r="O1043" t="s">
        <v>41</v>
      </c>
      <c r="P1043">
        <v>4</v>
      </c>
      <c r="Q1043">
        <v>1</v>
      </c>
      <c r="R1043" t="s">
        <v>26</v>
      </c>
      <c r="S1043">
        <v>2</v>
      </c>
      <c r="V1043" t="s">
        <v>226</v>
      </c>
    </row>
    <row r="1044" spans="1:22" x14ac:dyDescent="0.45">
      <c r="A1044" t="str">
        <f>"09950708"</f>
        <v>09950708</v>
      </c>
      <c r="B1044" t="s">
        <v>22</v>
      </c>
      <c r="C1044" s="1">
        <v>43502</v>
      </c>
      <c r="D1044">
        <v>1150000</v>
      </c>
      <c r="E1044" t="s">
        <v>60</v>
      </c>
      <c r="F1044">
        <v>1940</v>
      </c>
      <c r="G1044">
        <v>730</v>
      </c>
      <c r="H1044" t="s">
        <v>360</v>
      </c>
      <c r="I1044" t="str">
        <f t="shared" si="16"/>
        <v>25</v>
      </c>
      <c r="J1044">
        <v>60025</v>
      </c>
      <c r="K1044">
        <v>0</v>
      </c>
      <c r="L1044">
        <v>14</v>
      </c>
      <c r="M1044">
        <v>4</v>
      </c>
      <c r="N1044">
        <v>1</v>
      </c>
      <c r="O1044" t="s">
        <v>41</v>
      </c>
      <c r="P1044">
        <v>4</v>
      </c>
      <c r="Q1044">
        <v>0</v>
      </c>
      <c r="R1044" t="s">
        <v>26</v>
      </c>
      <c r="S1044">
        <v>3</v>
      </c>
      <c r="V1044" t="s">
        <v>67</v>
      </c>
    </row>
    <row r="1045" spans="1:22" x14ac:dyDescent="0.45">
      <c r="A1045" t="str">
        <f>"10527537"</f>
        <v>10527537</v>
      </c>
      <c r="B1045" t="s">
        <v>22</v>
      </c>
      <c r="C1045" s="1">
        <v>43916</v>
      </c>
      <c r="D1045">
        <v>1155000</v>
      </c>
      <c r="E1045" t="s">
        <v>60</v>
      </c>
      <c r="F1045">
        <v>2019</v>
      </c>
      <c r="G1045">
        <v>201</v>
      </c>
      <c r="H1045" t="s">
        <v>246</v>
      </c>
      <c r="I1045" t="str">
        <f t="shared" si="16"/>
        <v>25</v>
      </c>
      <c r="J1045">
        <v>60025</v>
      </c>
      <c r="K1045">
        <v>5248</v>
      </c>
      <c r="L1045">
        <v>13</v>
      </c>
      <c r="M1045">
        <v>4</v>
      </c>
      <c r="N1045">
        <v>1</v>
      </c>
      <c r="O1045" t="s">
        <v>41</v>
      </c>
      <c r="P1045">
        <v>4</v>
      </c>
      <c r="Q1045">
        <v>1</v>
      </c>
      <c r="R1045" t="s">
        <v>26</v>
      </c>
      <c r="S1045">
        <v>2</v>
      </c>
      <c r="U1045">
        <v>0</v>
      </c>
      <c r="V1045" t="s">
        <v>429</v>
      </c>
    </row>
    <row r="1046" spans="1:22" x14ac:dyDescent="0.45">
      <c r="A1046" t="str">
        <f>"10375396"</f>
        <v>10375396</v>
      </c>
      <c r="B1046" t="s">
        <v>22</v>
      </c>
      <c r="C1046" s="1">
        <v>43672</v>
      </c>
      <c r="D1046">
        <v>1160000</v>
      </c>
      <c r="E1046" t="s">
        <v>60</v>
      </c>
      <c r="F1046">
        <v>2001</v>
      </c>
      <c r="G1046">
        <v>1713</v>
      </c>
      <c r="H1046" t="s">
        <v>414</v>
      </c>
      <c r="I1046" t="str">
        <f t="shared" si="16"/>
        <v>25</v>
      </c>
      <c r="J1046">
        <v>60026</v>
      </c>
      <c r="K1046">
        <v>4098</v>
      </c>
      <c r="L1046">
        <v>13</v>
      </c>
      <c r="M1046">
        <v>5</v>
      </c>
      <c r="N1046">
        <v>1</v>
      </c>
      <c r="O1046" t="s">
        <v>41</v>
      </c>
      <c r="P1046">
        <v>5</v>
      </c>
      <c r="Q1046">
        <v>1</v>
      </c>
      <c r="R1046" t="s">
        <v>26</v>
      </c>
      <c r="S1046">
        <v>2.5</v>
      </c>
      <c r="V1046" t="s">
        <v>67</v>
      </c>
    </row>
    <row r="1047" spans="1:22" x14ac:dyDescent="0.45">
      <c r="A1047" t="str">
        <f>"10419109"</f>
        <v>10419109</v>
      </c>
      <c r="B1047" t="s">
        <v>22</v>
      </c>
      <c r="C1047" s="1">
        <v>43720</v>
      </c>
      <c r="D1047">
        <v>1160000</v>
      </c>
      <c r="E1047" t="s">
        <v>60</v>
      </c>
      <c r="F1047">
        <v>2016</v>
      </c>
      <c r="G1047">
        <v>345</v>
      </c>
      <c r="H1047" t="s">
        <v>77</v>
      </c>
      <c r="I1047" t="str">
        <f t="shared" si="16"/>
        <v>25</v>
      </c>
      <c r="J1047">
        <v>60025</v>
      </c>
      <c r="K1047">
        <v>4000</v>
      </c>
      <c r="L1047">
        <v>12</v>
      </c>
      <c r="M1047">
        <v>5</v>
      </c>
      <c r="N1047">
        <v>0</v>
      </c>
      <c r="O1047" t="s">
        <v>41</v>
      </c>
      <c r="P1047">
        <v>5</v>
      </c>
      <c r="Q1047">
        <v>1</v>
      </c>
      <c r="R1047" t="s">
        <v>26</v>
      </c>
      <c r="S1047">
        <v>2</v>
      </c>
    </row>
    <row r="1048" spans="1:22" x14ac:dyDescent="0.45">
      <c r="A1048" t="str">
        <f>"10265214"</f>
        <v>10265214</v>
      </c>
      <c r="B1048" t="s">
        <v>22</v>
      </c>
      <c r="C1048" s="1">
        <v>43566</v>
      </c>
      <c r="D1048">
        <v>1160000</v>
      </c>
      <c r="E1048" t="s">
        <v>60</v>
      </c>
      <c r="F1048">
        <v>2009</v>
      </c>
      <c r="G1048">
        <v>1021</v>
      </c>
      <c r="H1048" t="s">
        <v>109</v>
      </c>
      <c r="I1048" t="str">
        <f t="shared" si="16"/>
        <v>25</v>
      </c>
      <c r="J1048">
        <v>60025</v>
      </c>
      <c r="K1048">
        <v>0</v>
      </c>
      <c r="L1048">
        <v>12</v>
      </c>
      <c r="M1048">
        <v>5</v>
      </c>
      <c r="N1048">
        <v>1</v>
      </c>
      <c r="O1048" t="s">
        <v>41</v>
      </c>
      <c r="P1048">
        <v>5</v>
      </c>
      <c r="Q1048">
        <v>0</v>
      </c>
      <c r="R1048" t="s">
        <v>26</v>
      </c>
      <c r="S1048">
        <v>3</v>
      </c>
    </row>
    <row r="1049" spans="1:22" x14ac:dyDescent="0.45">
      <c r="A1049" t="str">
        <f>"10753150"</f>
        <v>10753150</v>
      </c>
      <c r="B1049" t="s">
        <v>22</v>
      </c>
      <c r="C1049" s="1">
        <v>44043</v>
      </c>
      <c r="D1049">
        <v>1175000</v>
      </c>
      <c r="E1049" t="s">
        <v>60</v>
      </c>
      <c r="F1049">
        <v>2020</v>
      </c>
      <c r="G1049">
        <v>237</v>
      </c>
      <c r="H1049" t="s">
        <v>75</v>
      </c>
      <c r="I1049" t="str">
        <f t="shared" si="16"/>
        <v>25</v>
      </c>
      <c r="J1049">
        <v>60025</v>
      </c>
      <c r="K1049">
        <v>3300</v>
      </c>
      <c r="L1049">
        <v>11</v>
      </c>
      <c r="M1049">
        <v>4</v>
      </c>
      <c r="N1049">
        <v>1</v>
      </c>
      <c r="O1049" t="s">
        <v>41</v>
      </c>
      <c r="P1049">
        <v>4</v>
      </c>
      <c r="Q1049">
        <v>0</v>
      </c>
      <c r="R1049" t="s">
        <v>35</v>
      </c>
      <c r="S1049">
        <v>2</v>
      </c>
    </row>
    <row r="1050" spans="1:22" x14ac:dyDescent="0.45">
      <c r="A1050" t="str">
        <f>"10853669"</f>
        <v>10853669</v>
      </c>
      <c r="B1050" t="s">
        <v>22</v>
      </c>
      <c r="C1050" s="1">
        <v>44165</v>
      </c>
      <c r="D1050">
        <v>1175000</v>
      </c>
      <c r="E1050" t="s">
        <v>23</v>
      </c>
      <c r="F1050" t="s">
        <v>29</v>
      </c>
      <c r="G1050">
        <v>1020</v>
      </c>
      <c r="H1050" t="s">
        <v>359</v>
      </c>
      <c r="I1050" t="str">
        <f t="shared" si="16"/>
        <v>25</v>
      </c>
      <c r="J1050">
        <v>60025</v>
      </c>
      <c r="K1050">
        <v>3400</v>
      </c>
      <c r="L1050">
        <v>12</v>
      </c>
      <c r="M1050">
        <v>3</v>
      </c>
      <c r="N1050">
        <v>1</v>
      </c>
      <c r="O1050" t="s">
        <v>41</v>
      </c>
      <c r="P1050">
        <v>3</v>
      </c>
      <c r="Q1050">
        <v>1</v>
      </c>
      <c r="R1050" t="s">
        <v>26</v>
      </c>
      <c r="S1050">
        <v>2</v>
      </c>
      <c r="T1050">
        <v>2</v>
      </c>
      <c r="V1050" t="s">
        <v>27</v>
      </c>
    </row>
    <row r="1051" spans="1:22" x14ac:dyDescent="0.45">
      <c r="A1051" t="str">
        <f>"10722333"</f>
        <v>10722333</v>
      </c>
      <c r="B1051" t="s">
        <v>22</v>
      </c>
      <c r="C1051" s="1">
        <v>44071</v>
      </c>
      <c r="D1051">
        <v>1175000</v>
      </c>
      <c r="E1051" t="s">
        <v>60</v>
      </c>
      <c r="F1051">
        <v>2001</v>
      </c>
      <c r="G1051">
        <v>1443</v>
      </c>
      <c r="H1051" t="s">
        <v>421</v>
      </c>
      <c r="I1051" t="str">
        <f t="shared" si="16"/>
        <v>25</v>
      </c>
      <c r="J1051">
        <v>60026</v>
      </c>
      <c r="K1051">
        <v>4424</v>
      </c>
      <c r="L1051">
        <v>17</v>
      </c>
      <c r="M1051">
        <v>5</v>
      </c>
      <c r="N1051">
        <v>0</v>
      </c>
      <c r="O1051" t="s">
        <v>41</v>
      </c>
      <c r="P1051">
        <v>5</v>
      </c>
      <c r="Q1051">
        <v>1</v>
      </c>
      <c r="R1051" t="s">
        <v>26</v>
      </c>
      <c r="S1051">
        <v>3</v>
      </c>
    </row>
    <row r="1052" spans="1:22" x14ac:dyDescent="0.45">
      <c r="A1052" t="str">
        <f>"10354485"</f>
        <v>10354485</v>
      </c>
      <c r="B1052" t="s">
        <v>22</v>
      </c>
      <c r="C1052" s="1">
        <v>43615</v>
      </c>
      <c r="D1052">
        <v>1175000</v>
      </c>
      <c r="E1052" t="s">
        <v>60</v>
      </c>
      <c r="F1052">
        <v>2006</v>
      </c>
      <c r="G1052">
        <v>935</v>
      </c>
      <c r="H1052" t="s">
        <v>256</v>
      </c>
      <c r="I1052" t="str">
        <f t="shared" si="16"/>
        <v>25</v>
      </c>
      <c r="J1052">
        <v>60025</v>
      </c>
      <c r="K1052">
        <v>4700</v>
      </c>
      <c r="L1052">
        <v>10</v>
      </c>
      <c r="M1052">
        <v>4</v>
      </c>
      <c r="N1052">
        <v>1</v>
      </c>
      <c r="O1052" t="s">
        <v>41</v>
      </c>
      <c r="P1052">
        <v>5</v>
      </c>
      <c r="Q1052">
        <v>0</v>
      </c>
      <c r="R1052" t="s">
        <v>26</v>
      </c>
      <c r="S1052">
        <v>2</v>
      </c>
      <c r="V1052" t="s">
        <v>67</v>
      </c>
    </row>
    <row r="1053" spans="1:22" x14ac:dyDescent="0.45">
      <c r="A1053" t="str">
        <f>"10603332"</f>
        <v>10603332</v>
      </c>
      <c r="B1053" t="s">
        <v>22</v>
      </c>
      <c r="C1053" s="1">
        <v>44019</v>
      </c>
      <c r="D1053">
        <v>1175000</v>
      </c>
      <c r="E1053" t="s">
        <v>60</v>
      </c>
      <c r="F1053">
        <v>1947</v>
      </c>
      <c r="G1053">
        <v>638</v>
      </c>
      <c r="H1053" t="s">
        <v>403</v>
      </c>
      <c r="I1053" t="str">
        <f t="shared" si="16"/>
        <v>25</v>
      </c>
      <c r="J1053">
        <v>60025</v>
      </c>
      <c r="K1053">
        <v>0</v>
      </c>
      <c r="L1053">
        <v>12</v>
      </c>
      <c r="M1053">
        <v>4</v>
      </c>
      <c r="N1053">
        <v>0</v>
      </c>
      <c r="O1053" t="s">
        <v>25</v>
      </c>
      <c r="P1053">
        <v>4</v>
      </c>
      <c r="Q1053">
        <v>0</v>
      </c>
      <c r="R1053" t="s">
        <v>26</v>
      </c>
      <c r="S1053">
        <v>2.5</v>
      </c>
      <c r="V1053" t="s">
        <v>67</v>
      </c>
    </row>
    <row r="1054" spans="1:22" x14ac:dyDescent="0.45">
      <c r="A1054" t="str">
        <f>"10601303"</f>
        <v>10601303</v>
      </c>
      <c r="B1054" t="s">
        <v>22</v>
      </c>
      <c r="C1054" s="1">
        <v>43945</v>
      </c>
      <c r="D1054">
        <v>1175000</v>
      </c>
      <c r="E1054" t="s">
        <v>60</v>
      </c>
      <c r="F1054">
        <v>2007</v>
      </c>
      <c r="G1054">
        <v>1944</v>
      </c>
      <c r="H1054" t="s">
        <v>430</v>
      </c>
      <c r="I1054" t="str">
        <f t="shared" si="16"/>
        <v>25</v>
      </c>
      <c r="J1054">
        <v>60025</v>
      </c>
      <c r="K1054">
        <v>4265</v>
      </c>
      <c r="L1054">
        <v>11</v>
      </c>
      <c r="M1054">
        <v>4</v>
      </c>
      <c r="N1054">
        <v>1</v>
      </c>
      <c r="O1054" t="s">
        <v>41</v>
      </c>
      <c r="P1054">
        <v>5</v>
      </c>
      <c r="Q1054">
        <v>1</v>
      </c>
      <c r="R1054" t="s">
        <v>26</v>
      </c>
      <c r="S1054">
        <v>2</v>
      </c>
    </row>
    <row r="1055" spans="1:22" x14ac:dyDescent="0.45">
      <c r="A1055" t="str">
        <f>"10589174"</f>
        <v>10589174</v>
      </c>
      <c r="B1055" t="s">
        <v>22</v>
      </c>
      <c r="C1055" s="1">
        <v>43917</v>
      </c>
      <c r="D1055">
        <v>1175000</v>
      </c>
      <c r="E1055" t="s">
        <v>60</v>
      </c>
      <c r="F1055">
        <v>2019</v>
      </c>
      <c r="G1055">
        <v>933</v>
      </c>
      <c r="H1055" t="s">
        <v>61</v>
      </c>
      <c r="I1055" t="str">
        <f t="shared" si="16"/>
        <v>25</v>
      </c>
      <c r="J1055">
        <v>60025</v>
      </c>
      <c r="K1055">
        <v>3500</v>
      </c>
      <c r="L1055">
        <v>13</v>
      </c>
      <c r="M1055">
        <v>5</v>
      </c>
      <c r="N1055">
        <v>0</v>
      </c>
      <c r="O1055" t="s">
        <v>41</v>
      </c>
      <c r="P1055">
        <v>5</v>
      </c>
      <c r="Q1055">
        <v>1</v>
      </c>
      <c r="R1055" t="s">
        <v>26</v>
      </c>
      <c r="S1055">
        <v>2</v>
      </c>
      <c r="U1055">
        <v>1450</v>
      </c>
    </row>
    <row r="1056" spans="1:22" x14ac:dyDescent="0.45">
      <c r="A1056" t="str">
        <f>"10340652"</f>
        <v>10340652</v>
      </c>
      <c r="B1056" t="s">
        <v>22</v>
      </c>
      <c r="C1056" s="1">
        <v>43675</v>
      </c>
      <c r="D1056">
        <v>1175000</v>
      </c>
      <c r="E1056" t="s">
        <v>60</v>
      </c>
      <c r="F1056">
        <v>2001</v>
      </c>
      <c r="G1056">
        <v>49</v>
      </c>
      <c r="H1056" t="s">
        <v>190</v>
      </c>
      <c r="I1056" t="str">
        <f t="shared" si="16"/>
        <v>25</v>
      </c>
      <c r="J1056">
        <v>60029</v>
      </c>
      <c r="K1056">
        <v>6328</v>
      </c>
      <c r="L1056">
        <v>13</v>
      </c>
      <c r="M1056">
        <v>4</v>
      </c>
      <c r="N1056">
        <v>2</v>
      </c>
      <c r="O1056" t="s">
        <v>41</v>
      </c>
      <c r="P1056">
        <v>5</v>
      </c>
      <c r="Q1056">
        <v>0</v>
      </c>
      <c r="R1056" t="s">
        <v>26</v>
      </c>
      <c r="S1056">
        <v>3.5</v>
      </c>
    </row>
    <row r="1057" spans="1:22" x14ac:dyDescent="0.45">
      <c r="A1057" t="str">
        <f>"10351710"</f>
        <v>10351710</v>
      </c>
      <c r="B1057" t="s">
        <v>22</v>
      </c>
      <c r="C1057" s="1">
        <v>43648</v>
      </c>
      <c r="D1057">
        <v>1185000</v>
      </c>
      <c r="E1057" t="s">
        <v>60</v>
      </c>
      <c r="F1057">
        <v>2001</v>
      </c>
      <c r="G1057">
        <v>2298</v>
      </c>
      <c r="H1057" t="s">
        <v>376</v>
      </c>
      <c r="I1057" t="str">
        <f t="shared" si="16"/>
        <v>25</v>
      </c>
      <c r="J1057">
        <v>60026</v>
      </c>
      <c r="K1057">
        <v>4412</v>
      </c>
      <c r="L1057">
        <v>12</v>
      </c>
      <c r="M1057">
        <v>4</v>
      </c>
      <c r="N1057">
        <v>1</v>
      </c>
      <c r="O1057" t="s">
        <v>25</v>
      </c>
      <c r="P1057">
        <v>5</v>
      </c>
      <c r="Q1057">
        <v>0</v>
      </c>
      <c r="R1057" t="s">
        <v>26</v>
      </c>
      <c r="S1057">
        <v>2.5</v>
      </c>
      <c r="V1057" t="s">
        <v>67</v>
      </c>
    </row>
    <row r="1058" spans="1:22" x14ac:dyDescent="0.45">
      <c r="A1058" t="str">
        <f>"10697151"</f>
        <v>10697151</v>
      </c>
      <c r="B1058" t="s">
        <v>22</v>
      </c>
      <c r="C1058" s="1">
        <v>44043</v>
      </c>
      <c r="D1058">
        <v>1195000</v>
      </c>
      <c r="E1058" t="s">
        <v>60</v>
      </c>
      <c r="F1058">
        <v>2012</v>
      </c>
      <c r="G1058">
        <v>1417</v>
      </c>
      <c r="H1058" t="s">
        <v>300</v>
      </c>
      <c r="I1058" t="str">
        <f t="shared" si="16"/>
        <v>25</v>
      </c>
      <c r="J1058">
        <v>60025</v>
      </c>
      <c r="K1058">
        <v>3597</v>
      </c>
      <c r="L1058">
        <v>12</v>
      </c>
      <c r="M1058">
        <v>5</v>
      </c>
      <c r="N1058">
        <v>1</v>
      </c>
      <c r="O1058" t="s">
        <v>41</v>
      </c>
      <c r="P1058">
        <v>4</v>
      </c>
      <c r="Q1058">
        <v>1</v>
      </c>
      <c r="R1058" t="s">
        <v>26</v>
      </c>
      <c r="S1058">
        <v>2</v>
      </c>
    </row>
    <row r="1059" spans="1:22" x14ac:dyDescent="0.45">
      <c r="A1059" t="str">
        <f>"10588979"</f>
        <v>10588979</v>
      </c>
      <c r="B1059" t="s">
        <v>22</v>
      </c>
      <c r="C1059" s="1">
        <v>44032</v>
      </c>
      <c r="D1059">
        <v>1195000</v>
      </c>
      <c r="E1059" t="s">
        <v>60</v>
      </c>
      <c r="F1059">
        <v>1998</v>
      </c>
      <c r="G1059">
        <v>1770</v>
      </c>
      <c r="H1059" t="s">
        <v>34</v>
      </c>
      <c r="I1059" t="str">
        <f t="shared" si="16"/>
        <v>25</v>
      </c>
      <c r="J1059">
        <v>60025</v>
      </c>
      <c r="K1059">
        <v>6000</v>
      </c>
      <c r="L1059">
        <v>10</v>
      </c>
      <c r="M1059">
        <v>5</v>
      </c>
      <c r="N1059">
        <v>1</v>
      </c>
      <c r="O1059" t="s">
        <v>41</v>
      </c>
      <c r="P1059">
        <v>6</v>
      </c>
      <c r="Q1059">
        <v>0</v>
      </c>
      <c r="R1059" t="s">
        <v>26</v>
      </c>
      <c r="S1059">
        <v>3</v>
      </c>
      <c r="V1059" t="s">
        <v>71</v>
      </c>
    </row>
    <row r="1060" spans="1:22" x14ac:dyDescent="0.45">
      <c r="A1060" t="str">
        <f>"10784557"</f>
        <v>10784557</v>
      </c>
      <c r="B1060" t="s">
        <v>22</v>
      </c>
      <c r="C1060" s="1">
        <v>44099</v>
      </c>
      <c r="D1060">
        <v>1200000</v>
      </c>
      <c r="E1060" t="s">
        <v>60</v>
      </c>
      <c r="F1060">
        <v>2014</v>
      </c>
      <c r="G1060">
        <v>925</v>
      </c>
      <c r="H1060" t="s">
        <v>291</v>
      </c>
      <c r="I1060" t="str">
        <f t="shared" si="16"/>
        <v>25</v>
      </c>
      <c r="J1060">
        <v>60025</v>
      </c>
      <c r="K1060">
        <v>2840</v>
      </c>
      <c r="L1060">
        <v>10</v>
      </c>
      <c r="M1060">
        <v>4</v>
      </c>
      <c r="N1060">
        <v>1</v>
      </c>
      <c r="O1060" t="s">
        <v>41</v>
      </c>
      <c r="P1060">
        <v>4</v>
      </c>
      <c r="Q1060">
        <v>0</v>
      </c>
      <c r="R1060" t="s">
        <v>26</v>
      </c>
      <c r="S1060">
        <v>2.5</v>
      </c>
      <c r="U1060">
        <v>1550</v>
      </c>
      <c r="V1060" t="s">
        <v>226</v>
      </c>
    </row>
    <row r="1061" spans="1:22" x14ac:dyDescent="0.45">
      <c r="A1061" t="str">
        <f>"10890257"</f>
        <v>10890257</v>
      </c>
      <c r="B1061" t="s">
        <v>22</v>
      </c>
      <c r="C1061" s="1">
        <v>44176</v>
      </c>
      <c r="D1061">
        <v>1200000</v>
      </c>
      <c r="E1061" t="s">
        <v>60</v>
      </c>
      <c r="F1061">
        <v>2005</v>
      </c>
      <c r="G1061">
        <v>1601</v>
      </c>
      <c r="H1061" t="s">
        <v>431</v>
      </c>
      <c r="I1061" t="str">
        <f t="shared" si="16"/>
        <v>25</v>
      </c>
      <c r="J1061">
        <v>60026</v>
      </c>
      <c r="K1061">
        <v>4700</v>
      </c>
      <c r="L1061">
        <v>16</v>
      </c>
      <c r="M1061">
        <v>3</v>
      </c>
      <c r="N1061">
        <v>1</v>
      </c>
      <c r="O1061" t="s">
        <v>25</v>
      </c>
      <c r="P1061">
        <v>5</v>
      </c>
      <c r="Q1061">
        <v>0</v>
      </c>
      <c r="R1061" t="s">
        <v>26</v>
      </c>
      <c r="S1061">
        <v>3</v>
      </c>
      <c r="U1061">
        <v>2300</v>
      </c>
      <c r="V1061" t="s">
        <v>130</v>
      </c>
    </row>
    <row r="1062" spans="1:22" x14ac:dyDescent="0.45">
      <c r="A1062" t="str">
        <f>"10032815"</f>
        <v>10032815</v>
      </c>
      <c r="B1062" t="s">
        <v>22</v>
      </c>
      <c r="C1062" s="1">
        <v>43481</v>
      </c>
      <c r="D1062">
        <v>1200000</v>
      </c>
      <c r="E1062" t="s">
        <v>60</v>
      </c>
      <c r="F1062">
        <v>1950</v>
      </c>
      <c r="G1062">
        <v>815</v>
      </c>
      <c r="H1062" t="s">
        <v>151</v>
      </c>
      <c r="I1062" t="str">
        <f t="shared" si="16"/>
        <v>25</v>
      </c>
      <c r="J1062">
        <v>60025</v>
      </c>
      <c r="K1062">
        <v>2700</v>
      </c>
      <c r="L1062">
        <v>7</v>
      </c>
      <c r="M1062">
        <v>4</v>
      </c>
      <c r="N1062">
        <v>0</v>
      </c>
      <c r="O1062" t="s">
        <v>41</v>
      </c>
      <c r="P1062">
        <v>3</v>
      </c>
      <c r="Q1062">
        <v>1</v>
      </c>
      <c r="R1062" t="s">
        <v>26</v>
      </c>
      <c r="S1062">
        <v>2</v>
      </c>
    </row>
    <row r="1063" spans="1:22" x14ac:dyDescent="0.45">
      <c r="A1063" t="str">
        <f>"10754921"</f>
        <v>10754921</v>
      </c>
      <c r="B1063" t="s">
        <v>22</v>
      </c>
      <c r="C1063" s="1">
        <v>44056</v>
      </c>
      <c r="D1063">
        <v>1200000</v>
      </c>
      <c r="E1063" t="s">
        <v>60</v>
      </c>
      <c r="F1063">
        <v>2013</v>
      </c>
      <c r="G1063">
        <v>1318</v>
      </c>
      <c r="H1063" t="s">
        <v>300</v>
      </c>
      <c r="I1063" t="str">
        <f t="shared" si="16"/>
        <v>25</v>
      </c>
      <c r="J1063">
        <v>60025</v>
      </c>
      <c r="K1063">
        <v>3678</v>
      </c>
      <c r="L1063">
        <v>12</v>
      </c>
      <c r="M1063">
        <v>4</v>
      </c>
      <c r="N1063">
        <v>1</v>
      </c>
      <c r="O1063" t="s">
        <v>41</v>
      </c>
      <c r="P1063">
        <v>4</v>
      </c>
      <c r="Q1063">
        <v>1</v>
      </c>
      <c r="R1063" t="s">
        <v>26</v>
      </c>
      <c r="S1063">
        <v>2</v>
      </c>
    </row>
    <row r="1064" spans="1:22" x14ac:dyDescent="0.45">
      <c r="A1064" t="str">
        <f>"10609828"</f>
        <v>10609828</v>
      </c>
      <c r="B1064" t="s">
        <v>22</v>
      </c>
      <c r="C1064" s="1">
        <v>44053</v>
      </c>
      <c r="D1064">
        <v>1200000</v>
      </c>
      <c r="E1064" t="s">
        <v>64</v>
      </c>
      <c r="F1064">
        <v>2012</v>
      </c>
      <c r="G1064">
        <v>1617</v>
      </c>
      <c r="H1064" t="s">
        <v>111</v>
      </c>
      <c r="I1064" t="str">
        <f t="shared" si="16"/>
        <v>25</v>
      </c>
      <c r="J1064">
        <v>60025</v>
      </c>
      <c r="K1064">
        <v>4800</v>
      </c>
      <c r="L1064">
        <v>10</v>
      </c>
      <c r="M1064">
        <v>4</v>
      </c>
      <c r="N1064">
        <v>1</v>
      </c>
      <c r="O1064" t="s">
        <v>41</v>
      </c>
      <c r="P1064">
        <v>4</v>
      </c>
      <c r="Q1064">
        <v>1</v>
      </c>
      <c r="R1064" t="s">
        <v>26</v>
      </c>
      <c r="S1064">
        <v>3</v>
      </c>
      <c r="V1064" t="s">
        <v>67</v>
      </c>
    </row>
    <row r="1065" spans="1:22" x14ac:dyDescent="0.45">
      <c r="A1065" t="str">
        <f>"09922158"</f>
        <v>09922158</v>
      </c>
      <c r="B1065" t="s">
        <v>22</v>
      </c>
      <c r="C1065" s="1">
        <v>43497</v>
      </c>
      <c r="D1065">
        <v>1205000</v>
      </c>
      <c r="E1065" t="s">
        <v>60</v>
      </c>
      <c r="F1065">
        <v>2018</v>
      </c>
      <c r="G1065">
        <v>2312</v>
      </c>
      <c r="H1065" t="s">
        <v>135</v>
      </c>
      <c r="I1065" t="str">
        <f t="shared" si="16"/>
        <v>25</v>
      </c>
      <c r="J1065">
        <v>60025</v>
      </c>
      <c r="K1065">
        <v>3671</v>
      </c>
      <c r="L1065">
        <v>11</v>
      </c>
      <c r="M1065">
        <v>5</v>
      </c>
      <c r="N1065">
        <v>1</v>
      </c>
      <c r="O1065" t="s">
        <v>41</v>
      </c>
      <c r="P1065">
        <v>4</v>
      </c>
      <c r="Q1065">
        <v>1</v>
      </c>
      <c r="R1065" t="s">
        <v>26</v>
      </c>
      <c r="S1065">
        <v>3</v>
      </c>
      <c r="V1065" t="s">
        <v>67</v>
      </c>
    </row>
    <row r="1066" spans="1:22" x14ac:dyDescent="0.45">
      <c r="A1066" t="str">
        <f>"10787381"</f>
        <v>10787381</v>
      </c>
      <c r="B1066" t="s">
        <v>22</v>
      </c>
      <c r="C1066" s="1">
        <v>44099</v>
      </c>
      <c r="D1066">
        <v>1210000</v>
      </c>
      <c r="E1066" t="s">
        <v>60</v>
      </c>
      <c r="F1066">
        <v>2020</v>
      </c>
      <c r="G1066">
        <v>649</v>
      </c>
      <c r="H1066" t="s">
        <v>108</v>
      </c>
      <c r="I1066" t="str">
        <f t="shared" si="16"/>
        <v>25</v>
      </c>
      <c r="J1066">
        <v>60025</v>
      </c>
      <c r="K1066">
        <v>3355</v>
      </c>
      <c r="L1066">
        <v>11</v>
      </c>
      <c r="M1066">
        <v>5</v>
      </c>
      <c r="N1066">
        <v>1</v>
      </c>
      <c r="O1066" t="s">
        <v>41</v>
      </c>
      <c r="P1066">
        <v>4</v>
      </c>
      <c r="Q1066">
        <v>1</v>
      </c>
      <c r="R1066" t="s">
        <v>26</v>
      </c>
      <c r="S1066">
        <v>2</v>
      </c>
    </row>
    <row r="1067" spans="1:22" x14ac:dyDescent="0.45">
      <c r="A1067" t="str">
        <f>"10835488"</f>
        <v>10835488</v>
      </c>
      <c r="B1067" t="s">
        <v>22</v>
      </c>
      <c r="C1067" s="1">
        <v>44105</v>
      </c>
      <c r="D1067">
        <v>1210000</v>
      </c>
      <c r="E1067" t="s">
        <v>60</v>
      </c>
      <c r="F1067">
        <v>2003</v>
      </c>
      <c r="G1067">
        <v>1183</v>
      </c>
      <c r="H1067" t="s">
        <v>379</v>
      </c>
      <c r="I1067" t="str">
        <f t="shared" si="16"/>
        <v>25</v>
      </c>
      <c r="J1067">
        <v>60025</v>
      </c>
      <c r="K1067">
        <v>4965</v>
      </c>
      <c r="L1067">
        <v>15</v>
      </c>
      <c r="M1067">
        <v>6</v>
      </c>
      <c r="N1067">
        <v>2</v>
      </c>
      <c r="O1067" t="s">
        <v>41</v>
      </c>
      <c r="P1067">
        <v>5</v>
      </c>
      <c r="Q1067">
        <v>1</v>
      </c>
      <c r="R1067" t="s">
        <v>26</v>
      </c>
      <c r="S1067">
        <v>3</v>
      </c>
      <c r="V1067" t="s">
        <v>196</v>
      </c>
    </row>
    <row r="1068" spans="1:22" x14ac:dyDescent="0.45">
      <c r="A1068" t="str">
        <f>"10755168"</f>
        <v>10755168</v>
      </c>
      <c r="B1068" t="s">
        <v>22</v>
      </c>
      <c r="C1068" s="1">
        <v>44042</v>
      </c>
      <c r="D1068">
        <v>1212500</v>
      </c>
      <c r="E1068" t="s">
        <v>60</v>
      </c>
      <c r="F1068">
        <v>1952</v>
      </c>
      <c r="G1068">
        <v>600</v>
      </c>
      <c r="H1068" t="s">
        <v>403</v>
      </c>
      <c r="I1068" t="str">
        <f t="shared" si="16"/>
        <v>25</v>
      </c>
      <c r="J1068">
        <v>60025</v>
      </c>
      <c r="K1068">
        <v>0</v>
      </c>
      <c r="L1068">
        <v>12</v>
      </c>
      <c r="M1068">
        <v>4</v>
      </c>
      <c r="N1068">
        <v>1</v>
      </c>
      <c r="O1068" t="s">
        <v>41</v>
      </c>
      <c r="P1068">
        <v>5</v>
      </c>
      <c r="Q1068">
        <v>0</v>
      </c>
      <c r="R1068" t="s">
        <v>26</v>
      </c>
      <c r="S1068">
        <v>2</v>
      </c>
      <c r="V1068" t="s">
        <v>67</v>
      </c>
    </row>
    <row r="1069" spans="1:22" x14ac:dyDescent="0.45">
      <c r="A1069" t="str">
        <f>"10716190"</f>
        <v>10716190</v>
      </c>
      <c r="B1069" t="s">
        <v>22</v>
      </c>
      <c r="C1069" s="1">
        <v>44068</v>
      </c>
      <c r="D1069">
        <v>1215000</v>
      </c>
      <c r="E1069" t="s">
        <v>60</v>
      </c>
      <c r="F1069">
        <v>2001</v>
      </c>
      <c r="G1069">
        <v>2659</v>
      </c>
      <c r="H1069" t="s">
        <v>420</v>
      </c>
      <c r="I1069" t="str">
        <f t="shared" si="16"/>
        <v>25</v>
      </c>
      <c r="J1069">
        <v>60026</v>
      </c>
      <c r="K1069">
        <v>3728</v>
      </c>
      <c r="L1069">
        <v>13</v>
      </c>
      <c r="M1069">
        <v>4</v>
      </c>
      <c r="N1069">
        <v>1</v>
      </c>
      <c r="O1069" t="s">
        <v>41</v>
      </c>
      <c r="P1069">
        <v>5</v>
      </c>
      <c r="Q1069">
        <v>1</v>
      </c>
      <c r="R1069" t="s">
        <v>26</v>
      </c>
      <c r="S1069">
        <v>2.5</v>
      </c>
      <c r="V1069" t="s">
        <v>33</v>
      </c>
    </row>
    <row r="1070" spans="1:22" x14ac:dyDescent="0.45">
      <c r="A1070" t="str">
        <f>"10521498"</f>
        <v>10521498</v>
      </c>
      <c r="B1070" t="s">
        <v>22</v>
      </c>
      <c r="C1070" s="1">
        <v>43875</v>
      </c>
      <c r="D1070">
        <v>1216000</v>
      </c>
      <c r="E1070" t="s">
        <v>302</v>
      </c>
      <c r="F1070">
        <v>1955</v>
      </c>
      <c r="G1070">
        <v>630</v>
      </c>
      <c r="H1070" t="s">
        <v>425</v>
      </c>
      <c r="I1070" t="str">
        <f t="shared" si="16"/>
        <v>25</v>
      </c>
      <c r="J1070">
        <v>60025</v>
      </c>
      <c r="K1070">
        <v>0</v>
      </c>
      <c r="L1070">
        <v>11</v>
      </c>
      <c r="M1070">
        <v>3</v>
      </c>
      <c r="N1070">
        <v>0</v>
      </c>
      <c r="O1070" t="s">
        <v>25</v>
      </c>
      <c r="P1070">
        <v>4</v>
      </c>
      <c r="Q1070">
        <v>1</v>
      </c>
      <c r="R1070" t="s">
        <v>26</v>
      </c>
      <c r="S1070">
        <v>2</v>
      </c>
      <c r="V1070" t="s">
        <v>259</v>
      </c>
    </row>
    <row r="1071" spans="1:22" x14ac:dyDescent="0.45">
      <c r="A1071" t="str">
        <f>"10545680"</f>
        <v>10545680</v>
      </c>
      <c r="B1071" t="s">
        <v>22</v>
      </c>
      <c r="C1071" s="1">
        <v>44120</v>
      </c>
      <c r="D1071">
        <v>1218999</v>
      </c>
      <c r="E1071" t="s">
        <v>60</v>
      </c>
      <c r="F1071">
        <v>2020</v>
      </c>
      <c r="G1071">
        <v>3607</v>
      </c>
      <c r="H1071" t="s">
        <v>76</v>
      </c>
      <c r="I1071" t="str">
        <f t="shared" si="16"/>
        <v>25</v>
      </c>
      <c r="J1071">
        <v>60025</v>
      </c>
      <c r="K1071">
        <v>7094</v>
      </c>
      <c r="L1071">
        <v>13</v>
      </c>
      <c r="M1071">
        <v>5</v>
      </c>
      <c r="N1071">
        <v>1</v>
      </c>
      <c r="O1071" t="s">
        <v>41</v>
      </c>
      <c r="P1071">
        <v>5</v>
      </c>
      <c r="Q1071">
        <v>1</v>
      </c>
      <c r="R1071" t="s">
        <v>26</v>
      </c>
      <c r="S1071">
        <v>3</v>
      </c>
    </row>
    <row r="1072" spans="1:22" x14ac:dyDescent="0.45">
      <c r="A1072" t="str">
        <f>"10750761"</f>
        <v>10750761</v>
      </c>
      <c r="B1072" t="s">
        <v>22</v>
      </c>
      <c r="C1072" s="1">
        <v>44090</v>
      </c>
      <c r="D1072">
        <v>1230000</v>
      </c>
      <c r="E1072" t="s">
        <v>60</v>
      </c>
      <c r="F1072">
        <v>1943</v>
      </c>
      <c r="G1072">
        <v>50</v>
      </c>
      <c r="H1072" t="s">
        <v>190</v>
      </c>
      <c r="I1072" t="str">
        <f t="shared" si="16"/>
        <v>25</v>
      </c>
      <c r="J1072">
        <v>60029</v>
      </c>
      <c r="K1072">
        <v>3778</v>
      </c>
      <c r="L1072">
        <v>12</v>
      </c>
      <c r="M1072">
        <v>3</v>
      </c>
      <c r="N1072">
        <v>1</v>
      </c>
      <c r="O1072" t="s">
        <v>25</v>
      </c>
      <c r="P1072">
        <v>4</v>
      </c>
      <c r="Q1072">
        <v>0</v>
      </c>
      <c r="R1072" t="s">
        <v>26</v>
      </c>
      <c r="S1072">
        <v>2.5</v>
      </c>
      <c r="V1072" t="s">
        <v>333</v>
      </c>
    </row>
    <row r="1073" spans="1:22" x14ac:dyDescent="0.45">
      <c r="A1073" t="str">
        <f>"10519747"</f>
        <v>10519747</v>
      </c>
      <c r="B1073" t="s">
        <v>22</v>
      </c>
      <c r="C1073" s="1">
        <v>43796</v>
      </c>
      <c r="D1073">
        <v>1230000</v>
      </c>
      <c r="E1073" t="s">
        <v>23</v>
      </c>
      <c r="F1073">
        <v>2005</v>
      </c>
      <c r="G1073">
        <v>629</v>
      </c>
      <c r="H1073" t="s">
        <v>317</v>
      </c>
      <c r="I1073" t="str">
        <f t="shared" si="16"/>
        <v>25</v>
      </c>
      <c r="J1073">
        <v>60025</v>
      </c>
      <c r="K1073">
        <v>3899</v>
      </c>
      <c r="L1073">
        <v>10</v>
      </c>
      <c r="M1073">
        <v>2</v>
      </c>
      <c r="N1073">
        <v>1</v>
      </c>
      <c r="O1073" t="s">
        <v>25</v>
      </c>
      <c r="P1073">
        <v>3</v>
      </c>
      <c r="Q1073">
        <v>0</v>
      </c>
      <c r="R1073" t="s">
        <v>26</v>
      </c>
      <c r="S1073">
        <v>2.5</v>
      </c>
      <c r="V1073" t="s">
        <v>27</v>
      </c>
    </row>
    <row r="1074" spans="1:22" x14ac:dyDescent="0.45">
      <c r="A1074" t="str">
        <f>"10355618"</f>
        <v>10355618</v>
      </c>
      <c r="B1074" t="s">
        <v>22</v>
      </c>
      <c r="C1074" s="1">
        <v>43616</v>
      </c>
      <c r="D1074">
        <v>1235000</v>
      </c>
      <c r="E1074" t="s">
        <v>60</v>
      </c>
      <c r="F1074">
        <v>2012</v>
      </c>
      <c r="G1074">
        <v>1490</v>
      </c>
      <c r="H1074" t="s">
        <v>312</v>
      </c>
      <c r="I1074" t="str">
        <f t="shared" si="16"/>
        <v>25</v>
      </c>
      <c r="J1074">
        <v>60025</v>
      </c>
      <c r="K1074">
        <v>0</v>
      </c>
      <c r="L1074">
        <v>13</v>
      </c>
      <c r="M1074">
        <v>4</v>
      </c>
      <c r="N1074">
        <v>1</v>
      </c>
      <c r="O1074" t="s">
        <v>41</v>
      </c>
      <c r="P1074">
        <v>4</v>
      </c>
      <c r="Q1074">
        <v>1</v>
      </c>
      <c r="R1074" t="s">
        <v>26</v>
      </c>
      <c r="S1074">
        <v>2</v>
      </c>
    </row>
    <row r="1075" spans="1:22" x14ac:dyDescent="0.45">
      <c r="A1075" t="str">
        <f>"10852533"</f>
        <v>10852533</v>
      </c>
      <c r="B1075" t="s">
        <v>22</v>
      </c>
      <c r="C1075" s="1">
        <v>44155</v>
      </c>
      <c r="D1075">
        <v>1239350</v>
      </c>
      <c r="E1075" t="s">
        <v>60</v>
      </c>
      <c r="F1075">
        <v>1943</v>
      </c>
      <c r="G1075">
        <v>640</v>
      </c>
      <c r="H1075" t="s">
        <v>403</v>
      </c>
      <c r="I1075" t="str">
        <f t="shared" si="16"/>
        <v>25</v>
      </c>
      <c r="J1075">
        <v>60025</v>
      </c>
      <c r="K1075">
        <v>3500</v>
      </c>
      <c r="L1075">
        <v>11</v>
      </c>
      <c r="M1075">
        <v>4</v>
      </c>
      <c r="N1075">
        <v>1</v>
      </c>
      <c r="O1075" t="s">
        <v>41</v>
      </c>
      <c r="P1075">
        <v>4</v>
      </c>
      <c r="Q1075">
        <v>1</v>
      </c>
      <c r="R1075" t="s">
        <v>26</v>
      </c>
      <c r="S1075">
        <v>2</v>
      </c>
      <c r="V1075" t="s">
        <v>67</v>
      </c>
    </row>
    <row r="1076" spans="1:22" x14ac:dyDescent="0.45">
      <c r="A1076" t="str">
        <f>"10725605"</f>
        <v>10725605</v>
      </c>
      <c r="B1076" t="s">
        <v>22</v>
      </c>
      <c r="C1076" s="1">
        <v>44141</v>
      </c>
      <c r="D1076">
        <v>1249000</v>
      </c>
      <c r="E1076" t="s">
        <v>60</v>
      </c>
      <c r="F1076">
        <v>2020</v>
      </c>
      <c r="G1076">
        <v>911</v>
      </c>
      <c r="H1076" t="s">
        <v>61</v>
      </c>
      <c r="I1076" t="str">
        <f t="shared" si="16"/>
        <v>25</v>
      </c>
      <c r="J1076">
        <v>60025</v>
      </c>
      <c r="K1076">
        <v>4820</v>
      </c>
      <c r="L1076">
        <v>13</v>
      </c>
      <c r="M1076">
        <v>4</v>
      </c>
      <c r="N1076">
        <v>1</v>
      </c>
      <c r="O1076" t="s">
        <v>41</v>
      </c>
      <c r="P1076">
        <v>4</v>
      </c>
      <c r="Q1076">
        <v>1</v>
      </c>
      <c r="R1076" t="s">
        <v>26</v>
      </c>
      <c r="S1076">
        <v>2</v>
      </c>
      <c r="T1076">
        <v>1</v>
      </c>
      <c r="U1076">
        <v>0</v>
      </c>
      <c r="V1076" t="s">
        <v>176</v>
      </c>
    </row>
    <row r="1077" spans="1:22" x14ac:dyDescent="0.45">
      <c r="A1077" t="str">
        <f>"10683825"</f>
        <v>10683825</v>
      </c>
      <c r="B1077" t="s">
        <v>22</v>
      </c>
      <c r="C1077" s="1">
        <v>44050</v>
      </c>
      <c r="D1077">
        <v>1249000</v>
      </c>
      <c r="E1077" t="s">
        <v>60</v>
      </c>
      <c r="F1077">
        <v>2005</v>
      </c>
      <c r="G1077">
        <v>1510</v>
      </c>
      <c r="H1077" t="s">
        <v>249</v>
      </c>
      <c r="I1077" t="str">
        <f t="shared" si="16"/>
        <v>25</v>
      </c>
      <c r="J1077">
        <v>60025</v>
      </c>
      <c r="K1077">
        <v>3744</v>
      </c>
      <c r="L1077">
        <v>12</v>
      </c>
      <c r="M1077">
        <v>4</v>
      </c>
      <c r="N1077">
        <v>1</v>
      </c>
      <c r="O1077" t="s">
        <v>41</v>
      </c>
      <c r="P1077">
        <v>4</v>
      </c>
      <c r="Q1077">
        <v>1</v>
      </c>
      <c r="R1077" t="s">
        <v>26</v>
      </c>
      <c r="S1077">
        <v>2</v>
      </c>
    </row>
    <row r="1078" spans="1:22" x14ac:dyDescent="0.45">
      <c r="A1078" t="str">
        <f>"10404590"</f>
        <v>10404590</v>
      </c>
      <c r="B1078" t="s">
        <v>22</v>
      </c>
      <c r="C1078" s="1">
        <v>43713</v>
      </c>
      <c r="D1078">
        <v>1249000</v>
      </c>
      <c r="E1078" t="s">
        <v>60</v>
      </c>
      <c r="F1078">
        <v>2013</v>
      </c>
      <c r="G1078">
        <v>1695</v>
      </c>
      <c r="H1078" t="s">
        <v>270</v>
      </c>
      <c r="I1078" t="str">
        <f t="shared" si="16"/>
        <v>25</v>
      </c>
      <c r="J1078">
        <v>60025</v>
      </c>
      <c r="K1078">
        <v>3906</v>
      </c>
      <c r="L1078">
        <v>14</v>
      </c>
      <c r="M1078">
        <v>3</v>
      </c>
      <c r="N1078">
        <v>1</v>
      </c>
      <c r="O1078" t="s">
        <v>41</v>
      </c>
      <c r="P1078">
        <v>3</v>
      </c>
      <c r="Q1078">
        <v>1</v>
      </c>
      <c r="R1078" t="s">
        <v>26</v>
      </c>
      <c r="S1078">
        <v>3</v>
      </c>
      <c r="V1078" t="s">
        <v>67</v>
      </c>
    </row>
    <row r="1079" spans="1:22" x14ac:dyDescent="0.45">
      <c r="A1079" t="str">
        <f>"10254295"</f>
        <v>10254295</v>
      </c>
      <c r="B1079" t="s">
        <v>22</v>
      </c>
      <c r="C1079" s="1">
        <v>43585</v>
      </c>
      <c r="D1079">
        <v>1250000</v>
      </c>
      <c r="E1079" t="s">
        <v>60</v>
      </c>
      <c r="F1079">
        <v>2018</v>
      </c>
      <c r="G1079">
        <v>2244</v>
      </c>
      <c r="H1079" t="s">
        <v>211</v>
      </c>
      <c r="I1079" t="str">
        <f t="shared" si="16"/>
        <v>25</v>
      </c>
      <c r="J1079">
        <v>60025</v>
      </c>
      <c r="K1079">
        <v>0</v>
      </c>
      <c r="L1079">
        <v>12</v>
      </c>
      <c r="M1079">
        <v>4</v>
      </c>
      <c r="N1079">
        <v>1</v>
      </c>
      <c r="O1079" t="s">
        <v>41</v>
      </c>
      <c r="P1079">
        <v>4</v>
      </c>
      <c r="Q1079">
        <v>1</v>
      </c>
      <c r="R1079" t="s">
        <v>26</v>
      </c>
      <c r="S1079">
        <v>2</v>
      </c>
      <c r="U1079">
        <v>0</v>
      </c>
      <c r="V1079" t="s">
        <v>259</v>
      </c>
    </row>
    <row r="1080" spans="1:22" x14ac:dyDescent="0.45">
      <c r="A1080" t="str">
        <f>"10454133"</f>
        <v>10454133</v>
      </c>
      <c r="B1080" t="s">
        <v>22</v>
      </c>
      <c r="C1080" s="1">
        <v>43896</v>
      </c>
      <c r="D1080">
        <v>1250000</v>
      </c>
      <c r="E1080" t="s">
        <v>60</v>
      </c>
      <c r="F1080">
        <v>2020</v>
      </c>
      <c r="G1080">
        <v>631</v>
      </c>
      <c r="H1080" t="s">
        <v>251</v>
      </c>
      <c r="I1080" t="str">
        <f t="shared" si="16"/>
        <v>25</v>
      </c>
      <c r="J1080">
        <v>60025</v>
      </c>
      <c r="K1080">
        <v>5300</v>
      </c>
      <c r="L1080">
        <v>11</v>
      </c>
      <c r="M1080">
        <v>4</v>
      </c>
      <c r="N1080">
        <v>1</v>
      </c>
      <c r="O1080" t="s">
        <v>41</v>
      </c>
      <c r="P1080">
        <v>4</v>
      </c>
      <c r="Q1080">
        <v>1</v>
      </c>
      <c r="R1080" t="s">
        <v>26</v>
      </c>
      <c r="S1080">
        <v>2</v>
      </c>
      <c r="U1080">
        <v>1500</v>
      </c>
    </row>
    <row r="1081" spans="1:22" x14ac:dyDescent="0.45">
      <c r="A1081" t="str">
        <f>"10483996"</f>
        <v>10483996</v>
      </c>
      <c r="B1081" t="s">
        <v>22</v>
      </c>
      <c r="C1081" s="1">
        <v>43762</v>
      </c>
      <c r="D1081">
        <v>1252000</v>
      </c>
      <c r="E1081" t="s">
        <v>60</v>
      </c>
      <c r="F1081">
        <v>2019</v>
      </c>
      <c r="G1081">
        <v>2022</v>
      </c>
      <c r="H1081" t="s">
        <v>211</v>
      </c>
      <c r="I1081" t="str">
        <f t="shared" si="16"/>
        <v>25</v>
      </c>
      <c r="J1081">
        <v>60025</v>
      </c>
      <c r="K1081">
        <v>3728</v>
      </c>
      <c r="L1081">
        <v>13</v>
      </c>
      <c r="M1081">
        <v>5</v>
      </c>
      <c r="N1081">
        <v>0</v>
      </c>
      <c r="O1081" t="s">
        <v>41</v>
      </c>
      <c r="P1081">
        <v>5</v>
      </c>
      <c r="Q1081">
        <v>1</v>
      </c>
      <c r="R1081" t="s">
        <v>26</v>
      </c>
      <c r="S1081">
        <v>2</v>
      </c>
    </row>
    <row r="1082" spans="1:22" x14ac:dyDescent="0.45">
      <c r="A1082" t="str">
        <f>"10354713"</f>
        <v>10354713</v>
      </c>
      <c r="B1082" t="s">
        <v>22</v>
      </c>
      <c r="C1082" s="1">
        <v>43644</v>
      </c>
      <c r="D1082">
        <v>1255000</v>
      </c>
      <c r="E1082" t="s">
        <v>60</v>
      </c>
      <c r="F1082">
        <v>2001</v>
      </c>
      <c r="G1082">
        <v>1701</v>
      </c>
      <c r="H1082" t="s">
        <v>414</v>
      </c>
      <c r="I1082" t="str">
        <f t="shared" si="16"/>
        <v>25</v>
      </c>
      <c r="J1082">
        <v>60026</v>
      </c>
      <c r="K1082">
        <v>4231</v>
      </c>
      <c r="L1082">
        <v>12</v>
      </c>
      <c r="M1082">
        <v>5</v>
      </c>
      <c r="N1082">
        <v>1</v>
      </c>
      <c r="O1082" t="s">
        <v>41</v>
      </c>
      <c r="P1082">
        <v>5</v>
      </c>
      <c r="Q1082">
        <v>1</v>
      </c>
      <c r="R1082" t="s">
        <v>26</v>
      </c>
      <c r="S1082">
        <v>2</v>
      </c>
    </row>
    <row r="1083" spans="1:22" x14ac:dyDescent="0.45">
      <c r="A1083" t="str">
        <f>"10526554"</f>
        <v>10526554</v>
      </c>
      <c r="B1083" t="s">
        <v>22</v>
      </c>
      <c r="C1083" s="1">
        <v>43801</v>
      </c>
      <c r="D1083">
        <v>1255000</v>
      </c>
      <c r="E1083" t="s">
        <v>60</v>
      </c>
      <c r="F1083">
        <v>2009</v>
      </c>
      <c r="G1083">
        <v>2041</v>
      </c>
      <c r="H1083" t="s">
        <v>249</v>
      </c>
      <c r="I1083" t="str">
        <f t="shared" si="16"/>
        <v>25</v>
      </c>
      <c r="J1083">
        <v>60025</v>
      </c>
      <c r="K1083">
        <v>4500</v>
      </c>
      <c r="L1083">
        <v>12</v>
      </c>
      <c r="M1083">
        <v>4</v>
      </c>
      <c r="N1083">
        <v>1</v>
      </c>
      <c r="O1083" t="s">
        <v>41</v>
      </c>
      <c r="P1083">
        <v>4</v>
      </c>
      <c r="Q1083">
        <v>1</v>
      </c>
      <c r="R1083" t="s">
        <v>26</v>
      </c>
      <c r="S1083">
        <v>3</v>
      </c>
      <c r="U1083">
        <v>2000</v>
      </c>
      <c r="V1083" t="s">
        <v>196</v>
      </c>
    </row>
    <row r="1084" spans="1:22" x14ac:dyDescent="0.45">
      <c r="A1084" t="str">
        <f>"10751373"</f>
        <v>10751373</v>
      </c>
      <c r="B1084" t="s">
        <v>22</v>
      </c>
      <c r="C1084" s="1">
        <v>44097</v>
      </c>
      <c r="D1084">
        <v>1260000</v>
      </c>
      <c r="E1084" t="s">
        <v>60</v>
      </c>
      <c r="F1084">
        <v>2020</v>
      </c>
      <c r="G1084">
        <v>1766</v>
      </c>
      <c r="H1084" t="s">
        <v>154</v>
      </c>
      <c r="I1084" t="str">
        <f t="shared" si="16"/>
        <v>25</v>
      </c>
      <c r="J1084">
        <v>60025</v>
      </c>
      <c r="K1084">
        <v>6000</v>
      </c>
      <c r="L1084">
        <v>14</v>
      </c>
      <c r="M1084">
        <v>5</v>
      </c>
      <c r="N1084">
        <v>1</v>
      </c>
      <c r="O1084" t="s">
        <v>41</v>
      </c>
      <c r="P1084">
        <v>5</v>
      </c>
      <c r="Q1084">
        <v>2</v>
      </c>
      <c r="R1084" t="s">
        <v>26</v>
      </c>
      <c r="S1084">
        <v>2</v>
      </c>
    </row>
    <row r="1085" spans="1:22" x14ac:dyDescent="0.45">
      <c r="A1085" t="str">
        <f>"10368880"</f>
        <v>10368880</v>
      </c>
      <c r="B1085" t="s">
        <v>22</v>
      </c>
      <c r="C1085" s="1">
        <v>43706</v>
      </c>
      <c r="D1085">
        <v>1265000</v>
      </c>
      <c r="E1085" t="s">
        <v>60</v>
      </c>
      <c r="F1085">
        <v>2004</v>
      </c>
      <c r="G1085">
        <v>912</v>
      </c>
      <c r="H1085" t="s">
        <v>432</v>
      </c>
      <c r="I1085" t="str">
        <f t="shared" si="16"/>
        <v>25</v>
      </c>
      <c r="J1085">
        <v>60025</v>
      </c>
      <c r="K1085">
        <v>0</v>
      </c>
      <c r="L1085">
        <v>10</v>
      </c>
      <c r="M1085">
        <v>4</v>
      </c>
      <c r="N1085">
        <v>1</v>
      </c>
      <c r="O1085" t="s">
        <v>41</v>
      </c>
      <c r="P1085">
        <v>4</v>
      </c>
      <c r="Q1085">
        <v>1</v>
      </c>
      <c r="R1085" t="s">
        <v>26</v>
      </c>
      <c r="S1085">
        <v>2</v>
      </c>
    </row>
    <row r="1086" spans="1:22" x14ac:dyDescent="0.45">
      <c r="A1086" t="str">
        <f>"10728139"</f>
        <v>10728139</v>
      </c>
      <c r="B1086" t="s">
        <v>22</v>
      </c>
      <c r="C1086" s="1">
        <v>44099</v>
      </c>
      <c r="D1086">
        <v>1265000</v>
      </c>
      <c r="E1086" t="s">
        <v>60</v>
      </c>
      <c r="F1086">
        <v>2020</v>
      </c>
      <c r="G1086">
        <v>709</v>
      </c>
      <c r="H1086" t="s">
        <v>128</v>
      </c>
      <c r="I1086" t="str">
        <f t="shared" si="16"/>
        <v>25</v>
      </c>
      <c r="J1086">
        <v>60025</v>
      </c>
      <c r="K1086">
        <v>4593</v>
      </c>
      <c r="L1086">
        <v>13</v>
      </c>
      <c r="M1086">
        <v>5</v>
      </c>
      <c r="N1086">
        <v>1</v>
      </c>
      <c r="O1086" t="s">
        <v>41</v>
      </c>
      <c r="P1086">
        <v>5</v>
      </c>
      <c r="Q1086">
        <v>1</v>
      </c>
      <c r="R1086" t="s">
        <v>26</v>
      </c>
      <c r="S1086">
        <v>3</v>
      </c>
    </row>
    <row r="1087" spans="1:22" x14ac:dyDescent="0.45">
      <c r="A1087" t="str">
        <f>"10693488"</f>
        <v>10693488</v>
      </c>
      <c r="B1087" t="s">
        <v>22</v>
      </c>
      <c r="C1087" s="1">
        <v>44022</v>
      </c>
      <c r="D1087">
        <v>1270000</v>
      </c>
      <c r="E1087" t="s">
        <v>60</v>
      </c>
      <c r="F1087">
        <v>2020</v>
      </c>
      <c r="G1087">
        <v>1805</v>
      </c>
      <c r="H1087" t="s">
        <v>135</v>
      </c>
      <c r="I1087" t="str">
        <f t="shared" si="16"/>
        <v>25</v>
      </c>
      <c r="J1087">
        <v>60025</v>
      </c>
      <c r="K1087">
        <v>4100</v>
      </c>
      <c r="L1087">
        <v>13</v>
      </c>
      <c r="M1087">
        <v>4</v>
      </c>
      <c r="N1087">
        <v>1</v>
      </c>
      <c r="O1087" t="s">
        <v>41</v>
      </c>
      <c r="P1087">
        <v>4</v>
      </c>
      <c r="Q1087">
        <v>1</v>
      </c>
      <c r="R1087" t="s">
        <v>26</v>
      </c>
      <c r="S1087">
        <v>2</v>
      </c>
    </row>
    <row r="1088" spans="1:22" x14ac:dyDescent="0.45">
      <c r="A1088" t="str">
        <f>"10791570"</f>
        <v>10791570</v>
      </c>
      <c r="B1088" t="s">
        <v>22</v>
      </c>
      <c r="C1088" s="1">
        <v>44078</v>
      </c>
      <c r="D1088">
        <v>1275000</v>
      </c>
      <c r="E1088" t="s">
        <v>60</v>
      </c>
      <c r="F1088">
        <v>2020</v>
      </c>
      <c r="G1088">
        <v>710</v>
      </c>
      <c r="H1088" t="s">
        <v>77</v>
      </c>
      <c r="I1088" t="str">
        <f t="shared" si="16"/>
        <v>25</v>
      </c>
      <c r="J1088">
        <v>60025</v>
      </c>
      <c r="K1088">
        <v>3690</v>
      </c>
      <c r="L1088">
        <v>10</v>
      </c>
      <c r="M1088">
        <v>4</v>
      </c>
      <c r="N1088">
        <v>1</v>
      </c>
      <c r="O1088" t="s">
        <v>41</v>
      </c>
      <c r="P1088">
        <v>4</v>
      </c>
      <c r="Q1088">
        <v>1</v>
      </c>
      <c r="R1088" t="s">
        <v>26</v>
      </c>
      <c r="S1088">
        <v>2</v>
      </c>
      <c r="V1088" t="s">
        <v>196</v>
      </c>
    </row>
    <row r="1089" spans="1:22" x14ac:dyDescent="0.45">
      <c r="A1089" t="str">
        <f>"10743613"</f>
        <v>10743613</v>
      </c>
      <c r="B1089" t="s">
        <v>22</v>
      </c>
      <c r="C1089" s="1">
        <v>44060</v>
      </c>
      <c r="D1089">
        <v>1275000</v>
      </c>
      <c r="E1089" t="s">
        <v>60</v>
      </c>
      <c r="F1089">
        <v>2001</v>
      </c>
      <c r="G1089">
        <v>2675</v>
      </c>
      <c r="H1089" t="s">
        <v>420</v>
      </c>
      <c r="I1089" t="str">
        <f t="shared" si="16"/>
        <v>25</v>
      </c>
      <c r="J1089">
        <v>60026</v>
      </c>
      <c r="K1089">
        <v>3900</v>
      </c>
      <c r="L1089">
        <v>13</v>
      </c>
      <c r="M1089">
        <v>4</v>
      </c>
      <c r="N1089">
        <v>1</v>
      </c>
      <c r="O1089" t="s">
        <v>41</v>
      </c>
      <c r="P1089">
        <v>5</v>
      </c>
      <c r="Q1089">
        <v>1</v>
      </c>
      <c r="R1089" t="s">
        <v>26</v>
      </c>
      <c r="S1089">
        <v>4</v>
      </c>
      <c r="V1089" t="s">
        <v>67</v>
      </c>
    </row>
    <row r="1090" spans="1:22" x14ac:dyDescent="0.45">
      <c r="A1090" t="str">
        <f>"10794463"</f>
        <v>10794463</v>
      </c>
      <c r="B1090" t="s">
        <v>22</v>
      </c>
      <c r="C1090" s="1">
        <v>44165</v>
      </c>
      <c r="D1090">
        <v>1285000</v>
      </c>
      <c r="E1090" t="s">
        <v>60</v>
      </c>
      <c r="F1090">
        <v>2002</v>
      </c>
      <c r="G1090">
        <v>1414</v>
      </c>
      <c r="H1090" t="s">
        <v>300</v>
      </c>
      <c r="I1090" t="str">
        <f t="shared" ref="I1090:I1153" si="17">"25"</f>
        <v>25</v>
      </c>
      <c r="J1090">
        <v>60025</v>
      </c>
      <c r="K1090">
        <v>4528</v>
      </c>
      <c r="L1090">
        <v>14</v>
      </c>
      <c r="M1090">
        <v>5</v>
      </c>
      <c r="N1090">
        <v>1</v>
      </c>
      <c r="O1090" t="s">
        <v>41</v>
      </c>
      <c r="P1090">
        <v>5</v>
      </c>
      <c r="Q1090">
        <v>0</v>
      </c>
      <c r="R1090" t="s">
        <v>26</v>
      </c>
      <c r="S1090">
        <v>3</v>
      </c>
      <c r="V1090" t="s">
        <v>196</v>
      </c>
    </row>
    <row r="1091" spans="1:22" x14ac:dyDescent="0.45">
      <c r="A1091" t="str">
        <f>"10712334"</f>
        <v>10712334</v>
      </c>
      <c r="B1091" t="s">
        <v>22</v>
      </c>
      <c r="C1091" s="1">
        <v>44187</v>
      </c>
      <c r="D1091">
        <v>1292500</v>
      </c>
      <c r="E1091" t="s">
        <v>60</v>
      </c>
      <c r="F1091">
        <v>2020</v>
      </c>
      <c r="G1091">
        <v>1921</v>
      </c>
      <c r="H1091" t="s">
        <v>66</v>
      </c>
      <c r="I1091" t="str">
        <f t="shared" si="17"/>
        <v>25</v>
      </c>
      <c r="J1091">
        <v>60025</v>
      </c>
      <c r="K1091">
        <v>3350</v>
      </c>
      <c r="L1091">
        <v>12</v>
      </c>
      <c r="M1091">
        <v>4</v>
      </c>
      <c r="N1091">
        <v>1</v>
      </c>
      <c r="O1091" t="s">
        <v>41</v>
      </c>
      <c r="P1091">
        <v>4</v>
      </c>
      <c r="Q1091">
        <v>1</v>
      </c>
      <c r="R1091" t="s">
        <v>26</v>
      </c>
      <c r="S1091">
        <v>2</v>
      </c>
      <c r="U1091">
        <v>1500</v>
      </c>
    </row>
    <row r="1092" spans="1:22" x14ac:dyDescent="0.45">
      <c r="A1092" t="str">
        <f>"10170643"</f>
        <v>10170643</v>
      </c>
      <c r="B1092" t="s">
        <v>22</v>
      </c>
      <c r="C1092" s="1">
        <v>43637</v>
      </c>
      <c r="D1092">
        <v>1300000</v>
      </c>
      <c r="E1092" t="s">
        <v>60</v>
      </c>
      <c r="F1092">
        <v>2018</v>
      </c>
      <c r="G1092">
        <v>1719</v>
      </c>
      <c r="H1092" t="s">
        <v>289</v>
      </c>
      <c r="I1092" t="str">
        <f t="shared" si="17"/>
        <v>25</v>
      </c>
      <c r="J1092">
        <v>60025</v>
      </c>
      <c r="K1092">
        <v>4698</v>
      </c>
      <c r="L1092">
        <v>11</v>
      </c>
      <c r="M1092">
        <v>4</v>
      </c>
      <c r="N1092">
        <v>1</v>
      </c>
      <c r="O1092" t="s">
        <v>41</v>
      </c>
      <c r="P1092">
        <v>4</v>
      </c>
      <c r="Q1092">
        <v>1</v>
      </c>
      <c r="R1092" t="s">
        <v>26</v>
      </c>
      <c r="S1092">
        <v>2</v>
      </c>
      <c r="U1092">
        <v>1354</v>
      </c>
    </row>
    <row r="1093" spans="1:22" x14ac:dyDescent="0.45">
      <c r="A1093" t="str">
        <f>"10102175"</f>
        <v>10102175</v>
      </c>
      <c r="B1093" t="s">
        <v>22</v>
      </c>
      <c r="C1093" s="1">
        <v>43616</v>
      </c>
      <c r="D1093">
        <v>1300000</v>
      </c>
      <c r="E1093" t="s">
        <v>60</v>
      </c>
      <c r="F1093">
        <v>2018</v>
      </c>
      <c r="G1093">
        <v>1046</v>
      </c>
      <c r="H1093" t="s">
        <v>433</v>
      </c>
      <c r="I1093" t="str">
        <f t="shared" si="17"/>
        <v>25</v>
      </c>
      <c r="J1093">
        <v>60025</v>
      </c>
      <c r="K1093">
        <v>4100</v>
      </c>
      <c r="L1093">
        <v>12</v>
      </c>
      <c r="M1093">
        <v>4</v>
      </c>
      <c r="N1093">
        <v>1</v>
      </c>
      <c r="O1093" t="s">
        <v>41</v>
      </c>
      <c r="P1093">
        <v>4</v>
      </c>
      <c r="Q1093">
        <v>1</v>
      </c>
      <c r="R1093" t="s">
        <v>26</v>
      </c>
      <c r="S1093">
        <v>2</v>
      </c>
      <c r="U1093">
        <v>0</v>
      </c>
    </row>
    <row r="1094" spans="1:22" x14ac:dyDescent="0.45">
      <c r="A1094" t="str">
        <f>"10036627"</f>
        <v>10036627</v>
      </c>
      <c r="B1094" t="s">
        <v>22</v>
      </c>
      <c r="C1094" s="1">
        <v>43689</v>
      </c>
      <c r="D1094">
        <v>1300000</v>
      </c>
      <c r="E1094" t="s">
        <v>60</v>
      </c>
      <c r="F1094">
        <v>2018</v>
      </c>
      <c r="G1094">
        <v>1019</v>
      </c>
      <c r="H1094" t="s">
        <v>410</v>
      </c>
      <c r="I1094" t="str">
        <f t="shared" si="17"/>
        <v>25</v>
      </c>
      <c r="J1094">
        <v>60025</v>
      </c>
      <c r="K1094">
        <v>4000</v>
      </c>
      <c r="L1094">
        <v>12</v>
      </c>
      <c r="M1094">
        <v>4</v>
      </c>
      <c r="N1094">
        <v>1</v>
      </c>
      <c r="O1094" t="s">
        <v>41</v>
      </c>
      <c r="P1094">
        <v>4</v>
      </c>
      <c r="Q1094">
        <v>1</v>
      </c>
      <c r="R1094" t="s">
        <v>26</v>
      </c>
      <c r="S1094">
        <v>2</v>
      </c>
      <c r="V1094" t="s">
        <v>196</v>
      </c>
    </row>
    <row r="1095" spans="1:22" x14ac:dyDescent="0.45">
      <c r="A1095" t="str">
        <f>"10450511"</f>
        <v>10450511</v>
      </c>
      <c r="B1095" t="s">
        <v>22</v>
      </c>
      <c r="C1095" s="1">
        <v>43784</v>
      </c>
      <c r="D1095">
        <v>1305000</v>
      </c>
      <c r="E1095" t="s">
        <v>60</v>
      </c>
      <c r="F1095">
        <v>1940</v>
      </c>
      <c r="G1095">
        <v>750</v>
      </c>
      <c r="H1095" t="s">
        <v>107</v>
      </c>
      <c r="I1095" t="str">
        <f t="shared" si="17"/>
        <v>25</v>
      </c>
      <c r="J1095">
        <v>60025</v>
      </c>
      <c r="K1095">
        <v>0</v>
      </c>
      <c r="L1095">
        <v>12</v>
      </c>
      <c r="M1095">
        <v>4</v>
      </c>
      <c r="N1095">
        <v>1</v>
      </c>
      <c r="O1095" t="s">
        <v>41</v>
      </c>
      <c r="P1095">
        <v>4</v>
      </c>
      <c r="Q1095">
        <v>0</v>
      </c>
      <c r="R1095" t="s">
        <v>192</v>
      </c>
      <c r="S1095">
        <v>3</v>
      </c>
      <c r="V1095" t="s">
        <v>67</v>
      </c>
    </row>
    <row r="1096" spans="1:22" x14ac:dyDescent="0.45">
      <c r="A1096" t="str">
        <f>"10136984"</f>
        <v>10136984</v>
      </c>
      <c r="B1096" t="s">
        <v>22</v>
      </c>
      <c r="C1096" s="1">
        <v>43644</v>
      </c>
      <c r="D1096">
        <v>1305000</v>
      </c>
      <c r="E1096" t="s">
        <v>60</v>
      </c>
      <c r="F1096">
        <v>2019</v>
      </c>
      <c r="G1096">
        <v>917</v>
      </c>
      <c r="H1096" t="s">
        <v>291</v>
      </c>
      <c r="I1096" t="str">
        <f t="shared" si="17"/>
        <v>25</v>
      </c>
      <c r="J1096">
        <v>60025</v>
      </c>
      <c r="K1096">
        <v>3310</v>
      </c>
      <c r="L1096">
        <v>14</v>
      </c>
      <c r="M1096">
        <v>4</v>
      </c>
      <c r="N1096">
        <v>1</v>
      </c>
      <c r="O1096" t="s">
        <v>41</v>
      </c>
      <c r="P1096">
        <v>4</v>
      </c>
      <c r="Q1096">
        <v>1</v>
      </c>
      <c r="R1096" t="s">
        <v>26</v>
      </c>
      <c r="S1096">
        <v>2</v>
      </c>
      <c r="V1096" t="s">
        <v>196</v>
      </c>
    </row>
    <row r="1097" spans="1:22" x14ac:dyDescent="0.45">
      <c r="A1097" t="str">
        <f>"10326798"</f>
        <v>10326798</v>
      </c>
      <c r="B1097" t="s">
        <v>22</v>
      </c>
      <c r="C1097" s="1">
        <v>43622</v>
      </c>
      <c r="D1097">
        <v>1310000</v>
      </c>
      <c r="E1097" t="s">
        <v>60</v>
      </c>
      <c r="F1097">
        <v>2019</v>
      </c>
      <c r="G1097">
        <v>711</v>
      </c>
      <c r="H1097" t="s">
        <v>202</v>
      </c>
      <c r="I1097" t="str">
        <f t="shared" si="17"/>
        <v>25</v>
      </c>
      <c r="J1097">
        <v>60025</v>
      </c>
      <c r="K1097">
        <v>5434</v>
      </c>
      <c r="L1097">
        <v>11</v>
      </c>
      <c r="M1097">
        <v>6</v>
      </c>
      <c r="N1097">
        <v>1</v>
      </c>
      <c r="O1097" t="s">
        <v>41</v>
      </c>
      <c r="P1097">
        <v>4</v>
      </c>
      <c r="Q1097">
        <v>1</v>
      </c>
      <c r="R1097" t="s">
        <v>26</v>
      </c>
      <c r="S1097">
        <v>3</v>
      </c>
    </row>
    <row r="1098" spans="1:22" x14ac:dyDescent="0.45">
      <c r="A1098" t="str">
        <f>"10281274"</f>
        <v>10281274</v>
      </c>
      <c r="B1098" t="s">
        <v>22</v>
      </c>
      <c r="C1098" s="1">
        <v>43773</v>
      </c>
      <c r="D1098">
        <v>1310000</v>
      </c>
      <c r="E1098" t="s">
        <v>60</v>
      </c>
      <c r="F1098">
        <v>2001</v>
      </c>
      <c r="G1098">
        <v>1200</v>
      </c>
      <c r="H1098" t="s">
        <v>312</v>
      </c>
      <c r="I1098" t="str">
        <f t="shared" si="17"/>
        <v>25</v>
      </c>
      <c r="J1098">
        <v>60025</v>
      </c>
      <c r="K1098">
        <v>5800</v>
      </c>
      <c r="L1098">
        <v>16</v>
      </c>
      <c r="M1098">
        <v>5</v>
      </c>
      <c r="N1098">
        <v>1</v>
      </c>
      <c r="O1098" t="s">
        <v>41</v>
      </c>
      <c r="P1098">
        <v>5</v>
      </c>
      <c r="Q1098">
        <v>1</v>
      </c>
      <c r="R1098" t="s">
        <v>26</v>
      </c>
      <c r="S1098">
        <v>3</v>
      </c>
      <c r="V1098" t="s">
        <v>148</v>
      </c>
    </row>
    <row r="1099" spans="1:22" x14ac:dyDescent="0.45">
      <c r="A1099" t="str">
        <f>"10264744"</f>
        <v>10264744</v>
      </c>
      <c r="B1099" t="s">
        <v>22</v>
      </c>
      <c r="C1099" s="1">
        <v>43722</v>
      </c>
      <c r="D1099">
        <v>1320000</v>
      </c>
      <c r="E1099" t="s">
        <v>60</v>
      </c>
      <c r="F1099">
        <v>2019</v>
      </c>
      <c r="G1099">
        <v>1920</v>
      </c>
      <c r="H1099" t="s">
        <v>135</v>
      </c>
      <c r="I1099" t="str">
        <f t="shared" si="17"/>
        <v>25</v>
      </c>
      <c r="J1099">
        <v>60025</v>
      </c>
      <c r="K1099">
        <v>4200</v>
      </c>
      <c r="L1099">
        <v>12</v>
      </c>
      <c r="M1099">
        <v>4</v>
      </c>
      <c r="N1099">
        <v>1</v>
      </c>
      <c r="O1099" t="s">
        <v>41</v>
      </c>
      <c r="P1099">
        <v>4</v>
      </c>
      <c r="Q1099">
        <v>1</v>
      </c>
      <c r="R1099" t="s">
        <v>26</v>
      </c>
      <c r="S1099">
        <v>2</v>
      </c>
      <c r="T1099">
        <v>4</v>
      </c>
      <c r="V1099" t="s">
        <v>226</v>
      </c>
    </row>
    <row r="1100" spans="1:22" x14ac:dyDescent="0.45">
      <c r="A1100" t="str">
        <f>"10862817"</f>
        <v>10862817</v>
      </c>
      <c r="B1100" t="s">
        <v>22</v>
      </c>
      <c r="C1100" s="1">
        <v>44090</v>
      </c>
      <c r="D1100">
        <v>1325000</v>
      </c>
      <c r="E1100" t="s">
        <v>60</v>
      </c>
      <c r="F1100">
        <v>1980</v>
      </c>
      <c r="G1100">
        <v>1424</v>
      </c>
      <c r="H1100" t="s">
        <v>312</v>
      </c>
      <c r="I1100" t="str">
        <f t="shared" si="17"/>
        <v>25</v>
      </c>
      <c r="J1100">
        <v>60025</v>
      </c>
      <c r="K1100">
        <v>6100</v>
      </c>
      <c r="L1100">
        <v>12</v>
      </c>
      <c r="M1100">
        <v>4</v>
      </c>
      <c r="N1100">
        <v>1</v>
      </c>
      <c r="O1100" t="s">
        <v>41</v>
      </c>
      <c r="P1100">
        <v>6</v>
      </c>
      <c r="Q1100">
        <v>0</v>
      </c>
      <c r="R1100" t="s">
        <v>26</v>
      </c>
      <c r="S1100">
        <v>3</v>
      </c>
      <c r="V1100" t="s">
        <v>311</v>
      </c>
    </row>
    <row r="1101" spans="1:22" x14ac:dyDescent="0.45">
      <c r="A1101" t="str">
        <f>"10594595"</f>
        <v>10594595</v>
      </c>
      <c r="B1101" t="s">
        <v>22</v>
      </c>
      <c r="C1101" s="1">
        <v>43893</v>
      </c>
      <c r="D1101">
        <v>1325000</v>
      </c>
      <c r="E1101" t="s">
        <v>60</v>
      </c>
      <c r="F1101">
        <v>2013</v>
      </c>
      <c r="G1101">
        <v>1001</v>
      </c>
      <c r="H1101" t="s">
        <v>267</v>
      </c>
      <c r="I1101" t="str">
        <f t="shared" si="17"/>
        <v>25</v>
      </c>
      <c r="J1101">
        <v>60025</v>
      </c>
      <c r="K1101">
        <v>3994</v>
      </c>
      <c r="L1101">
        <v>16</v>
      </c>
      <c r="M1101">
        <v>4</v>
      </c>
      <c r="N1101">
        <v>1</v>
      </c>
      <c r="O1101" t="s">
        <v>41</v>
      </c>
      <c r="P1101">
        <v>5</v>
      </c>
      <c r="Q1101">
        <v>1</v>
      </c>
      <c r="R1101" t="s">
        <v>26</v>
      </c>
      <c r="S1101">
        <v>3</v>
      </c>
    </row>
    <row r="1102" spans="1:22" x14ac:dyDescent="0.45">
      <c r="A1102" t="str">
        <f>"10704782"</f>
        <v>10704782</v>
      </c>
      <c r="B1102" t="s">
        <v>22</v>
      </c>
      <c r="C1102" s="1">
        <v>44008</v>
      </c>
      <c r="D1102">
        <v>1350000</v>
      </c>
      <c r="E1102" t="s">
        <v>60</v>
      </c>
      <c r="F1102">
        <v>2015</v>
      </c>
      <c r="G1102">
        <v>2046</v>
      </c>
      <c r="H1102" t="s">
        <v>434</v>
      </c>
      <c r="I1102" t="str">
        <f t="shared" si="17"/>
        <v>25</v>
      </c>
      <c r="J1102">
        <v>60025</v>
      </c>
      <c r="K1102">
        <v>4565</v>
      </c>
      <c r="L1102">
        <v>9</v>
      </c>
      <c r="M1102">
        <v>4</v>
      </c>
      <c r="N1102">
        <v>1</v>
      </c>
      <c r="O1102" t="s">
        <v>41</v>
      </c>
      <c r="P1102">
        <v>4</v>
      </c>
      <c r="Q1102">
        <v>1</v>
      </c>
      <c r="R1102" t="s">
        <v>26</v>
      </c>
      <c r="S1102">
        <v>3</v>
      </c>
    </row>
    <row r="1103" spans="1:22" x14ac:dyDescent="0.45">
      <c r="A1103" t="str">
        <f>"10337857"</f>
        <v>10337857</v>
      </c>
      <c r="B1103" t="s">
        <v>22</v>
      </c>
      <c r="C1103" s="1">
        <v>43644</v>
      </c>
      <c r="D1103">
        <v>1350000</v>
      </c>
      <c r="E1103" t="s">
        <v>60</v>
      </c>
      <c r="F1103" t="s">
        <v>29</v>
      </c>
      <c r="G1103">
        <v>1205</v>
      </c>
      <c r="H1103" t="s">
        <v>83</v>
      </c>
      <c r="I1103" t="str">
        <f t="shared" si="17"/>
        <v>25</v>
      </c>
      <c r="J1103">
        <v>60025</v>
      </c>
      <c r="K1103">
        <v>7000</v>
      </c>
      <c r="L1103">
        <v>6</v>
      </c>
      <c r="M1103">
        <v>6</v>
      </c>
      <c r="N1103">
        <v>2</v>
      </c>
      <c r="O1103" t="s">
        <v>41</v>
      </c>
      <c r="P1103">
        <v>6</v>
      </c>
      <c r="Q1103">
        <v>0</v>
      </c>
      <c r="R1103" t="s">
        <v>26</v>
      </c>
      <c r="S1103">
        <v>3</v>
      </c>
      <c r="V1103" t="s">
        <v>311</v>
      </c>
    </row>
    <row r="1104" spans="1:22" x14ac:dyDescent="0.45">
      <c r="A1104" t="str">
        <f>"10820876"</f>
        <v>10820876</v>
      </c>
      <c r="B1104" t="s">
        <v>22</v>
      </c>
      <c r="C1104" s="1">
        <v>44130</v>
      </c>
      <c r="D1104">
        <v>1350000</v>
      </c>
      <c r="E1104" t="s">
        <v>60</v>
      </c>
      <c r="F1104">
        <v>2001</v>
      </c>
      <c r="G1104">
        <v>1707</v>
      </c>
      <c r="H1104" t="s">
        <v>232</v>
      </c>
      <c r="I1104" t="str">
        <f t="shared" si="17"/>
        <v>25</v>
      </c>
      <c r="J1104">
        <v>60025</v>
      </c>
      <c r="K1104">
        <v>4017</v>
      </c>
      <c r="L1104">
        <v>14</v>
      </c>
      <c r="M1104">
        <v>5</v>
      </c>
      <c r="N1104">
        <v>1</v>
      </c>
      <c r="O1104" t="s">
        <v>41</v>
      </c>
      <c r="P1104">
        <v>5</v>
      </c>
      <c r="Q1104">
        <v>1</v>
      </c>
      <c r="R1104" t="s">
        <v>26</v>
      </c>
      <c r="S1104">
        <v>3</v>
      </c>
      <c r="V1104" t="s">
        <v>67</v>
      </c>
    </row>
    <row r="1105" spans="1:22" x14ac:dyDescent="0.45">
      <c r="A1105" t="str">
        <f>"10685953"</f>
        <v>10685953</v>
      </c>
      <c r="B1105" t="s">
        <v>22</v>
      </c>
      <c r="C1105" s="1">
        <v>43969</v>
      </c>
      <c r="D1105">
        <v>1350000</v>
      </c>
      <c r="E1105" t="s">
        <v>60</v>
      </c>
      <c r="F1105">
        <v>1984</v>
      </c>
      <c r="G1105">
        <v>3602</v>
      </c>
      <c r="H1105" t="s">
        <v>435</v>
      </c>
      <c r="I1105" t="str">
        <f t="shared" si="17"/>
        <v>25</v>
      </c>
      <c r="J1105">
        <v>60026</v>
      </c>
      <c r="K1105">
        <v>5220</v>
      </c>
      <c r="L1105">
        <v>8</v>
      </c>
      <c r="M1105">
        <v>4</v>
      </c>
      <c r="N1105">
        <v>1</v>
      </c>
      <c r="O1105" t="s">
        <v>41</v>
      </c>
      <c r="P1105">
        <v>4</v>
      </c>
      <c r="Q1105">
        <v>0</v>
      </c>
      <c r="R1105" t="s">
        <v>26</v>
      </c>
      <c r="S1105">
        <v>3</v>
      </c>
      <c r="T1105">
        <v>10</v>
      </c>
      <c r="U1105">
        <v>1500</v>
      </c>
      <c r="V1105" t="s">
        <v>176</v>
      </c>
    </row>
    <row r="1106" spans="1:22" x14ac:dyDescent="0.45">
      <c r="A1106" t="str">
        <f>"10557654"</f>
        <v>10557654</v>
      </c>
      <c r="B1106" t="s">
        <v>22</v>
      </c>
      <c r="C1106" s="1">
        <v>43987</v>
      </c>
      <c r="D1106">
        <v>1350000</v>
      </c>
      <c r="E1106" t="s">
        <v>60</v>
      </c>
      <c r="F1106">
        <v>1954</v>
      </c>
      <c r="G1106">
        <v>715</v>
      </c>
      <c r="H1106" t="s">
        <v>436</v>
      </c>
      <c r="I1106" t="str">
        <f t="shared" si="17"/>
        <v>25</v>
      </c>
      <c r="J1106">
        <v>60025</v>
      </c>
      <c r="K1106">
        <v>7500</v>
      </c>
      <c r="L1106">
        <v>13</v>
      </c>
      <c r="M1106">
        <v>5</v>
      </c>
      <c r="N1106">
        <v>2</v>
      </c>
      <c r="O1106" t="s">
        <v>25</v>
      </c>
      <c r="P1106">
        <v>5</v>
      </c>
      <c r="Q1106">
        <v>0</v>
      </c>
      <c r="R1106" t="s">
        <v>26</v>
      </c>
      <c r="S1106">
        <v>3</v>
      </c>
    </row>
    <row r="1107" spans="1:22" x14ac:dyDescent="0.45">
      <c r="A1107" t="str">
        <f>"10519547"</f>
        <v>10519547</v>
      </c>
      <c r="B1107" t="s">
        <v>22</v>
      </c>
      <c r="C1107" s="1">
        <v>43777</v>
      </c>
      <c r="D1107">
        <v>1355000</v>
      </c>
      <c r="E1107" t="s">
        <v>60</v>
      </c>
      <c r="F1107">
        <v>2005</v>
      </c>
      <c r="G1107">
        <v>1698</v>
      </c>
      <c r="H1107" t="s">
        <v>427</v>
      </c>
      <c r="I1107" t="str">
        <f t="shared" si="17"/>
        <v>25</v>
      </c>
      <c r="J1107">
        <v>60026</v>
      </c>
      <c r="K1107">
        <v>4424</v>
      </c>
      <c r="L1107">
        <v>13</v>
      </c>
      <c r="M1107">
        <v>4</v>
      </c>
      <c r="N1107">
        <v>1</v>
      </c>
      <c r="O1107" t="s">
        <v>41</v>
      </c>
      <c r="P1107">
        <v>4</v>
      </c>
      <c r="Q1107">
        <v>1</v>
      </c>
      <c r="R1107" t="s">
        <v>26</v>
      </c>
      <c r="S1107">
        <v>3.5</v>
      </c>
      <c r="V1107" t="s">
        <v>67</v>
      </c>
    </row>
    <row r="1108" spans="1:22" x14ac:dyDescent="0.45">
      <c r="A1108" t="str">
        <f>"10332320"</f>
        <v>10332320</v>
      </c>
      <c r="B1108" t="s">
        <v>22</v>
      </c>
      <c r="C1108" s="1">
        <v>43647</v>
      </c>
      <c r="D1108">
        <v>1355000</v>
      </c>
      <c r="E1108" t="s">
        <v>60</v>
      </c>
      <c r="F1108">
        <v>2019</v>
      </c>
      <c r="G1108">
        <v>739</v>
      </c>
      <c r="H1108" t="s">
        <v>151</v>
      </c>
      <c r="I1108" t="str">
        <f t="shared" si="17"/>
        <v>25</v>
      </c>
      <c r="J1108">
        <v>60025</v>
      </c>
      <c r="K1108">
        <v>6419</v>
      </c>
      <c r="L1108">
        <v>13</v>
      </c>
      <c r="M1108">
        <v>5</v>
      </c>
      <c r="N1108">
        <v>1</v>
      </c>
      <c r="O1108" t="s">
        <v>41</v>
      </c>
      <c r="P1108">
        <v>6</v>
      </c>
      <c r="Q1108">
        <v>0</v>
      </c>
      <c r="R1108" t="s">
        <v>26</v>
      </c>
      <c r="S1108">
        <v>3</v>
      </c>
      <c r="T1108">
        <v>4</v>
      </c>
      <c r="U1108">
        <v>1770</v>
      </c>
      <c r="V1108" t="s">
        <v>333</v>
      </c>
    </row>
    <row r="1109" spans="1:22" x14ac:dyDescent="0.45">
      <c r="A1109" t="str">
        <f>"10101398"</f>
        <v>10101398</v>
      </c>
      <c r="B1109" t="s">
        <v>22</v>
      </c>
      <c r="C1109" s="1">
        <v>43551</v>
      </c>
      <c r="D1109">
        <v>1360000</v>
      </c>
      <c r="E1109" t="s">
        <v>60</v>
      </c>
      <c r="F1109">
        <v>2018</v>
      </c>
      <c r="G1109">
        <v>2126</v>
      </c>
      <c r="H1109" t="s">
        <v>211</v>
      </c>
      <c r="I1109" t="str">
        <f t="shared" si="17"/>
        <v>25</v>
      </c>
      <c r="J1109">
        <v>60025</v>
      </c>
      <c r="K1109">
        <v>4500</v>
      </c>
      <c r="L1109">
        <v>11</v>
      </c>
      <c r="M1109">
        <v>4</v>
      </c>
      <c r="N1109">
        <v>1</v>
      </c>
      <c r="O1109" t="s">
        <v>41</v>
      </c>
      <c r="P1109">
        <v>4</v>
      </c>
      <c r="Q1109">
        <v>1</v>
      </c>
      <c r="R1109" t="s">
        <v>26</v>
      </c>
      <c r="S1109">
        <v>3</v>
      </c>
    </row>
    <row r="1110" spans="1:22" x14ac:dyDescent="0.45">
      <c r="A1110" t="str">
        <f>"10883311"</f>
        <v>10883311</v>
      </c>
      <c r="B1110" t="s">
        <v>22</v>
      </c>
      <c r="C1110" s="1">
        <v>44134</v>
      </c>
      <c r="D1110">
        <v>1365000</v>
      </c>
      <c r="E1110" t="s">
        <v>23</v>
      </c>
      <c r="F1110">
        <v>1950</v>
      </c>
      <c r="G1110">
        <v>2001</v>
      </c>
      <c r="H1110" t="s">
        <v>126</v>
      </c>
      <c r="I1110" t="str">
        <f t="shared" si="17"/>
        <v>25</v>
      </c>
      <c r="J1110">
        <v>60025</v>
      </c>
      <c r="K1110">
        <v>4237</v>
      </c>
      <c r="L1110">
        <v>11</v>
      </c>
      <c r="M1110">
        <v>4</v>
      </c>
      <c r="N1110">
        <v>2</v>
      </c>
      <c r="O1110" t="s">
        <v>41</v>
      </c>
      <c r="P1110">
        <v>4</v>
      </c>
      <c r="Q1110">
        <v>0</v>
      </c>
      <c r="R1110" t="s">
        <v>26</v>
      </c>
      <c r="S1110">
        <v>2.5</v>
      </c>
      <c r="V1110" t="s">
        <v>27</v>
      </c>
    </row>
    <row r="1111" spans="1:22" x14ac:dyDescent="0.45">
      <c r="A1111" t="str">
        <f>"09911036"</f>
        <v>09911036</v>
      </c>
      <c r="B1111" t="s">
        <v>22</v>
      </c>
      <c r="C1111" s="1">
        <v>43635</v>
      </c>
      <c r="D1111">
        <v>1370000</v>
      </c>
      <c r="E1111" t="s">
        <v>60</v>
      </c>
      <c r="F1111">
        <v>2001</v>
      </c>
      <c r="G1111">
        <v>930</v>
      </c>
      <c r="H1111" t="s">
        <v>410</v>
      </c>
      <c r="I1111" t="str">
        <f t="shared" si="17"/>
        <v>25</v>
      </c>
      <c r="J1111">
        <v>60025</v>
      </c>
      <c r="K1111">
        <v>4122</v>
      </c>
      <c r="L1111">
        <v>16</v>
      </c>
      <c r="M1111">
        <v>4</v>
      </c>
      <c r="N1111">
        <v>1</v>
      </c>
      <c r="O1111" t="s">
        <v>41</v>
      </c>
      <c r="P1111">
        <v>5</v>
      </c>
      <c r="Q1111">
        <v>2</v>
      </c>
      <c r="R1111" t="s">
        <v>26</v>
      </c>
      <c r="S1111">
        <v>2</v>
      </c>
    </row>
    <row r="1112" spans="1:22" x14ac:dyDescent="0.45">
      <c r="A1112" t="str">
        <f>"10624640"</f>
        <v>10624640</v>
      </c>
      <c r="B1112" t="s">
        <v>22</v>
      </c>
      <c r="C1112" s="1">
        <v>44027</v>
      </c>
      <c r="D1112">
        <v>1375000</v>
      </c>
      <c r="E1112" t="s">
        <v>60</v>
      </c>
      <c r="F1112">
        <v>1958</v>
      </c>
      <c r="G1112">
        <v>1145</v>
      </c>
      <c r="H1112" t="s">
        <v>312</v>
      </c>
      <c r="I1112" t="str">
        <f t="shared" si="17"/>
        <v>25</v>
      </c>
      <c r="J1112">
        <v>60025</v>
      </c>
      <c r="K1112">
        <v>6500</v>
      </c>
      <c r="L1112">
        <v>15</v>
      </c>
      <c r="M1112">
        <v>4</v>
      </c>
      <c r="N1112">
        <v>1</v>
      </c>
      <c r="O1112" t="s">
        <v>41</v>
      </c>
      <c r="P1112">
        <v>6</v>
      </c>
      <c r="Q1112">
        <v>0</v>
      </c>
      <c r="R1112" t="s">
        <v>26</v>
      </c>
      <c r="S1112">
        <v>3</v>
      </c>
      <c r="V1112" t="s">
        <v>67</v>
      </c>
    </row>
    <row r="1113" spans="1:22" x14ac:dyDescent="0.45">
      <c r="A1113" t="str">
        <f>"10781498"</f>
        <v>10781498</v>
      </c>
      <c r="B1113" t="s">
        <v>22</v>
      </c>
      <c r="C1113" s="1">
        <v>44166</v>
      </c>
      <c r="D1113">
        <v>1380000</v>
      </c>
      <c r="E1113" t="s">
        <v>60</v>
      </c>
      <c r="F1113">
        <v>2017</v>
      </c>
      <c r="G1113">
        <v>1009</v>
      </c>
      <c r="H1113" t="s">
        <v>410</v>
      </c>
      <c r="I1113" t="str">
        <f t="shared" si="17"/>
        <v>25</v>
      </c>
      <c r="J1113">
        <v>60025</v>
      </c>
      <c r="K1113">
        <v>4000</v>
      </c>
      <c r="L1113">
        <v>12</v>
      </c>
      <c r="M1113">
        <v>4</v>
      </c>
      <c r="N1113">
        <v>1</v>
      </c>
      <c r="O1113" t="s">
        <v>41</v>
      </c>
      <c r="P1113">
        <v>4</v>
      </c>
      <c r="Q1113">
        <v>1</v>
      </c>
      <c r="R1113" t="s">
        <v>26</v>
      </c>
      <c r="S1113">
        <v>2</v>
      </c>
    </row>
    <row r="1114" spans="1:22" x14ac:dyDescent="0.45">
      <c r="A1114" t="str">
        <f>"10841255"</f>
        <v>10841255</v>
      </c>
      <c r="B1114" t="s">
        <v>22</v>
      </c>
      <c r="C1114" s="1">
        <v>44180</v>
      </c>
      <c r="D1114">
        <v>1385000</v>
      </c>
      <c r="E1114" t="s">
        <v>60</v>
      </c>
      <c r="F1114">
        <v>1946</v>
      </c>
      <c r="G1114">
        <v>1240</v>
      </c>
      <c r="H1114" t="s">
        <v>413</v>
      </c>
      <c r="I1114" t="str">
        <f t="shared" si="17"/>
        <v>25</v>
      </c>
      <c r="J1114">
        <v>60025</v>
      </c>
      <c r="K1114">
        <v>5150</v>
      </c>
      <c r="L1114">
        <v>13</v>
      </c>
      <c r="M1114">
        <v>4</v>
      </c>
      <c r="N1114">
        <v>1</v>
      </c>
      <c r="O1114" t="s">
        <v>41</v>
      </c>
      <c r="P1114">
        <v>4</v>
      </c>
      <c r="Q1114">
        <v>1</v>
      </c>
      <c r="R1114" t="s">
        <v>26</v>
      </c>
      <c r="S1114">
        <v>2</v>
      </c>
      <c r="U1114">
        <v>2520</v>
      </c>
      <c r="V1114" t="s">
        <v>148</v>
      </c>
    </row>
    <row r="1115" spans="1:22" x14ac:dyDescent="0.45">
      <c r="A1115" t="str">
        <f>"10662635"</f>
        <v>10662635</v>
      </c>
      <c r="B1115" t="s">
        <v>22</v>
      </c>
      <c r="C1115" s="1">
        <v>44029</v>
      </c>
      <c r="D1115">
        <v>1390000</v>
      </c>
      <c r="E1115" t="s">
        <v>64</v>
      </c>
      <c r="F1115">
        <v>2018</v>
      </c>
      <c r="G1115">
        <v>1000</v>
      </c>
      <c r="H1115" t="s">
        <v>316</v>
      </c>
      <c r="I1115" t="str">
        <f t="shared" si="17"/>
        <v>25</v>
      </c>
      <c r="J1115">
        <v>60025</v>
      </c>
      <c r="K1115">
        <v>6800</v>
      </c>
      <c r="L1115">
        <v>14</v>
      </c>
      <c r="M1115">
        <v>6</v>
      </c>
      <c r="N1115">
        <v>0</v>
      </c>
      <c r="O1115" t="s">
        <v>41</v>
      </c>
      <c r="P1115">
        <v>4</v>
      </c>
      <c r="Q1115">
        <v>1</v>
      </c>
      <c r="R1115" t="s">
        <v>26</v>
      </c>
      <c r="S1115">
        <v>3</v>
      </c>
      <c r="U1115">
        <v>1600</v>
      </c>
      <c r="V1115" t="s">
        <v>67</v>
      </c>
    </row>
    <row r="1116" spans="1:22" x14ac:dyDescent="0.45">
      <c r="A1116" t="str">
        <f>"10863526"</f>
        <v>10863526</v>
      </c>
      <c r="B1116" t="s">
        <v>22</v>
      </c>
      <c r="C1116" s="1">
        <v>44152</v>
      </c>
      <c r="D1116">
        <v>1400000</v>
      </c>
      <c r="E1116" t="s">
        <v>60</v>
      </c>
      <c r="F1116">
        <v>2020</v>
      </c>
      <c r="G1116">
        <v>1109</v>
      </c>
      <c r="H1116" t="s">
        <v>77</v>
      </c>
      <c r="I1116" t="str">
        <f t="shared" si="17"/>
        <v>25</v>
      </c>
      <c r="J1116">
        <v>60025</v>
      </c>
      <c r="K1116">
        <v>3436</v>
      </c>
      <c r="L1116">
        <v>10</v>
      </c>
      <c r="M1116">
        <v>4</v>
      </c>
      <c r="N1116">
        <v>1</v>
      </c>
      <c r="O1116" t="s">
        <v>41</v>
      </c>
      <c r="P1116">
        <v>4</v>
      </c>
      <c r="Q1116">
        <v>1</v>
      </c>
      <c r="R1116" t="s">
        <v>26</v>
      </c>
      <c r="S1116">
        <v>2</v>
      </c>
      <c r="U1116">
        <v>1589</v>
      </c>
      <c r="V1116" t="s">
        <v>226</v>
      </c>
    </row>
    <row r="1117" spans="1:22" x14ac:dyDescent="0.45">
      <c r="A1117" t="str">
        <f>"10349720"</f>
        <v>10349720</v>
      </c>
      <c r="B1117" t="s">
        <v>22</v>
      </c>
      <c r="C1117" s="1">
        <v>43665</v>
      </c>
      <c r="D1117">
        <v>1400000</v>
      </c>
      <c r="E1117" t="s">
        <v>60</v>
      </c>
      <c r="F1117">
        <v>2001</v>
      </c>
      <c r="G1117">
        <v>1347</v>
      </c>
      <c r="H1117" t="s">
        <v>437</v>
      </c>
      <c r="I1117" t="str">
        <f t="shared" si="17"/>
        <v>25</v>
      </c>
      <c r="J1117">
        <v>60026</v>
      </c>
      <c r="K1117">
        <v>7487</v>
      </c>
      <c r="L1117">
        <v>14</v>
      </c>
      <c r="M1117">
        <v>4</v>
      </c>
      <c r="N1117">
        <v>1</v>
      </c>
      <c r="O1117" t="s">
        <v>41</v>
      </c>
      <c r="P1117">
        <v>5</v>
      </c>
      <c r="Q1117">
        <v>1</v>
      </c>
      <c r="R1117" t="s">
        <v>26</v>
      </c>
      <c r="S1117">
        <v>3</v>
      </c>
      <c r="U1117">
        <v>2126</v>
      </c>
      <c r="V1117" t="s">
        <v>67</v>
      </c>
    </row>
    <row r="1118" spans="1:22" x14ac:dyDescent="0.45">
      <c r="A1118" t="str">
        <f>"10497279"</f>
        <v>10497279</v>
      </c>
      <c r="B1118" t="s">
        <v>22</v>
      </c>
      <c r="C1118" s="1">
        <v>43845</v>
      </c>
      <c r="D1118">
        <v>1400000</v>
      </c>
      <c r="E1118" t="s">
        <v>60</v>
      </c>
      <c r="F1118">
        <v>2012</v>
      </c>
      <c r="G1118">
        <v>2041</v>
      </c>
      <c r="H1118" t="s">
        <v>434</v>
      </c>
      <c r="I1118" t="str">
        <f t="shared" si="17"/>
        <v>25</v>
      </c>
      <c r="J1118">
        <v>60025</v>
      </c>
      <c r="K1118">
        <v>6900</v>
      </c>
      <c r="L1118">
        <v>15</v>
      </c>
      <c r="M1118">
        <v>5</v>
      </c>
      <c r="N1118">
        <v>1</v>
      </c>
      <c r="O1118" t="s">
        <v>41</v>
      </c>
      <c r="P1118">
        <v>5</v>
      </c>
      <c r="Q1118">
        <v>1</v>
      </c>
      <c r="R1118" t="s">
        <v>26</v>
      </c>
      <c r="S1118">
        <v>3</v>
      </c>
      <c r="V1118" t="s">
        <v>67</v>
      </c>
    </row>
    <row r="1119" spans="1:22" x14ac:dyDescent="0.45">
      <c r="A1119" t="str">
        <f>"10108256"</f>
        <v>10108256</v>
      </c>
      <c r="B1119" t="s">
        <v>22</v>
      </c>
      <c r="C1119" s="1">
        <v>43599</v>
      </c>
      <c r="D1119">
        <v>1400000</v>
      </c>
      <c r="E1119" t="s">
        <v>60</v>
      </c>
      <c r="F1119">
        <v>2009</v>
      </c>
      <c r="G1119">
        <v>927</v>
      </c>
      <c r="H1119" t="s">
        <v>312</v>
      </c>
      <c r="I1119" t="str">
        <f t="shared" si="17"/>
        <v>25</v>
      </c>
      <c r="J1119">
        <v>60025</v>
      </c>
      <c r="K1119">
        <v>4277</v>
      </c>
      <c r="L1119">
        <v>14</v>
      </c>
      <c r="M1119">
        <v>5</v>
      </c>
      <c r="N1119">
        <v>1</v>
      </c>
      <c r="O1119" t="s">
        <v>41</v>
      </c>
      <c r="P1119">
        <v>5</v>
      </c>
      <c r="Q1119">
        <v>2</v>
      </c>
      <c r="R1119" t="s">
        <v>26</v>
      </c>
      <c r="S1119">
        <v>3</v>
      </c>
    </row>
    <row r="1120" spans="1:22" x14ac:dyDescent="0.45">
      <c r="A1120" t="str">
        <f>"10387974"</f>
        <v>10387974</v>
      </c>
      <c r="B1120" t="s">
        <v>22</v>
      </c>
      <c r="C1120" s="1">
        <v>43719</v>
      </c>
      <c r="D1120">
        <v>1400000</v>
      </c>
      <c r="E1120" t="s">
        <v>60</v>
      </c>
      <c r="F1120">
        <v>2002</v>
      </c>
      <c r="G1120">
        <v>1401</v>
      </c>
      <c r="H1120" t="s">
        <v>438</v>
      </c>
      <c r="I1120" t="str">
        <f t="shared" si="17"/>
        <v>25</v>
      </c>
      <c r="J1120">
        <v>60025</v>
      </c>
      <c r="K1120">
        <v>5311</v>
      </c>
      <c r="L1120">
        <v>12</v>
      </c>
      <c r="M1120">
        <v>4</v>
      </c>
      <c r="N1120">
        <v>2</v>
      </c>
      <c r="O1120" t="s">
        <v>41</v>
      </c>
      <c r="P1120">
        <v>3</v>
      </c>
      <c r="Q1120">
        <v>2</v>
      </c>
      <c r="R1120" t="s">
        <v>26</v>
      </c>
      <c r="S1120">
        <v>3</v>
      </c>
    </row>
    <row r="1121" spans="1:22" x14ac:dyDescent="0.45">
      <c r="A1121" t="str">
        <f>"10704494"</f>
        <v>10704494</v>
      </c>
      <c r="B1121" t="s">
        <v>22</v>
      </c>
      <c r="C1121" s="1">
        <v>44014</v>
      </c>
      <c r="D1121">
        <v>1405000</v>
      </c>
      <c r="E1121" t="s">
        <v>60</v>
      </c>
      <c r="F1121">
        <v>2020</v>
      </c>
      <c r="G1121">
        <v>1015</v>
      </c>
      <c r="H1121" t="s">
        <v>439</v>
      </c>
      <c r="I1121" t="str">
        <f t="shared" si="17"/>
        <v>25</v>
      </c>
      <c r="J1121">
        <v>60025</v>
      </c>
      <c r="K1121">
        <v>6824</v>
      </c>
      <c r="L1121">
        <v>12</v>
      </c>
      <c r="M1121">
        <v>4</v>
      </c>
      <c r="N1121">
        <v>1</v>
      </c>
      <c r="O1121" t="s">
        <v>41</v>
      </c>
      <c r="P1121">
        <v>4</v>
      </c>
      <c r="Q1121">
        <v>1</v>
      </c>
      <c r="R1121" t="s">
        <v>26</v>
      </c>
      <c r="S1121">
        <v>3</v>
      </c>
      <c r="U1121">
        <v>1976</v>
      </c>
    </row>
    <row r="1122" spans="1:22" x14ac:dyDescent="0.45">
      <c r="A1122" t="str">
        <f>"10718641"</f>
        <v>10718641</v>
      </c>
      <c r="B1122" t="s">
        <v>22</v>
      </c>
      <c r="C1122" s="1">
        <v>44083</v>
      </c>
      <c r="D1122">
        <v>1410000</v>
      </c>
      <c r="E1122" t="s">
        <v>60</v>
      </c>
      <c r="F1122">
        <v>2007</v>
      </c>
      <c r="G1122">
        <v>708</v>
      </c>
      <c r="H1122" t="s">
        <v>317</v>
      </c>
      <c r="I1122" t="str">
        <f t="shared" si="17"/>
        <v>25</v>
      </c>
      <c r="J1122">
        <v>60025</v>
      </c>
      <c r="K1122">
        <v>3800</v>
      </c>
      <c r="L1122">
        <v>11</v>
      </c>
      <c r="M1122">
        <v>5</v>
      </c>
      <c r="N1122">
        <v>1</v>
      </c>
      <c r="O1122" t="s">
        <v>41</v>
      </c>
      <c r="P1122">
        <v>5</v>
      </c>
      <c r="Q1122">
        <v>1</v>
      </c>
      <c r="R1122" t="s">
        <v>26</v>
      </c>
      <c r="S1122">
        <v>2</v>
      </c>
      <c r="V1122" t="s">
        <v>67</v>
      </c>
    </row>
    <row r="1123" spans="1:22" x14ac:dyDescent="0.45">
      <c r="A1123" t="str">
        <f>"10380397"</f>
        <v>10380397</v>
      </c>
      <c r="B1123" t="s">
        <v>22</v>
      </c>
      <c r="C1123" s="1">
        <v>43675</v>
      </c>
      <c r="D1123">
        <v>1412500</v>
      </c>
      <c r="E1123" t="s">
        <v>60</v>
      </c>
      <c r="F1123">
        <v>2014</v>
      </c>
      <c r="G1123">
        <v>1236</v>
      </c>
      <c r="H1123" t="s">
        <v>293</v>
      </c>
      <c r="I1123" t="str">
        <f t="shared" si="17"/>
        <v>25</v>
      </c>
      <c r="J1123">
        <v>60025</v>
      </c>
      <c r="K1123">
        <v>4000</v>
      </c>
      <c r="L1123">
        <v>13</v>
      </c>
      <c r="M1123">
        <v>5</v>
      </c>
      <c r="N1123">
        <v>1</v>
      </c>
      <c r="O1123" t="s">
        <v>41</v>
      </c>
      <c r="P1123">
        <v>5</v>
      </c>
      <c r="Q1123">
        <v>1</v>
      </c>
      <c r="R1123" t="s">
        <v>26</v>
      </c>
      <c r="S1123">
        <v>2</v>
      </c>
    </row>
    <row r="1124" spans="1:22" x14ac:dyDescent="0.45">
      <c r="A1124" t="str">
        <f>"10596774"</f>
        <v>10596774</v>
      </c>
      <c r="B1124" t="s">
        <v>22</v>
      </c>
      <c r="C1124" s="1">
        <v>44057</v>
      </c>
      <c r="D1124">
        <v>1420000</v>
      </c>
      <c r="E1124" t="s">
        <v>60</v>
      </c>
      <c r="F1124">
        <v>2001</v>
      </c>
      <c r="G1124">
        <v>1189</v>
      </c>
      <c r="H1124" t="s">
        <v>379</v>
      </c>
      <c r="I1124" t="str">
        <f t="shared" si="17"/>
        <v>25</v>
      </c>
      <c r="J1124">
        <v>60025</v>
      </c>
      <c r="K1124">
        <v>4476</v>
      </c>
      <c r="L1124">
        <v>13</v>
      </c>
      <c r="M1124">
        <v>4</v>
      </c>
      <c r="N1124">
        <v>2</v>
      </c>
      <c r="O1124" t="s">
        <v>41</v>
      </c>
      <c r="P1124">
        <v>4</v>
      </c>
      <c r="Q1124">
        <v>1</v>
      </c>
      <c r="R1124" t="s">
        <v>26</v>
      </c>
      <c r="S1124">
        <v>3</v>
      </c>
    </row>
    <row r="1125" spans="1:22" x14ac:dyDescent="0.45">
      <c r="A1125" t="str">
        <f>"10810064"</f>
        <v>10810064</v>
      </c>
      <c r="B1125" t="s">
        <v>22</v>
      </c>
      <c r="C1125" s="1">
        <v>44104</v>
      </c>
      <c r="D1125">
        <v>1425000</v>
      </c>
      <c r="E1125" t="s">
        <v>60</v>
      </c>
      <c r="F1125">
        <v>1991</v>
      </c>
      <c r="G1125">
        <v>3728</v>
      </c>
      <c r="H1125" t="s">
        <v>435</v>
      </c>
      <c r="I1125" t="str">
        <f t="shared" si="17"/>
        <v>25</v>
      </c>
      <c r="J1125">
        <v>60026</v>
      </c>
      <c r="K1125">
        <v>5600</v>
      </c>
      <c r="L1125">
        <v>11</v>
      </c>
      <c r="M1125">
        <v>4</v>
      </c>
      <c r="N1125">
        <v>2</v>
      </c>
      <c r="O1125" t="s">
        <v>41</v>
      </c>
      <c r="P1125">
        <v>5</v>
      </c>
      <c r="Q1125">
        <v>0</v>
      </c>
      <c r="R1125" t="s">
        <v>26</v>
      </c>
      <c r="S1125">
        <v>3</v>
      </c>
      <c r="V1125" t="s">
        <v>176</v>
      </c>
    </row>
    <row r="1126" spans="1:22" x14ac:dyDescent="0.45">
      <c r="A1126" t="str">
        <f>"10569116"</f>
        <v>10569116</v>
      </c>
      <c r="B1126" t="s">
        <v>22</v>
      </c>
      <c r="C1126" s="1">
        <v>43957</v>
      </c>
      <c r="D1126">
        <v>1425000</v>
      </c>
      <c r="E1126" t="s">
        <v>60</v>
      </c>
      <c r="F1126">
        <v>2019</v>
      </c>
      <c r="G1126">
        <v>734</v>
      </c>
      <c r="H1126" t="s">
        <v>335</v>
      </c>
      <c r="I1126" t="str">
        <f t="shared" si="17"/>
        <v>25</v>
      </c>
      <c r="J1126">
        <v>60025</v>
      </c>
      <c r="K1126">
        <v>6964</v>
      </c>
      <c r="L1126">
        <v>13</v>
      </c>
      <c r="M1126">
        <v>4</v>
      </c>
      <c r="N1126">
        <v>1</v>
      </c>
      <c r="O1126" t="s">
        <v>41</v>
      </c>
      <c r="P1126">
        <v>4</v>
      </c>
      <c r="Q1126">
        <v>1</v>
      </c>
      <c r="R1126" t="s">
        <v>26</v>
      </c>
      <c r="S1126">
        <v>2.5</v>
      </c>
      <c r="U1126">
        <v>2450</v>
      </c>
      <c r="V1126" t="s">
        <v>67</v>
      </c>
    </row>
    <row r="1127" spans="1:22" x14ac:dyDescent="0.45">
      <c r="A1127" t="str">
        <f>"10296258"</f>
        <v>10296258</v>
      </c>
      <c r="B1127" t="s">
        <v>22</v>
      </c>
      <c r="C1127" s="1">
        <v>43640</v>
      </c>
      <c r="D1127">
        <v>1440000</v>
      </c>
      <c r="E1127" t="s">
        <v>60</v>
      </c>
      <c r="F1127">
        <v>1952</v>
      </c>
      <c r="G1127">
        <v>610</v>
      </c>
      <c r="H1127" t="s">
        <v>403</v>
      </c>
      <c r="I1127" t="str">
        <f t="shared" si="17"/>
        <v>25</v>
      </c>
      <c r="J1127">
        <v>60025</v>
      </c>
      <c r="K1127">
        <v>5290</v>
      </c>
      <c r="L1127">
        <v>12</v>
      </c>
      <c r="M1127">
        <v>3</v>
      </c>
      <c r="N1127">
        <v>1</v>
      </c>
      <c r="O1127" t="s">
        <v>25</v>
      </c>
      <c r="P1127">
        <v>4</v>
      </c>
      <c r="Q1127">
        <v>1</v>
      </c>
      <c r="R1127" t="s">
        <v>26</v>
      </c>
      <c r="S1127">
        <v>2.5</v>
      </c>
      <c r="T1127">
        <v>2</v>
      </c>
    </row>
    <row r="1128" spans="1:22" x14ac:dyDescent="0.45">
      <c r="A1128" t="str">
        <f>"10661957"</f>
        <v>10661957</v>
      </c>
      <c r="B1128" t="s">
        <v>22</v>
      </c>
      <c r="C1128" s="1">
        <v>43952</v>
      </c>
      <c r="D1128">
        <v>1450000</v>
      </c>
      <c r="E1128" t="s">
        <v>60</v>
      </c>
      <c r="F1128">
        <v>2012</v>
      </c>
      <c r="G1128">
        <v>709</v>
      </c>
      <c r="H1128" t="s">
        <v>151</v>
      </c>
      <c r="I1128" t="str">
        <f t="shared" si="17"/>
        <v>25</v>
      </c>
      <c r="J1128">
        <v>60025</v>
      </c>
      <c r="K1128">
        <v>4300</v>
      </c>
      <c r="L1128">
        <v>12</v>
      </c>
      <c r="M1128">
        <v>4</v>
      </c>
      <c r="N1128">
        <v>2</v>
      </c>
      <c r="O1128" t="s">
        <v>41</v>
      </c>
      <c r="P1128">
        <v>4</v>
      </c>
      <c r="Q1128">
        <v>1</v>
      </c>
      <c r="R1128" t="s">
        <v>26</v>
      </c>
      <c r="S1128">
        <v>2</v>
      </c>
      <c r="V1128" t="s">
        <v>33</v>
      </c>
    </row>
    <row r="1129" spans="1:22" x14ac:dyDescent="0.45">
      <c r="A1129" t="str">
        <f>"10711982"</f>
        <v>10711982</v>
      </c>
      <c r="B1129" t="s">
        <v>22</v>
      </c>
      <c r="C1129" s="1">
        <v>44092</v>
      </c>
      <c r="D1129">
        <v>1450000</v>
      </c>
      <c r="E1129" t="s">
        <v>60</v>
      </c>
      <c r="F1129">
        <v>1938</v>
      </c>
      <c r="G1129">
        <v>720</v>
      </c>
      <c r="H1129" t="s">
        <v>317</v>
      </c>
      <c r="I1129" t="str">
        <f t="shared" si="17"/>
        <v>25</v>
      </c>
      <c r="J1129">
        <v>60025</v>
      </c>
      <c r="K1129">
        <v>4500</v>
      </c>
      <c r="L1129">
        <v>11</v>
      </c>
      <c r="M1129">
        <v>4</v>
      </c>
      <c r="N1129">
        <v>2</v>
      </c>
      <c r="O1129" t="s">
        <v>41</v>
      </c>
      <c r="P1129">
        <v>4</v>
      </c>
      <c r="Q1129">
        <v>0</v>
      </c>
      <c r="R1129" t="s">
        <v>26</v>
      </c>
      <c r="S1129">
        <v>2</v>
      </c>
      <c r="U1129">
        <v>1463</v>
      </c>
      <c r="V1129" t="s">
        <v>67</v>
      </c>
    </row>
    <row r="1130" spans="1:22" x14ac:dyDescent="0.45">
      <c r="A1130" t="str">
        <f>"10709277"</f>
        <v>10709277</v>
      </c>
      <c r="B1130" t="s">
        <v>22</v>
      </c>
      <c r="C1130" s="1">
        <v>44006</v>
      </c>
      <c r="D1130">
        <v>1450000</v>
      </c>
      <c r="E1130" t="s">
        <v>60</v>
      </c>
      <c r="F1130">
        <v>1950</v>
      </c>
      <c r="G1130">
        <v>909</v>
      </c>
      <c r="H1130" t="s">
        <v>151</v>
      </c>
      <c r="I1130" t="str">
        <f t="shared" si="17"/>
        <v>25</v>
      </c>
      <c r="J1130">
        <v>60025</v>
      </c>
      <c r="K1130">
        <v>6000</v>
      </c>
      <c r="L1130">
        <v>12</v>
      </c>
      <c r="M1130">
        <v>3</v>
      </c>
      <c r="N1130">
        <v>1</v>
      </c>
      <c r="O1130" t="s">
        <v>25</v>
      </c>
      <c r="P1130">
        <v>5</v>
      </c>
      <c r="Q1130">
        <v>0</v>
      </c>
      <c r="R1130" t="s">
        <v>26</v>
      </c>
      <c r="S1130">
        <v>4</v>
      </c>
      <c r="V1130" t="s">
        <v>67</v>
      </c>
    </row>
    <row r="1131" spans="1:22" x14ac:dyDescent="0.45">
      <c r="A1131" t="str">
        <f>"10425562"</f>
        <v>10425562</v>
      </c>
      <c r="B1131" t="s">
        <v>22</v>
      </c>
      <c r="C1131" s="1">
        <v>43875</v>
      </c>
      <c r="D1131">
        <v>1450000</v>
      </c>
      <c r="E1131" t="s">
        <v>60</v>
      </c>
      <c r="F1131">
        <v>2019</v>
      </c>
      <c r="G1131">
        <v>1436</v>
      </c>
      <c r="H1131" t="s">
        <v>261</v>
      </c>
      <c r="I1131" t="str">
        <f t="shared" si="17"/>
        <v>25</v>
      </c>
      <c r="J1131">
        <v>60025</v>
      </c>
      <c r="K1131">
        <v>6800</v>
      </c>
      <c r="L1131">
        <v>15</v>
      </c>
      <c r="M1131">
        <v>5</v>
      </c>
      <c r="N1131">
        <v>1</v>
      </c>
      <c r="O1131" t="s">
        <v>41</v>
      </c>
      <c r="P1131">
        <v>5</v>
      </c>
      <c r="Q1131">
        <v>1</v>
      </c>
      <c r="R1131" t="s">
        <v>26</v>
      </c>
      <c r="S1131">
        <v>3</v>
      </c>
      <c r="V1131" t="s">
        <v>67</v>
      </c>
    </row>
    <row r="1132" spans="1:22" x14ac:dyDescent="0.45">
      <c r="A1132" t="str">
        <f>"10330716"</f>
        <v>10330716</v>
      </c>
      <c r="B1132" t="s">
        <v>22</v>
      </c>
      <c r="C1132" s="1">
        <v>43647</v>
      </c>
      <c r="D1132">
        <v>1475000</v>
      </c>
      <c r="E1132" t="s">
        <v>60</v>
      </c>
      <c r="F1132">
        <v>2017</v>
      </c>
      <c r="G1132">
        <v>953</v>
      </c>
      <c r="H1132" t="s">
        <v>410</v>
      </c>
      <c r="I1132" t="str">
        <f t="shared" si="17"/>
        <v>25</v>
      </c>
      <c r="J1132">
        <v>60025</v>
      </c>
      <c r="K1132">
        <v>3700</v>
      </c>
      <c r="L1132">
        <v>15</v>
      </c>
      <c r="M1132">
        <v>3</v>
      </c>
      <c r="N1132">
        <v>1</v>
      </c>
      <c r="O1132" t="s">
        <v>41</v>
      </c>
      <c r="P1132">
        <v>5</v>
      </c>
      <c r="Q1132">
        <v>1</v>
      </c>
      <c r="R1132" t="s">
        <v>26</v>
      </c>
      <c r="S1132">
        <v>2</v>
      </c>
      <c r="U1132">
        <v>0</v>
      </c>
      <c r="V1132" t="s">
        <v>176</v>
      </c>
    </row>
    <row r="1133" spans="1:22" x14ac:dyDescent="0.45">
      <c r="A1133" t="str">
        <f>"10381471"</f>
        <v>10381471</v>
      </c>
      <c r="B1133" t="s">
        <v>22</v>
      </c>
      <c r="C1133" s="1">
        <v>43910</v>
      </c>
      <c r="D1133">
        <v>1480000</v>
      </c>
      <c r="E1133" t="s">
        <v>60</v>
      </c>
      <c r="F1133">
        <v>2018</v>
      </c>
      <c r="G1133">
        <v>1029</v>
      </c>
      <c r="H1133" t="s">
        <v>233</v>
      </c>
      <c r="I1133" t="str">
        <f t="shared" si="17"/>
        <v>25</v>
      </c>
      <c r="J1133">
        <v>60025</v>
      </c>
      <c r="K1133">
        <v>5709</v>
      </c>
      <c r="L1133">
        <v>13</v>
      </c>
      <c r="M1133">
        <v>4</v>
      </c>
      <c r="N1133">
        <v>1</v>
      </c>
      <c r="O1133" t="s">
        <v>41</v>
      </c>
      <c r="P1133">
        <v>4</v>
      </c>
      <c r="Q1133">
        <v>1</v>
      </c>
      <c r="R1133" t="s">
        <v>26</v>
      </c>
      <c r="S1133">
        <v>2</v>
      </c>
    </row>
    <row r="1134" spans="1:22" x14ac:dyDescent="0.45">
      <c r="A1134" t="str">
        <f>"10903894"</f>
        <v>10903894</v>
      </c>
      <c r="B1134" t="s">
        <v>22</v>
      </c>
      <c r="C1134" s="1">
        <v>44200</v>
      </c>
      <c r="D1134">
        <v>1480500</v>
      </c>
      <c r="E1134" t="s">
        <v>60</v>
      </c>
      <c r="F1134">
        <v>2008</v>
      </c>
      <c r="G1134">
        <v>1543</v>
      </c>
      <c r="H1134" t="s">
        <v>230</v>
      </c>
      <c r="I1134" t="str">
        <f t="shared" si="17"/>
        <v>25</v>
      </c>
      <c r="J1134">
        <v>60025</v>
      </c>
      <c r="K1134">
        <v>4445</v>
      </c>
      <c r="L1134">
        <v>15</v>
      </c>
      <c r="M1134">
        <v>5</v>
      </c>
      <c r="N1134">
        <v>1</v>
      </c>
      <c r="O1134" t="s">
        <v>41</v>
      </c>
      <c r="P1134">
        <v>5</v>
      </c>
      <c r="Q1134">
        <v>1</v>
      </c>
      <c r="R1134" t="s">
        <v>26</v>
      </c>
      <c r="S1134">
        <v>2</v>
      </c>
      <c r="U1134">
        <v>2222</v>
      </c>
    </row>
    <row r="1135" spans="1:22" x14ac:dyDescent="0.45">
      <c r="A1135" t="str">
        <f>"10260528"</f>
        <v>10260528</v>
      </c>
      <c r="B1135" t="s">
        <v>22</v>
      </c>
      <c r="C1135" s="1">
        <v>43613</v>
      </c>
      <c r="D1135">
        <v>1500000</v>
      </c>
      <c r="E1135" t="s">
        <v>60</v>
      </c>
      <c r="F1135">
        <v>1954</v>
      </c>
      <c r="G1135">
        <v>619</v>
      </c>
      <c r="H1135" t="s">
        <v>317</v>
      </c>
      <c r="I1135" t="str">
        <f t="shared" si="17"/>
        <v>25</v>
      </c>
      <c r="J1135">
        <v>60025</v>
      </c>
      <c r="K1135">
        <v>4693</v>
      </c>
      <c r="L1135">
        <v>15</v>
      </c>
      <c r="M1135">
        <v>5</v>
      </c>
      <c r="N1135">
        <v>1</v>
      </c>
      <c r="O1135" t="s">
        <v>41</v>
      </c>
      <c r="P1135">
        <v>5</v>
      </c>
      <c r="Q1135">
        <v>1</v>
      </c>
      <c r="R1135" t="s">
        <v>26</v>
      </c>
      <c r="S1135">
        <v>3</v>
      </c>
      <c r="U1135">
        <v>0</v>
      </c>
    </row>
    <row r="1136" spans="1:22" x14ac:dyDescent="0.45">
      <c r="A1136" t="str">
        <f>"10588568"</f>
        <v>10588568</v>
      </c>
      <c r="B1136" t="s">
        <v>22</v>
      </c>
      <c r="C1136" s="1">
        <v>44046</v>
      </c>
      <c r="D1136">
        <v>1500000</v>
      </c>
      <c r="E1136" t="s">
        <v>60</v>
      </c>
      <c r="F1136">
        <v>2012</v>
      </c>
      <c r="G1136">
        <v>1030</v>
      </c>
      <c r="H1136" t="s">
        <v>256</v>
      </c>
      <c r="I1136" t="str">
        <f t="shared" si="17"/>
        <v>25</v>
      </c>
      <c r="J1136">
        <v>60025</v>
      </c>
      <c r="K1136">
        <v>6000</v>
      </c>
      <c r="L1136">
        <v>10</v>
      </c>
      <c r="M1136">
        <v>4</v>
      </c>
      <c r="N1136">
        <v>2</v>
      </c>
      <c r="O1136" t="s">
        <v>41</v>
      </c>
      <c r="P1136">
        <v>5</v>
      </c>
      <c r="Q1136">
        <v>1</v>
      </c>
      <c r="R1136" t="s">
        <v>26</v>
      </c>
      <c r="S1136">
        <v>3</v>
      </c>
    </row>
    <row r="1137" spans="1:22" x14ac:dyDescent="0.45">
      <c r="A1137" t="str">
        <f>"10556987"</f>
        <v>10556987</v>
      </c>
      <c r="B1137" t="s">
        <v>22</v>
      </c>
      <c r="C1137" s="1">
        <v>43882</v>
      </c>
      <c r="D1137">
        <v>1500000</v>
      </c>
      <c r="E1137" t="s">
        <v>64</v>
      </c>
      <c r="F1137">
        <v>2016</v>
      </c>
      <c r="G1137">
        <v>1105</v>
      </c>
      <c r="H1137" t="s">
        <v>410</v>
      </c>
      <c r="I1137" t="str">
        <f t="shared" si="17"/>
        <v>25</v>
      </c>
      <c r="J1137">
        <v>60025</v>
      </c>
      <c r="K1137">
        <v>7427</v>
      </c>
      <c r="L1137">
        <v>16</v>
      </c>
      <c r="M1137">
        <v>5</v>
      </c>
      <c r="N1137">
        <v>1</v>
      </c>
      <c r="O1137" t="s">
        <v>41</v>
      </c>
      <c r="P1137">
        <v>4</v>
      </c>
      <c r="Q1137">
        <v>1</v>
      </c>
      <c r="R1137" t="s">
        <v>26</v>
      </c>
      <c r="S1137">
        <v>3</v>
      </c>
      <c r="V1137" t="s">
        <v>67</v>
      </c>
    </row>
    <row r="1138" spans="1:22" x14ac:dyDescent="0.45">
      <c r="A1138" t="str">
        <f>"10764871"</f>
        <v>10764871</v>
      </c>
      <c r="B1138" t="s">
        <v>22</v>
      </c>
      <c r="C1138" s="1">
        <v>44133</v>
      </c>
      <c r="D1138">
        <v>1506000</v>
      </c>
      <c r="E1138" t="s">
        <v>60</v>
      </c>
      <c r="F1138">
        <v>1940</v>
      </c>
      <c r="G1138">
        <v>1425</v>
      </c>
      <c r="H1138" t="s">
        <v>440</v>
      </c>
      <c r="I1138" t="str">
        <f t="shared" si="17"/>
        <v>25</v>
      </c>
      <c r="J1138">
        <v>60025</v>
      </c>
      <c r="K1138">
        <v>4748</v>
      </c>
      <c r="L1138">
        <v>12</v>
      </c>
      <c r="M1138">
        <v>4</v>
      </c>
      <c r="N1138">
        <v>1</v>
      </c>
      <c r="O1138" t="s">
        <v>25</v>
      </c>
      <c r="P1138">
        <v>6</v>
      </c>
      <c r="Q1138">
        <v>0</v>
      </c>
      <c r="R1138" t="s">
        <v>26</v>
      </c>
      <c r="S1138">
        <v>2.5</v>
      </c>
      <c r="V1138" t="s">
        <v>441</v>
      </c>
    </row>
    <row r="1139" spans="1:22" x14ac:dyDescent="0.45">
      <c r="A1139" t="str">
        <f>"10421484"</f>
        <v>10421484</v>
      </c>
      <c r="B1139" t="s">
        <v>22</v>
      </c>
      <c r="C1139" s="1">
        <v>43724</v>
      </c>
      <c r="D1139">
        <v>1515000</v>
      </c>
      <c r="E1139" t="s">
        <v>60</v>
      </c>
      <c r="F1139">
        <v>2000</v>
      </c>
      <c r="G1139">
        <v>1220</v>
      </c>
      <c r="H1139" t="s">
        <v>442</v>
      </c>
      <c r="I1139" t="str">
        <f t="shared" si="17"/>
        <v>25</v>
      </c>
      <c r="J1139">
        <v>60025</v>
      </c>
      <c r="K1139">
        <v>4432</v>
      </c>
      <c r="L1139">
        <v>15</v>
      </c>
      <c r="M1139">
        <v>4</v>
      </c>
      <c r="N1139">
        <v>1</v>
      </c>
      <c r="O1139" t="s">
        <v>41</v>
      </c>
      <c r="P1139">
        <v>4</v>
      </c>
      <c r="Q1139">
        <v>1</v>
      </c>
      <c r="R1139" t="s">
        <v>26</v>
      </c>
      <c r="S1139">
        <v>2.5</v>
      </c>
      <c r="V1139" t="s">
        <v>67</v>
      </c>
    </row>
    <row r="1140" spans="1:22" x14ac:dyDescent="0.45">
      <c r="A1140" t="str">
        <f>"10652085"</f>
        <v>10652085</v>
      </c>
      <c r="B1140" t="s">
        <v>22</v>
      </c>
      <c r="C1140" s="1">
        <v>44153</v>
      </c>
      <c r="D1140">
        <v>1530000</v>
      </c>
      <c r="E1140" t="s">
        <v>60</v>
      </c>
      <c r="F1140">
        <v>2020</v>
      </c>
      <c r="G1140">
        <v>621</v>
      </c>
      <c r="H1140" t="s">
        <v>151</v>
      </c>
      <c r="I1140" t="str">
        <f t="shared" si="17"/>
        <v>25</v>
      </c>
      <c r="J1140">
        <v>60025</v>
      </c>
      <c r="K1140">
        <v>3950</v>
      </c>
      <c r="L1140">
        <v>10</v>
      </c>
      <c r="M1140">
        <v>4</v>
      </c>
      <c r="N1140">
        <v>1</v>
      </c>
      <c r="O1140" t="s">
        <v>41</v>
      </c>
      <c r="P1140">
        <v>3</v>
      </c>
      <c r="Q1140">
        <v>2</v>
      </c>
      <c r="R1140" t="s">
        <v>26</v>
      </c>
      <c r="S1140">
        <v>2.5</v>
      </c>
      <c r="U1140">
        <v>1900</v>
      </c>
    </row>
    <row r="1141" spans="1:22" x14ac:dyDescent="0.45">
      <c r="A1141" t="str">
        <f>"10507546"</f>
        <v>10507546</v>
      </c>
      <c r="B1141" t="s">
        <v>22</v>
      </c>
      <c r="C1141" s="1">
        <v>43819</v>
      </c>
      <c r="D1141">
        <v>1535000</v>
      </c>
      <c r="E1141" t="s">
        <v>60</v>
      </c>
      <c r="F1141">
        <v>2019</v>
      </c>
      <c r="G1141">
        <v>1454</v>
      </c>
      <c r="H1141" t="s">
        <v>267</v>
      </c>
      <c r="I1141" t="str">
        <f t="shared" si="17"/>
        <v>25</v>
      </c>
      <c r="J1141">
        <v>60025</v>
      </c>
      <c r="K1141">
        <v>0</v>
      </c>
      <c r="L1141">
        <v>12</v>
      </c>
      <c r="M1141">
        <v>6</v>
      </c>
      <c r="N1141">
        <v>1</v>
      </c>
      <c r="O1141" t="s">
        <v>41</v>
      </c>
      <c r="P1141">
        <v>4</v>
      </c>
      <c r="Q1141">
        <v>1</v>
      </c>
      <c r="R1141" t="s">
        <v>26</v>
      </c>
      <c r="S1141">
        <v>3</v>
      </c>
    </row>
    <row r="1142" spans="1:22" x14ac:dyDescent="0.45">
      <c r="A1142" t="str">
        <f>"10712063"</f>
        <v>10712063</v>
      </c>
      <c r="B1142" t="s">
        <v>22</v>
      </c>
      <c r="C1142" s="1">
        <v>44027</v>
      </c>
      <c r="D1142">
        <v>1537500</v>
      </c>
      <c r="E1142" t="s">
        <v>60</v>
      </c>
      <c r="F1142">
        <v>2020</v>
      </c>
      <c r="G1142">
        <v>1000</v>
      </c>
      <c r="H1142" t="s">
        <v>208</v>
      </c>
      <c r="I1142" t="str">
        <f t="shared" si="17"/>
        <v>25</v>
      </c>
      <c r="J1142">
        <v>60025</v>
      </c>
      <c r="K1142">
        <v>5500</v>
      </c>
      <c r="L1142">
        <v>12</v>
      </c>
      <c r="M1142">
        <v>4</v>
      </c>
      <c r="N1142">
        <v>1</v>
      </c>
      <c r="O1142" t="s">
        <v>41</v>
      </c>
      <c r="P1142">
        <v>6</v>
      </c>
      <c r="Q1142">
        <v>0</v>
      </c>
      <c r="R1142" t="s">
        <v>26</v>
      </c>
      <c r="S1142">
        <v>3</v>
      </c>
      <c r="V1142" t="s">
        <v>226</v>
      </c>
    </row>
    <row r="1143" spans="1:22" x14ac:dyDescent="0.45">
      <c r="A1143" t="str">
        <f>"10820592"</f>
        <v>10820592</v>
      </c>
      <c r="B1143" t="s">
        <v>22</v>
      </c>
      <c r="C1143" s="1">
        <v>44137</v>
      </c>
      <c r="D1143">
        <v>1550000</v>
      </c>
      <c r="E1143" t="s">
        <v>60</v>
      </c>
      <c r="F1143">
        <v>1942</v>
      </c>
      <c r="G1143">
        <v>630</v>
      </c>
      <c r="H1143" t="s">
        <v>403</v>
      </c>
      <c r="I1143" t="str">
        <f t="shared" si="17"/>
        <v>25</v>
      </c>
      <c r="J1143">
        <v>60025</v>
      </c>
      <c r="K1143">
        <v>4800</v>
      </c>
      <c r="L1143">
        <v>12</v>
      </c>
      <c r="M1143">
        <v>4</v>
      </c>
      <c r="N1143">
        <v>1</v>
      </c>
      <c r="O1143" t="s">
        <v>25</v>
      </c>
      <c r="P1143">
        <v>4</v>
      </c>
      <c r="Q1143">
        <v>0</v>
      </c>
      <c r="R1143" t="s">
        <v>26</v>
      </c>
      <c r="S1143">
        <v>3</v>
      </c>
      <c r="V1143" t="s">
        <v>67</v>
      </c>
    </row>
    <row r="1144" spans="1:22" x14ac:dyDescent="0.45">
      <c r="A1144" t="str">
        <f>"10732779"</f>
        <v>10732779</v>
      </c>
      <c r="B1144" t="s">
        <v>22</v>
      </c>
      <c r="C1144" s="1">
        <v>44131</v>
      </c>
      <c r="D1144">
        <v>1550000</v>
      </c>
      <c r="E1144" t="s">
        <v>60</v>
      </c>
      <c r="F1144">
        <v>2009</v>
      </c>
      <c r="G1144">
        <v>1042</v>
      </c>
      <c r="H1144" t="s">
        <v>312</v>
      </c>
      <c r="I1144" t="str">
        <f t="shared" si="17"/>
        <v>25</v>
      </c>
      <c r="J1144">
        <v>60025</v>
      </c>
      <c r="K1144">
        <v>4251</v>
      </c>
      <c r="L1144">
        <v>15</v>
      </c>
      <c r="M1144">
        <v>5</v>
      </c>
      <c r="N1144">
        <v>1</v>
      </c>
      <c r="O1144" t="s">
        <v>41</v>
      </c>
      <c r="P1144">
        <v>4</v>
      </c>
      <c r="Q1144">
        <v>1</v>
      </c>
      <c r="R1144" t="s">
        <v>26</v>
      </c>
      <c r="S1144">
        <v>3</v>
      </c>
      <c r="T1144">
        <v>2</v>
      </c>
    </row>
    <row r="1145" spans="1:22" x14ac:dyDescent="0.45">
      <c r="A1145" t="str">
        <f>"09899682"</f>
        <v>09899682</v>
      </c>
      <c r="B1145" t="s">
        <v>22</v>
      </c>
      <c r="C1145" s="1">
        <v>43616</v>
      </c>
      <c r="D1145">
        <v>1550000</v>
      </c>
      <c r="E1145" t="s">
        <v>60</v>
      </c>
      <c r="F1145">
        <v>2001</v>
      </c>
      <c r="G1145">
        <v>4115</v>
      </c>
      <c r="H1145" t="s">
        <v>55</v>
      </c>
      <c r="I1145" t="str">
        <f t="shared" si="17"/>
        <v>25</v>
      </c>
      <c r="J1145">
        <v>60025</v>
      </c>
      <c r="K1145">
        <v>5749</v>
      </c>
      <c r="L1145">
        <v>13</v>
      </c>
      <c r="M1145">
        <v>4</v>
      </c>
      <c r="N1145">
        <v>1</v>
      </c>
      <c r="O1145" t="s">
        <v>41</v>
      </c>
      <c r="P1145">
        <v>5</v>
      </c>
      <c r="Q1145">
        <v>0</v>
      </c>
      <c r="R1145" t="s">
        <v>26</v>
      </c>
      <c r="S1145">
        <v>3</v>
      </c>
      <c r="V1145" t="s">
        <v>196</v>
      </c>
    </row>
    <row r="1146" spans="1:22" x14ac:dyDescent="0.45">
      <c r="A1146" t="str">
        <f>"10638614"</f>
        <v>10638614</v>
      </c>
      <c r="B1146" t="s">
        <v>22</v>
      </c>
      <c r="C1146" s="1">
        <v>43936</v>
      </c>
      <c r="D1146">
        <v>1575000</v>
      </c>
      <c r="E1146" t="s">
        <v>60</v>
      </c>
      <c r="F1146">
        <v>2003</v>
      </c>
      <c r="G1146">
        <v>718</v>
      </c>
      <c r="H1146" t="s">
        <v>175</v>
      </c>
      <c r="I1146" t="str">
        <f t="shared" si="17"/>
        <v>25</v>
      </c>
      <c r="J1146">
        <v>60025</v>
      </c>
      <c r="K1146">
        <v>0</v>
      </c>
      <c r="L1146">
        <v>12</v>
      </c>
      <c r="M1146">
        <v>5</v>
      </c>
      <c r="N1146">
        <v>1</v>
      </c>
      <c r="O1146" t="s">
        <v>41</v>
      </c>
      <c r="P1146">
        <v>5</v>
      </c>
      <c r="Q1146">
        <v>1</v>
      </c>
      <c r="R1146" t="s">
        <v>26</v>
      </c>
      <c r="S1146">
        <v>3</v>
      </c>
    </row>
    <row r="1147" spans="1:22" x14ac:dyDescent="0.45">
      <c r="A1147" t="str">
        <f>"10555682"</f>
        <v>10555682</v>
      </c>
      <c r="B1147" t="s">
        <v>22</v>
      </c>
      <c r="C1147" s="1">
        <v>44123</v>
      </c>
      <c r="D1147">
        <v>1585000</v>
      </c>
      <c r="E1147" t="s">
        <v>64</v>
      </c>
      <c r="F1147">
        <v>2016</v>
      </c>
      <c r="G1147">
        <v>55</v>
      </c>
      <c r="H1147" t="s">
        <v>236</v>
      </c>
      <c r="I1147" t="str">
        <f t="shared" si="17"/>
        <v>25</v>
      </c>
      <c r="J1147">
        <v>60029</v>
      </c>
      <c r="K1147">
        <v>6507</v>
      </c>
      <c r="L1147">
        <v>16</v>
      </c>
      <c r="M1147">
        <v>6</v>
      </c>
      <c r="N1147">
        <v>1</v>
      </c>
      <c r="O1147" t="s">
        <v>41</v>
      </c>
      <c r="P1147">
        <v>6</v>
      </c>
      <c r="Q1147">
        <v>1</v>
      </c>
      <c r="R1147" t="s">
        <v>26</v>
      </c>
      <c r="S1147">
        <v>3.5</v>
      </c>
    </row>
    <row r="1148" spans="1:22" x14ac:dyDescent="0.45">
      <c r="A1148" t="str">
        <f>"10827180"</f>
        <v>10827180</v>
      </c>
      <c r="B1148" t="s">
        <v>22</v>
      </c>
      <c r="C1148" s="1">
        <v>44133</v>
      </c>
      <c r="D1148">
        <v>1600000</v>
      </c>
      <c r="E1148" t="s">
        <v>60</v>
      </c>
      <c r="F1148">
        <v>2005</v>
      </c>
      <c r="G1148">
        <v>1668</v>
      </c>
      <c r="H1148" t="s">
        <v>427</v>
      </c>
      <c r="I1148" t="str">
        <f t="shared" si="17"/>
        <v>25</v>
      </c>
      <c r="J1148">
        <v>60026</v>
      </c>
      <c r="K1148">
        <v>4715</v>
      </c>
      <c r="L1148">
        <v>14</v>
      </c>
      <c r="M1148">
        <v>4</v>
      </c>
      <c r="N1148">
        <v>1</v>
      </c>
      <c r="O1148" t="s">
        <v>41</v>
      </c>
      <c r="P1148">
        <v>5</v>
      </c>
      <c r="Q1148">
        <v>0</v>
      </c>
      <c r="R1148" t="s">
        <v>26</v>
      </c>
      <c r="S1148">
        <v>2</v>
      </c>
    </row>
    <row r="1149" spans="1:22" x14ac:dyDescent="0.45">
      <c r="A1149" t="str">
        <f>"10847710"</f>
        <v>10847710</v>
      </c>
      <c r="B1149" t="s">
        <v>22</v>
      </c>
      <c r="C1149" s="1">
        <v>44195</v>
      </c>
      <c r="D1149">
        <v>1660000</v>
      </c>
      <c r="E1149" t="s">
        <v>60</v>
      </c>
      <c r="F1149">
        <v>2001</v>
      </c>
      <c r="G1149">
        <v>625</v>
      </c>
      <c r="H1149" t="s">
        <v>360</v>
      </c>
      <c r="I1149" t="str">
        <f t="shared" si="17"/>
        <v>25</v>
      </c>
      <c r="J1149">
        <v>60025</v>
      </c>
      <c r="K1149">
        <v>6214</v>
      </c>
      <c r="L1149">
        <v>13</v>
      </c>
      <c r="M1149">
        <v>4</v>
      </c>
      <c r="N1149">
        <v>2</v>
      </c>
      <c r="O1149" t="s">
        <v>41</v>
      </c>
      <c r="P1149">
        <v>4</v>
      </c>
      <c r="Q1149">
        <v>1</v>
      </c>
      <c r="R1149" t="s">
        <v>26</v>
      </c>
      <c r="S1149">
        <v>3</v>
      </c>
      <c r="V1149" t="s">
        <v>333</v>
      </c>
    </row>
    <row r="1150" spans="1:22" x14ac:dyDescent="0.45">
      <c r="A1150" t="str">
        <f>"10258874"</f>
        <v>10258874</v>
      </c>
      <c r="B1150" t="s">
        <v>22</v>
      </c>
      <c r="C1150" s="1">
        <v>43629</v>
      </c>
      <c r="D1150">
        <v>1663500</v>
      </c>
      <c r="E1150" t="s">
        <v>60</v>
      </c>
      <c r="F1150">
        <v>2018</v>
      </c>
      <c r="G1150">
        <v>929</v>
      </c>
      <c r="H1150" t="s">
        <v>109</v>
      </c>
      <c r="I1150" t="str">
        <f t="shared" si="17"/>
        <v>25</v>
      </c>
      <c r="J1150">
        <v>60025</v>
      </c>
      <c r="K1150">
        <v>6724</v>
      </c>
      <c r="L1150">
        <v>14</v>
      </c>
      <c r="M1150">
        <v>5</v>
      </c>
      <c r="N1150">
        <v>0</v>
      </c>
      <c r="O1150" t="s">
        <v>41</v>
      </c>
      <c r="P1150">
        <v>4</v>
      </c>
      <c r="Q1150">
        <v>1</v>
      </c>
      <c r="R1150" t="s">
        <v>26</v>
      </c>
      <c r="S1150">
        <v>3</v>
      </c>
      <c r="V1150" t="s">
        <v>67</v>
      </c>
    </row>
    <row r="1151" spans="1:22" x14ac:dyDescent="0.45">
      <c r="A1151" t="str">
        <f>"10805402"</f>
        <v>10805402</v>
      </c>
      <c r="B1151" t="s">
        <v>22</v>
      </c>
      <c r="C1151" s="1">
        <v>44130</v>
      </c>
      <c r="D1151">
        <v>1665000</v>
      </c>
      <c r="E1151" t="s">
        <v>64</v>
      </c>
      <c r="F1151">
        <v>1950</v>
      </c>
      <c r="G1151">
        <v>837</v>
      </c>
      <c r="H1151" t="s">
        <v>428</v>
      </c>
      <c r="I1151" t="str">
        <f t="shared" si="17"/>
        <v>25</v>
      </c>
      <c r="J1151">
        <v>60025</v>
      </c>
      <c r="K1151">
        <v>4728</v>
      </c>
      <c r="L1151">
        <v>12</v>
      </c>
      <c r="M1151">
        <v>4</v>
      </c>
      <c r="N1151">
        <v>2</v>
      </c>
      <c r="O1151" t="s">
        <v>41</v>
      </c>
      <c r="P1151">
        <v>5</v>
      </c>
      <c r="Q1151">
        <v>0</v>
      </c>
      <c r="R1151" t="s">
        <v>26</v>
      </c>
      <c r="S1151">
        <v>3</v>
      </c>
      <c r="T1151">
        <v>5</v>
      </c>
    </row>
    <row r="1152" spans="1:22" x14ac:dyDescent="0.45">
      <c r="A1152" t="str">
        <f>"10669126"</f>
        <v>10669126</v>
      </c>
      <c r="B1152" t="s">
        <v>22</v>
      </c>
      <c r="C1152" s="1">
        <v>43987</v>
      </c>
      <c r="D1152">
        <v>1675000</v>
      </c>
      <c r="E1152" t="s">
        <v>60</v>
      </c>
      <c r="F1152">
        <v>2019</v>
      </c>
      <c r="G1152">
        <v>1429</v>
      </c>
      <c r="H1152" t="s">
        <v>312</v>
      </c>
      <c r="I1152" t="str">
        <f t="shared" si="17"/>
        <v>25</v>
      </c>
      <c r="J1152">
        <v>60025</v>
      </c>
      <c r="K1152">
        <v>5050</v>
      </c>
      <c r="L1152">
        <v>9</v>
      </c>
      <c r="M1152">
        <v>4</v>
      </c>
      <c r="N1152">
        <v>1</v>
      </c>
      <c r="O1152" t="s">
        <v>41</v>
      </c>
      <c r="P1152">
        <v>4</v>
      </c>
      <c r="Q1152">
        <v>1</v>
      </c>
      <c r="R1152" t="s">
        <v>26</v>
      </c>
      <c r="S1152">
        <v>3</v>
      </c>
      <c r="U1152">
        <v>2300</v>
      </c>
      <c r="V1152" t="s">
        <v>67</v>
      </c>
    </row>
    <row r="1153" spans="1:22" x14ac:dyDescent="0.45">
      <c r="A1153" t="str">
        <f>"10724946"</f>
        <v>10724946</v>
      </c>
      <c r="B1153" t="s">
        <v>22</v>
      </c>
      <c r="C1153" s="1">
        <v>44047</v>
      </c>
      <c r="D1153">
        <v>1699000</v>
      </c>
      <c r="E1153" t="s">
        <v>60</v>
      </c>
      <c r="F1153">
        <v>2009</v>
      </c>
      <c r="G1153">
        <v>1220</v>
      </c>
      <c r="H1153" t="s">
        <v>236</v>
      </c>
      <c r="I1153" t="str">
        <f t="shared" si="17"/>
        <v>25</v>
      </c>
      <c r="J1153">
        <v>60025</v>
      </c>
      <c r="K1153">
        <v>4906</v>
      </c>
      <c r="L1153">
        <v>14</v>
      </c>
      <c r="M1153">
        <v>4</v>
      </c>
      <c r="N1153">
        <v>1</v>
      </c>
      <c r="O1153" t="s">
        <v>41</v>
      </c>
      <c r="P1153">
        <v>4</v>
      </c>
      <c r="Q1153">
        <v>1</v>
      </c>
      <c r="R1153" t="s">
        <v>26</v>
      </c>
      <c r="S1153">
        <v>3.5</v>
      </c>
    </row>
    <row r="1154" spans="1:22" x14ac:dyDescent="0.45">
      <c r="A1154" t="str">
        <f>"10751707"</f>
        <v>10751707</v>
      </c>
      <c r="B1154" t="s">
        <v>22</v>
      </c>
      <c r="C1154" s="1">
        <v>43994</v>
      </c>
      <c r="D1154">
        <v>1725000</v>
      </c>
      <c r="E1154" t="s">
        <v>60</v>
      </c>
      <c r="F1154">
        <v>2020</v>
      </c>
      <c r="G1154">
        <v>1435</v>
      </c>
      <c r="H1154" t="s">
        <v>312</v>
      </c>
      <c r="I1154" t="str">
        <f t="shared" ref="I1154:I1180" si="18">"25"</f>
        <v>25</v>
      </c>
      <c r="J1154">
        <v>60025</v>
      </c>
      <c r="K1154">
        <v>5250</v>
      </c>
      <c r="L1154">
        <v>9</v>
      </c>
      <c r="M1154">
        <v>4</v>
      </c>
      <c r="N1154">
        <v>1</v>
      </c>
      <c r="O1154" t="s">
        <v>41</v>
      </c>
      <c r="P1154">
        <v>4</v>
      </c>
      <c r="Q1154">
        <v>1</v>
      </c>
      <c r="R1154" t="s">
        <v>26</v>
      </c>
      <c r="S1154">
        <v>3</v>
      </c>
      <c r="U1154">
        <v>2300</v>
      </c>
      <c r="V1154" t="s">
        <v>67</v>
      </c>
    </row>
    <row r="1155" spans="1:22" x14ac:dyDescent="0.45">
      <c r="A1155" t="str">
        <f>"10719219"</f>
        <v>10719219</v>
      </c>
      <c r="B1155" t="s">
        <v>22</v>
      </c>
      <c r="C1155" s="1">
        <v>44014</v>
      </c>
      <c r="D1155">
        <v>1725000</v>
      </c>
      <c r="E1155" t="s">
        <v>60</v>
      </c>
      <c r="F1155">
        <v>2002</v>
      </c>
      <c r="G1155">
        <v>2648</v>
      </c>
      <c r="H1155" t="s">
        <v>420</v>
      </c>
      <c r="I1155" t="str">
        <f t="shared" si="18"/>
        <v>25</v>
      </c>
      <c r="J1155">
        <v>60026</v>
      </c>
      <c r="K1155">
        <v>5460</v>
      </c>
      <c r="L1155">
        <v>14</v>
      </c>
      <c r="M1155">
        <v>6</v>
      </c>
      <c r="N1155">
        <v>2</v>
      </c>
      <c r="O1155" t="s">
        <v>41</v>
      </c>
      <c r="P1155">
        <v>5</v>
      </c>
      <c r="Q1155">
        <v>0</v>
      </c>
      <c r="R1155" t="s">
        <v>26</v>
      </c>
      <c r="S1155">
        <v>3</v>
      </c>
      <c r="V1155" t="s">
        <v>196</v>
      </c>
    </row>
    <row r="1156" spans="1:22" x14ac:dyDescent="0.45">
      <c r="A1156" t="str">
        <f>"10281506"</f>
        <v>10281506</v>
      </c>
      <c r="B1156" t="s">
        <v>22</v>
      </c>
      <c r="C1156" s="1">
        <v>43597</v>
      </c>
      <c r="D1156">
        <v>1732500</v>
      </c>
      <c r="E1156" t="s">
        <v>60</v>
      </c>
      <c r="F1156">
        <v>2018</v>
      </c>
      <c r="G1156">
        <v>1525</v>
      </c>
      <c r="H1156" t="s">
        <v>300</v>
      </c>
      <c r="I1156" t="str">
        <f t="shared" si="18"/>
        <v>25</v>
      </c>
      <c r="J1156">
        <v>60025</v>
      </c>
      <c r="K1156">
        <v>5000</v>
      </c>
      <c r="L1156">
        <v>9</v>
      </c>
      <c r="M1156">
        <v>4</v>
      </c>
      <c r="N1156">
        <v>1</v>
      </c>
      <c r="O1156" t="s">
        <v>41</v>
      </c>
      <c r="P1156">
        <v>4</v>
      </c>
      <c r="Q1156">
        <v>1</v>
      </c>
      <c r="R1156" t="s">
        <v>26</v>
      </c>
      <c r="S1156">
        <v>3</v>
      </c>
      <c r="V1156" t="s">
        <v>67</v>
      </c>
    </row>
    <row r="1157" spans="1:22" x14ac:dyDescent="0.45">
      <c r="A1157" t="str">
        <f>"10129776"</f>
        <v>10129776</v>
      </c>
      <c r="B1157" t="s">
        <v>22</v>
      </c>
      <c r="C1157" s="1">
        <v>43682</v>
      </c>
      <c r="D1157">
        <v>1740000</v>
      </c>
      <c r="E1157" t="s">
        <v>60</v>
      </c>
      <c r="F1157">
        <v>2019</v>
      </c>
      <c r="G1157">
        <v>1444</v>
      </c>
      <c r="H1157" t="s">
        <v>230</v>
      </c>
      <c r="I1157" t="str">
        <f t="shared" si="18"/>
        <v>25</v>
      </c>
      <c r="J1157">
        <v>60025</v>
      </c>
      <c r="K1157">
        <v>5060</v>
      </c>
      <c r="L1157">
        <v>9</v>
      </c>
      <c r="M1157">
        <v>4</v>
      </c>
      <c r="N1157">
        <v>1</v>
      </c>
      <c r="O1157" t="s">
        <v>41</v>
      </c>
      <c r="P1157">
        <v>4</v>
      </c>
      <c r="Q1157">
        <v>1</v>
      </c>
      <c r="R1157" t="s">
        <v>26</v>
      </c>
      <c r="S1157">
        <v>3</v>
      </c>
      <c r="V1157" t="s">
        <v>67</v>
      </c>
    </row>
    <row r="1158" spans="1:22" x14ac:dyDescent="0.45">
      <c r="A1158" t="str">
        <f>"10675893"</f>
        <v>10675893</v>
      </c>
      <c r="B1158" t="s">
        <v>22</v>
      </c>
      <c r="C1158" s="1">
        <v>44084</v>
      </c>
      <c r="D1158">
        <v>1740000</v>
      </c>
      <c r="E1158" t="s">
        <v>60</v>
      </c>
      <c r="F1158">
        <v>2004</v>
      </c>
      <c r="G1158">
        <v>1655</v>
      </c>
      <c r="H1158" t="s">
        <v>422</v>
      </c>
      <c r="I1158" t="str">
        <f t="shared" si="18"/>
        <v>25</v>
      </c>
      <c r="J1158">
        <v>60025</v>
      </c>
      <c r="K1158">
        <v>0</v>
      </c>
      <c r="L1158">
        <v>17</v>
      </c>
      <c r="M1158">
        <v>5</v>
      </c>
      <c r="N1158">
        <v>1</v>
      </c>
      <c r="O1158" t="s">
        <v>41</v>
      </c>
      <c r="P1158">
        <v>5</v>
      </c>
      <c r="Q1158">
        <v>2</v>
      </c>
      <c r="R1158" t="s">
        <v>26</v>
      </c>
      <c r="S1158">
        <v>3.1</v>
      </c>
    </row>
    <row r="1159" spans="1:22" x14ac:dyDescent="0.45">
      <c r="A1159" t="str">
        <f>"10761509"</f>
        <v>10761509</v>
      </c>
      <c r="B1159" t="s">
        <v>22</v>
      </c>
      <c r="C1159" s="1">
        <v>44028</v>
      </c>
      <c r="D1159">
        <v>1750000</v>
      </c>
      <c r="E1159" t="s">
        <v>60</v>
      </c>
      <c r="F1159">
        <v>1939</v>
      </c>
      <c r="G1159">
        <v>754</v>
      </c>
      <c r="H1159" t="s">
        <v>428</v>
      </c>
      <c r="I1159" t="str">
        <f t="shared" si="18"/>
        <v>25</v>
      </c>
      <c r="J1159">
        <v>60025</v>
      </c>
      <c r="K1159">
        <v>6587</v>
      </c>
      <c r="L1159">
        <v>15</v>
      </c>
      <c r="M1159">
        <v>5</v>
      </c>
      <c r="N1159">
        <v>2</v>
      </c>
      <c r="O1159" t="s">
        <v>25</v>
      </c>
      <c r="P1159">
        <v>5</v>
      </c>
      <c r="Q1159">
        <v>0</v>
      </c>
      <c r="R1159" t="s">
        <v>26</v>
      </c>
      <c r="S1159">
        <v>3</v>
      </c>
      <c r="V1159" t="s">
        <v>67</v>
      </c>
    </row>
    <row r="1160" spans="1:22" x14ac:dyDescent="0.45">
      <c r="A1160" t="str">
        <f>"10273555"</f>
        <v>10273555</v>
      </c>
      <c r="B1160" t="s">
        <v>22</v>
      </c>
      <c r="C1160" s="1">
        <v>43705</v>
      </c>
      <c r="D1160">
        <v>1750000</v>
      </c>
      <c r="E1160" t="s">
        <v>60</v>
      </c>
      <c r="F1160">
        <v>2018</v>
      </c>
      <c r="G1160">
        <v>860</v>
      </c>
      <c r="H1160" t="s">
        <v>316</v>
      </c>
      <c r="I1160" t="str">
        <f t="shared" si="18"/>
        <v>25</v>
      </c>
      <c r="J1160">
        <v>60025</v>
      </c>
      <c r="K1160">
        <v>9236</v>
      </c>
      <c r="L1160">
        <v>12</v>
      </c>
      <c r="M1160">
        <v>5</v>
      </c>
      <c r="N1160">
        <v>2</v>
      </c>
      <c r="O1160" t="s">
        <v>41</v>
      </c>
      <c r="P1160">
        <v>5</v>
      </c>
      <c r="Q1160">
        <v>1</v>
      </c>
      <c r="R1160" t="s">
        <v>26</v>
      </c>
      <c r="S1160">
        <v>3</v>
      </c>
      <c r="U1160">
        <v>2893</v>
      </c>
      <c r="V1160" t="s">
        <v>287</v>
      </c>
    </row>
    <row r="1161" spans="1:22" x14ac:dyDescent="0.45">
      <c r="A1161" t="str">
        <f>"10352929"</f>
        <v>10352929</v>
      </c>
      <c r="B1161" t="s">
        <v>22</v>
      </c>
      <c r="C1161" s="1">
        <v>43655</v>
      </c>
      <c r="D1161">
        <v>1765000</v>
      </c>
      <c r="E1161" t="s">
        <v>60</v>
      </c>
      <c r="F1161">
        <v>2019</v>
      </c>
      <c r="G1161">
        <v>1541</v>
      </c>
      <c r="H1161" t="s">
        <v>111</v>
      </c>
      <c r="I1161" t="str">
        <f t="shared" si="18"/>
        <v>25</v>
      </c>
      <c r="J1161">
        <v>60025</v>
      </c>
      <c r="K1161">
        <v>4650</v>
      </c>
      <c r="L1161">
        <v>13</v>
      </c>
      <c r="M1161">
        <v>5</v>
      </c>
      <c r="N1161">
        <v>1</v>
      </c>
      <c r="O1161" t="s">
        <v>41</v>
      </c>
      <c r="P1161">
        <v>4</v>
      </c>
      <c r="Q1161">
        <v>1</v>
      </c>
      <c r="R1161" t="s">
        <v>26</v>
      </c>
      <c r="S1161">
        <v>3</v>
      </c>
      <c r="T1161">
        <v>5</v>
      </c>
    </row>
    <row r="1162" spans="1:22" x14ac:dyDescent="0.45">
      <c r="A1162" t="str">
        <f>"10139510"</f>
        <v>10139510</v>
      </c>
      <c r="B1162" t="s">
        <v>22</v>
      </c>
      <c r="C1162" s="1">
        <v>43610</v>
      </c>
      <c r="D1162">
        <v>1790000</v>
      </c>
      <c r="E1162" t="s">
        <v>60</v>
      </c>
      <c r="F1162">
        <v>2016</v>
      </c>
      <c r="G1162">
        <v>77</v>
      </c>
      <c r="H1162" t="s">
        <v>236</v>
      </c>
      <c r="I1162" t="str">
        <f t="shared" si="18"/>
        <v>25</v>
      </c>
      <c r="J1162">
        <v>60029</v>
      </c>
      <c r="K1162">
        <v>7333</v>
      </c>
      <c r="L1162">
        <v>14</v>
      </c>
      <c r="M1162">
        <v>4</v>
      </c>
      <c r="N1162">
        <v>1</v>
      </c>
      <c r="O1162" t="s">
        <v>41</v>
      </c>
      <c r="P1162">
        <v>4</v>
      </c>
      <c r="Q1162">
        <v>1</v>
      </c>
      <c r="R1162" t="s">
        <v>26</v>
      </c>
      <c r="S1162">
        <v>4</v>
      </c>
    </row>
    <row r="1163" spans="1:22" x14ac:dyDescent="0.45">
      <c r="A1163" t="str">
        <f>"10622399"</f>
        <v>10622399</v>
      </c>
      <c r="B1163" t="s">
        <v>22</v>
      </c>
      <c r="C1163" s="1">
        <v>43948</v>
      </c>
      <c r="D1163">
        <v>1800000</v>
      </c>
      <c r="E1163" t="s">
        <v>60</v>
      </c>
      <c r="F1163">
        <v>2007</v>
      </c>
      <c r="G1163">
        <v>938</v>
      </c>
      <c r="H1163" t="s">
        <v>175</v>
      </c>
      <c r="I1163" t="str">
        <f t="shared" si="18"/>
        <v>25</v>
      </c>
      <c r="J1163">
        <v>60025</v>
      </c>
      <c r="K1163">
        <v>6000</v>
      </c>
      <c r="L1163">
        <v>12</v>
      </c>
      <c r="M1163">
        <v>4</v>
      </c>
      <c r="N1163">
        <v>2</v>
      </c>
      <c r="O1163" t="s">
        <v>41</v>
      </c>
      <c r="P1163">
        <v>4</v>
      </c>
      <c r="Q1163">
        <v>1</v>
      </c>
      <c r="R1163" t="s">
        <v>26</v>
      </c>
      <c r="S1163">
        <v>2.5</v>
      </c>
      <c r="T1163">
        <v>5</v>
      </c>
    </row>
    <row r="1164" spans="1:22" x14ac:dyDescent="0.45">
      <c r="A1164" t="str">
        <f>"10702790"</f>
        <v>10702790</v>
      </c>
      <c r="B1164" t="s">
        <v>22</v>
      </c>
      <c r="C1164" s="1">
        <v>43984</v>
      </c>
      <c r="D1164">
        <v>1875000</v>
      </c>
      <c r="E1164" t="s">
        <v>60</v>
      </c>
      <c r="F1164">
        <v>2021</v>
      </c>
      <c r="G1164">
        <v>1611</v>
      </c>
      <c r="H1164" t="s">
        <v>230</v>
      </c>
      <c r="I1164" t="str">
        <f t="shared" si="18"/>
        <v>25</v>
      </c>
      <c r="J1164">
        <v>60025</v>
      </c>
      <c r="K1164">
        <v>5021</v>
      </c>
      <c r="L1164">
        <v>9</v>
      </c>
      <c r="M1164">
        <v>4</v>
      </c>
      <c r="N1164">
        <v>2</v>
      </c>
      <c r="O1164" t="s">
        <v>41</v>
      </c>
      <c r="P1164">
        <v>4</v>
      </c>
      <c r="Q1164">
        <v>1</v>
      </c>
      <c r="R1164" t="s">
        <v>26</v>
      </c>
      <c r="S1164">
        <v>3</v>
      </c>
      <c r="U1164">
        <v>2800</v>
      </c>
      <c r="V1164" t="s">
        <v>67</v>
      </c>
    </row>
    <row r="1165" spans="1:22" x14ac:dyDescent="0.45">
      <c r="A1165" t="str">
        <f>"10148213"</f>
        <v>10148213</v>
      </c>
      <c r="B1165" t="s">
        <v>22</v>
      </c>
      <c r="C1165" s="1">
        <v>43622</v>
      </c>
      <c r="D1165">
        <v>1898200</v>
      </c>
      <c r="E1165" t="s">
        <v>64</v>
      </c>
      <c r="F1165">
        <v>1946</v>
      </c>
      <c r="G1165">
        <v>595</v>
      </c>
      <c r="H1165" t="s">
        <v>107</v>
      </c>
      <c r="I1165" t="str">
        <f t="shared" si="18"/>
        <v>25</v>
      </c>
      <c r="J1165">
        <v>60025</v>
      </c>
      <c r="K1165">
        <v>0</v>
      </c>
      <c r="L1165">
        <v>13</v>
      </c>
      <c r="M1165">
        <v>3</v>
      </c>
      <c r="N1165">
        <v>3</v>
      </c>
      <c r="O1165" t="s">
        <v>41</v>
      </c>
      <c r="P1165">
        <v>4</v>
      </c>
      <c r="Q1165">
        <v>0</v>
      </c>
      <c r="R1165" t="s">
        <v>26</v>
      </c>
      <c r="S1165">
        <v>3</v>
      </c>
      <c r="V1165" t="s">
        <v>355</v>
      </c>
    </row>
    <row r="1166" spans="1:22" x14ac:dyDescent="0.45">
      <c r="A1166" t="str">
        <f>"10409906"</f>
        <v>10409906</v>
      </c>
      <c r="B1166" t="s">
        <v>22</v>
      </c>
      <c r="C1166" s="1">
        <v>43664</v>
      </c>
      <c r="D1166">
        <v>1900000</v>
      </c>
      <c r="E1166" t="s">
        <v>60</v>
      </c>
      <c r="F1166">
        <v>2002</v>
      </c>
      <c r="G1166">
        <v>2888</v>
      </c>
      <c r="H1166" t="s">
        <v>420</v>
      </c>
      <c r="I1166" t="str">
        <f t="shared" si="18"/>
        <v>25</v>
      </c>
      <c r="J1166">
        <v>60026</v>
      </c>
      <c r="K1166">
        <v>5607</v>
      </c>
      <c r="L1166">
        <v>12</v>
      </c>
      <c r="M1166">
        <v>3</v>
      </c>
      <c r="N1166">
        <v>1</v>
      </c>
      <c r="O1166" t="s">
        <v>25</v>
      </c>
      <c r="P1166">
        <v>4</v>
      </c>
      <c r="Q1166">
        <v>0</v>
      </c>
      <c r="R1166" t="s">
        <v>26</v>
      </c>
      <c r="S1166">
        <v>3</v>
      </c>
      <c r="U1166">
        <v>2410</v>
      </c>
    </row>
    <row r="1167" spans="1:22" x14ac:dyDescent="0.45">
      <c r="A1167" t="str">
        <f>"10618025"</f>
        <v>10618025</v>
      </c>
      <c r="B1167" t="s">
        <v>22</v>
      </c>
      <c r="C1167" s="1">
        <v>44165</v>
      </c>
      <c r="D1167">
        <v>1910000</v>
      </c>
      <c r="E1167" t="s">
        <v>60</v>
      </c>
      <c r="F1167">
        <v>2019</v>
      </c>
      <c r="G1167">
        <v>1900</v>
      </c>
      <c r="H1167" t="s">
        <v>328</v>
      </c>
      <c r="I1167" t="str">
        <f t="shared" si="18"/>
        <v>25</v>
      </c>
      <c r="J1167">
        <v>60025</v>
      </c>
      <c r="K1167">
        <v>7800</v>
      </c>
      <c r="L1167">
        <v>15</v>
      </c>
      <c r="M1167">
        <v>5</v>
      </c>
      <c r="N1167">
        <v>0</v>
      </c>
      <c r="O1167" t="s">
        <v>41</v>
      </c>
      <c r="P1167">
        <v>5</v>
      </c>
      <c r="Q1167">
        <v>1</v>
      </c>
      <c r="R1167" t="s">
        <v>26</v>
      </c>
      <c r="S1167">
        <v>3</v>
      </c>
      <c r="U1167">
        <v>2200</v>
      </c>
      <c r="V1167" t="s">
        <v>443</v>
      </c>
    </row>
    <row r="1168" spans="1:22" x14ac:dyDescent="0.45">
      <c r="A1168" t="str">
        <f>"10161859"</f>
        <v>10161859</v>
      </c>
      <c r="B1168" t="s">
        <v>22</v>
      </c>
      <c r="C1168" s="1">
        <v>43691</v>
      </c>
      <c r="D1168">
        <v>1915000</v>
      </c>
      <c r="E1168" t="s">
        <v>60</v>
      </c>
      <c r="F1168">
        <v>2006</v>
      </c>
      <c r="G1168">
        <v>2012</v>
      </c>
      <c r="H1168" t="s">
        <v>444</v>
      </c>
      <c r="I1168" t="str">
        <f t="shared" si="18"/>
        <v>25</v>
      </c>
      <c r="J1168">
        <v>60025</v>
      </c>
      <c r="K1168">
        <v>8426</v>
      </c>
      <c r="L1168">
        <v>13</v>
      </c>
      <c r="M1168">
        <v>5</v>
      </c>
      <c r="N1168">
        <v>1</v>
      </c>
      <c r="O1168" t="s">
        <v>25</v>
      </c>
      <c r="P1168">
        <v>4</v>
      </c>
      <c r="Q1168">
        <v>0</v>
      </c>
      <c r="R1168" t="s">
        <v>26</v>
      </c>
      <c r="S1168">
        <v>3</v>
      </c>
    </row>
    <row r="1169" spans="1:22" x14ac:dyDescent="0.45">
      <c r="A1169" t="str">
        <f>"10403990"</f>
        <v>10403990</v>
      </c>
      <c r="B1169" t="s">
        <v>22</v>
      </c>
      <c r="C1169" s="1">
        <v>43630</v>
      </c>
      <c r="D1169">
        <v>2000000</v>
      </c>
      <c r="E1169" t="s">
        <v>60</v>
      </c>
      <c r="F1169">
        <v>2018</v>
      </c>
      <c r="G1169">
        <v>1212</v>
      </c>
      <c r="H1169" t="s">
        <v>413</v>
      </c>
      <c r="I1169" t="str">
        <f t="shared" si="18"/>
        <v>25</v>
      </c>
      <c r="J1169">
        <v>60025</v>
      </c>
      <c r="K1169">
        <v>6024</v>
      </c>
      <c r="L1169">
        <v>13</v>
      </c>
      <c r="M1169">
        <v>5</v>
      </c>
      <c r="N1169">
        <v>1</v>
      </c>
      <c r="O1169" t="s">
        <v>41</v>
      </c>
      <c r="P1169">
        <v>5</v>
      </c>
      <c r="Q1169">
        <v>1</v>
      </c>
      <c r="R1169" t="s">
        <v>26</v>
      </c>
      <c r="S1169">
        <v>3</v>
      </c>
      <c r="V1169" t="s">
        <v>148</v>
      </c>
    </row>
    <row r="1170" spans="1:22" x14ac:dyDescent="0.45">
      <c r="A1170" t="str">
        <f>"10658936"</f>
        <v>10658936</v>
      </c>
      <c r="B1170" t="s">
        <v>22</v>
      </c>
      <c r="C1170" s="1">
        <v>44064</v>
      </c>
      <c r="D1170">
        <v>2000000</v>
      </c>
      <c r="E1170" t="s">
        <v>60</v>
      </c>
      <c r="F1170">
        <v>2005</v>
      </c>
      <c r="G1170">
        <v>626</v>
      </c>
      <c r="H1170" t="s">
        <v>107</v>
      </c>
      <c r="I1170" t="str">
        <f t="shared" si="18"/>
        <v>25</v>
      </c>
      <c r="J1170">
        <v>60025</v>
      </c>
      <c r="K1170">
        <v>0</v>
      </c>
      <c r="L1170">
        <v>15</v>
      </c>
      <c r="M1170">
        <v>5</v>
      </c>
      <c r="N1170">
        <v>1</v>
      </c>
      <c r="O1170" t="s">
        <v>41</v>
      </c>
      <c r="P1170">
        <v>5</v>
      </c>
      <c r="Q1170">
        <v>1</v>
      </c>
      <c r="R1170" t="s">
        <v>26</v>
      </c>
      <c r="S1170">
        <v>3</v>
      </c>
    </row>
    <row r="1171" spans="1:22" x14ac:dyDescent="0.45">
      <c r="A1171" t="str">
        <f>"10167114"</f>
        <v>10167114</v>
      </c>
      <c r="B1171" t="s">
        <v>22</v>
      </c>
      <c r="C1171" s="1">
        <v>43619</v>
      </c>
      <c r="D1171">
        <v>2150000</v>
      </c>
      <c r="E1171" t="s">
        <v>60</v>
      </c>
      <c r="F1171">
        <v>2001</v>
      </c>
      <c r="G1171">
        <v>2628</v>
      </c>
      <c r="H1171" t="s">
        <v>420</v>
      </c>
      <c r="I1171" t="str">
        <f t="shared" si="18"/>
        <v>25</v>
      </c>
      <c r="J1171">
        <v>60026</v>
      </c>
      <c r="K1171">
        <v>6135</v>
      </c>
      <c r="L1171">
        <v>17</v>
      </c>
      <c r="M1171">
        <v>5</v>
      </c>
      <c r="N1171">
        <v>2</v>
      </c>
      <c r="O1171" t="s">
        <v>41</v>
      </c>
      <c r="P1171">
        <v>5</v>
      </c>
      <c r="Q1171">
        <v>1</v>
      </c>
      <c r="R1171" t="s">
        <v>26</v>
      </c>
      <c r="S1171">
        <v>3</v>
      </c>
    </row>
    <row r="1172" spans="1:22" x14ac:dyDescent="0.45">
      <c r="A1172" t="str">
        <f>"10407721"</f>
        <v>10407721</v>
      </c>
      <c r="B1172" t="s">
        <v>22</v>
      </c>
      <c r="C1172" s="1">
        <v>43755</v>
      </c>
      <c r="D1172">
        <v>2155000</v>
      </c>
      <c r="E1172" t="s">
        <v>60</v>
      </c>
      <c r="F1172">
        <v>1999</v>
      </c>
      <c r="G1172">
        <v>930</v>
      </c>
      <c r="H1172" t="s">
        <v>385</v>
      </c>
      <c r="I1172" t="str">
        <f t="shared" si="18"/>
        <v>25</v>
      </c>
      <c r="J1172">
        <v>60025</v>
      </c>
      <c r="K1172">
        <v>8377</v>
      </c>
      <c r="L1172">
        <v>12</v>
      </c>
      <c r="M1172">
        <v>6</v>
      </c>
      <c r="N1172">
        <v>2</v>
      </c>
      <c r="O1172" t="s">
        <v>41</v>
      </c>
      <c r="P1172">
        <v>5</v>
      </c>
      <c r="Q1172">
        <v>1</v>
      </c>
      <c r="R1172" t="s">
        <v>26</v>
      </c>
      <c r="S1172">
        <v>3</v>
      </c>
    </row>
    <row r="1173" spans="1:22" x14ac:dyDescent="0.45">
      <c r="A1173" t="str">
        <f>"10729766"</f>
        <v>10729766</v>
      </c>
      <c r="B1173" t="s">
        <v>22</v>
      </c>
      <c r="C1173" s="1">
        <v>44050</v>
      </c>
      <c r="D1173">
        <v>2200000</v>
      </c>
      <c r="E1173" t="s">
        <v>60</v>
      </c>
      <c r="F1173">
        <v>2017</v>
      </c>
      <c r="G1173">
        <v>1445</v>
      </c>
      <c r="H1173" t="s">
        <v>264</v>
      </c>
      <c r="I1173" t="str">
        <f t="shared" si="18"/>
        <v>25</v>
      </c>
      <c r="J1173">
        <v>60025</v>
      </c>
      <c r="K1173">
        <v>5827</v>
      </c>
      <c r="L1173">
        <v>11</v>
      </c>
      <c r="M1173">
        <v>5</v>
      </c>
      <c r="N1173">
        <v>2</v>
      </c>
      <c r="O1173" t="s">
        <v>41</v>
      </c>
      <c r="P1173">
        <v>5</v>
      </c>
      <c r="Q1173">
        <v>0</v>
      </c>
      <c r="R1173" t="s">
        <v>26</v>
      </c>
      <c r="S1173">
        <v>3</v>
      </c>
    </row>
    <row r="1174" spans="1:22" x14ac:dyDescent="0.45">
      <c r="A1174" t="str">
        <f>"10350775"</f>
        <v>10350775</v>
      </c>
      <c r="B1174" t="s">
        <v>22</v>
      </c>
      <c r="C1174" s="1">
        <v>43973</v>
      </c>
      <c r="D1174">
        <v>2250000</v>
      </c>
      <c r="E1174" t="s">
        <v>60</v>
      </c>
      <c r="F1174">
        <v>2016</v>
      </c>
      <c r="G1174">
        <v>1631</v>
      </c>
      <c r="H1174" t="s">
        <v>445</v>
      </c>
      <c r="I1174" t="str">
        <f t="shared" si="18"/>
        <v>25</v>
      </c>
      <c r="J1174">
        <v>60026</v>
      </c>
      <c r="K1174">
        <v>6300</v>
      </c>
      <c r="L1174">
        <v>14</v>
      </c>
      <c r="M1174">
        <v>6</v>
      </c>
      <c r="N1174">
        <v>1</v>
      </c>
      <c r="O1174" t="s">
        <v>41</v>
      </c>
      <c r="P1174">
        <v>4</v>
      </c>
      <c r="Q1174">
        <v>1</v>
      </c>
      <c r="R1174" t="s">
        <v>26</v>
      </c>
      <c r="S1174">
        <v>3</v>
      </c>
    </row>
    <row r="1175" spans="1:22" x14ac:dyDescent="0.45">
      <c r="A1175" t="str">
        <f>"10706679"</f>
        <v>10706679</v>
      </c>
      <c r="B1175" t="s">
        <v>22</v>
      </c>
      <c r="C1175" s="1">
        <v>44013</v>
      </c>
      <c r="D1175">
        <v>2250000</v>
      </c>
      <c r="E1175" t="s">
        <v>60</v>
      </c>
      <c r="F1175">
        <v>2001</v>
      </c>
      <c r="G1175">
        <v>2668</v>
      </c>
      <c r="H1175" t="s">
        <v>420</v>
      </c>
      <c r="I1175" t="str">
        <f t="shared" si="18"/>
        <v>25</v>
      </c>
      <c r="J1175">
        <v>60026</v>
      </c>
      <c r="K1175">
        <v>8298</v>
      </c>
      <c r="L1175">
        <v>16</v>
      </c>
      <c r="M1175">
        <v>4</v>
      </c>
      <c r="N1175">
        <v>2</v>
      </c>
      <c r="O1175" t="s">
        <v>41</v>
      </c>
      <c r="P1175">
        <v>5</v>
      </c>
      <c r="Q1175">
        <v>1</v>
      </c>
      <c r="R1175" t="s">
        <v>26</v>
      </c>
      <c r="S1175">
        <v>3</v>
      </c>
    </row>
    <row r="1176" spans="1:22" x14ac:dyDescent="0.45">
      <c r="A1176" t="str">
        <f>"10321545"</f>
        <v>10321545</v>
      </c>
      <c r="B1176" t="s">
        <v>22</v>
      </c>
      <c r="C1176" s="1">
        <v>43551</v>
      </c>
      <c r="D1176">
        <v>2300000</v>
      </c>
      <c r="E1176" t="s">
        <v>60</v>
      </c>
      <c r="F1176">
        <v>2015</v>
      </c>
      <c r="G1176">
        <v>800</v>
      </c>
      <c r="H1176" t="s">
        <v>115</v>
      </c>
      <c r="I1176" t="str">
        <f t="shared" si="18"/>
        <v>25</v>
      </c>
      <c r="J1176">
        <v>60025</v>
      </c>
      <c r="K1176">
        <v>5600</v>
      </c>
      <c r="L1176">
        <v>6</v>
      </c>
      <c r="M1176">
        <v>7</v>
      </c>
      <c r="N1176">
        <v>0</v>
      </c>
      <c r="O1176" t="s">
        <v>41</v>
      </c>
      <c r="P1176">
        <v>5</v>
      </c>
      <c r="Q1176">
        <v>1</v>
      </c>
      <c r="R1176" t="s">
        <v>192</v>
      </c>
      <c r="S1176">
        <v>3.5</v>
      </c>
    </row>
    <row r="1177" spans="1:22" x14ac:dyDescent="0.45">
      <c r="A1177" t="str">
        <f>"10172085"</f>
        <v>10172085</v>
      </c>
      <c r="B1177" t="s">
        <v>22</v>
      </c>
      <c r="C1177" s="1">
        <v>43642</v>
      </c>
      <c r="D1177">
        <v>2320000</v>
      </c>
      <c r="E1177" t="s">
        <v>60</v>
      </c>
      <c r="F1177">
        <v>2016</v>
      </c>
      <c r="G1177">
        <v>310</v>
      </c>
      <c r="H1177" t="s">
        <v>446</v>
      </c>
      <c r="I1177" t="str">
        <f t="shared" si="18"/>
        <v>25</v>
      </c>
      <c r="J1177">
        <v>60025</v>
      </c>
      <c r="K1177">
        <v>4800</v>
      </c>
      <c r="L1177">
        <v>13</v>
      </c>
      <c r="M1177">
        <v>6</v>
      </c>
      <c r="N1177">
        <v>1</v>
      </c>
      <c r="O1177" t="s">
        <v>41</v>
      </c>
      <c r="P1177">
        <v>4</v>
      </c>
      <c r="Q1177">
        <v>1</v>
      </c>
      <c r="R1177" t="s">
        <v>26</v>
      </c>
      <c r="S1177">
        <v>3</v>
      </c>
      <c r="U1177">
        <v>2243</v>
      </c>
    </row>
    <row r="1178" spans="1:22" x14ac:dyDescent="0.45">
      <c r="A1178" t="str">
        <f>"10443120"</f>
        <v>10443120</v>
      </c>
      <c r="B1178" t="s">
        <v>22</v>
      </c>
      <c r="C1178" s="1">
        <v>43768</v>
      </c>
      <c r="D1178">
        <v>2410000</v>
      </c>
      <c r="E1178" t="s">
        <v>60</v>
      </c>
      <c r="F1178">
        <v>2017</v>
      </c>
      <c r="G1178">
        <v>801</v>
      </c>
      <c r="H1178" t="s">
        <v>312</v>
      </c>
      <c r="I1178" t="str">
        <f t="shared" si="18"/>
        <v>25</v>
      </c>
      <c r="J1178">
        <v>60025</v>
      </c>
      <c r="K1178">
        <v>5600</v>
      </c>
      <c r="L1178">
        <v>10</v>
      </c>
      <c r="M1178">
        <v>5</v>
      </c>
      <c r="N1178">
        <v>1</v>
      </c>
      <c r="O1178" t="s">
        <v>41</v>
      </c>
      <c r="P1178">
        <v>5</v>
      </c>
      <c r="Q1178">
        <v>1</v>
      </c>
      <c r="R1178" t="s">
        <v>26</v>
      </c>
      <c r="S1178">
        <v>3.5</v>
      </c>
      <c r="V1178" t="s">
        <v>67</v>
      </c>
    </row>
    <row r="1179" spans="1:22" x14ac:dyDescent="0.45">
      <c r="A1179" t="str">
        <f>"10581682"</f>
        <v>10581682</v>
      </c>
      <c r="B1179" t="s">
        <v>22</v>
      </c>
      <c r="C1179" s="1">
        <v>44057</v>
      </c>
      <c r="D1179">
        <v>2560000</v>
      </c>
      <c r="E1179" t="s">
        <v>64</v>
      </c>
      <c r="F1179">
        <v>2001</v>
      </c>
      <c r="G1179">
        <v>1342</v>
      </c>
      <c r="H1179" t="s">
        <v>312</v>
      </c>
      <c r="I1179" t="str">
        <f t="shared" si="18"/>
        <v>25</v>
      </c>
      <c r="J1179">
        <v>60025</v>
      </c>
      <c r="K1179">
        <v>10788</v>
      </c>
      <c r="L1179">
        <v>15</v>
      </c>
      <c r="M1179">
        <v>7</v>
      </c>
      <c r="N1179">
        <v>1</v>
      </c>
      <c r="O1179" t="s">
        <v>41</v>
      </c>
      <c r="P1179">
        <v>5</v>
      </c>
      <c r="Q1179">
        <v>1</v>
      </c>
      <c r="R1179" t="s">
        <v>26</v>
      </c>
      <c r="S1179">
        <v>3</v>
      </c>
      <c r="V1179" t="s">
        <v>447</v>
      </c>
    </row>
    <row r="1180" spans="1:22" x14ac:dyDescent="0.45">
      <c r="A1180" t="str">
        <f>"10069925"</f>
        <v>10069925</v>
      </c>
      <c r="B1180" t="s">
        <v>22</v>
      </c>
      <c r="C1180" s="1">
        <v>43647</v>
      </c>
      <c r="D1180">
        <v>2625000</v>
      </c>
      <c r="E1180" t="s">
        <v>60</v>
      </c>
      <c r="F1180">
        <v>2019</v>
      </c>
      <c r="G1180">
        <v>1130</v>
      </c>
      <c r="H1180" t="s">
        <v>154</v>
      </c>
      <c r="I1180" t="str">
        <f t="shared" si="18"/>
        <v>25</v>
      </c>
      <c r="J1180">
        <v>60025</v>
      </c>
      <c r="K1180">
        <v>11109</v>
      </c>
      <c r="L1180">
        <v>11</v>
      </c>
      <c r="M1180">
        <v>8</v>
      </c>
      <c r="N1180">
        <v>1</v>
      </c>
      <c r="O1180" t="s">
        <v>41</v>
      </c>
      <c r="P1180">
        <v>6</v>
      </c>
      <c r="Q1180">
        <v>1</v>
      </c>
      <c r="R1180" t="s">
        <v>26</v>
      </c>
      <c r="S1180">
        <v>3</v>
      </c>
      <c r="V1180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ConnectMLS_export-9564206896174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Arla Unwin</dc:creator>
  <cp:lastModifiedBy>Arla Unwin</cp:lastModifiedBy>
  <dcterms:created xsi:type="dcterms:W3CDTF">2021-01-08T19:40:41Z</dcterms:created>
  <dcterms:modified xsi:type="dcterms:W3CDTF">2021-01-08T19:40:49Z</dcterms:modified>
</cp:coreProperties>
</file>